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autoCompressPictures="0" defaultThemeVersion="124226"/>
  <mc:AlternateContent xmlns:mc="http://schemas.openxmlformats.org/markup-compatibility/2006">
    <mc:Choice Requires="x15">
      <x15ac:absPath xmlns:x15ac="http://schemas.microsoft.com/office/spreadsheetml/2010/11/ac" url="D:\AÑO 2018\MODIFICACIONES PAA\"/>
    </mc:Choice>
  </mc:AlternateContent>
  <bookViews>
    <workbookView xWindow="-2340" yWindow="600" windowWidth="28800" windowHeight="11775" tabRatio="624" firstSheet="4" activeTab="6"/>
  </bookViews>
  <sheets>
    <sheet name="Hoja1" sheetId="156" r:id="rId1"/>
    <sheet name="DISTRIBUCION PRESUP. 2018" sheetId="161" r:id="rId2"/>
    <sheet name="PLAN NECES DESPURADO 2-01-2018" sheetId="158" r:id="rId3"/>
    <sheet name="CAJA MENOR 2018" sheetId="126" r:id="rId4"/>
    <sheet name="PAA-PRESUP 30-10-2018" sheetId="164" r:id="rId5"/>
    <sheet name="traslados (3)" sheetId="176" r:id="rId6"/>
    <sheet name="PAA -07-11-2018" sheetId="177" r:id="rId7"/>
  </sheets>
  <externalReferences>
    <externalReference r:id="rId8"/>
    <externalReference r:id="rId9"/>
    <externalReference r:id="rId10"/>
    <externalReference r:id="rId11"/>
    <externalReference r:id="rId12"/>
    <externalReference r:id="rId13"/>
  </externalReferences>
  <definedNames>
    <definedName name="_xlnm._FilterDatabase" localSheetId="3" hidden="1">'CAJA MENOR 2018'!#REF!</definedName>
    <definedName name="_xlnm._FilterDatabase" localSheetId="6" hidden="1">'PAA -07-11-2018'!$A$19:$AS$392</definedName>
    <definedName name="_xlnm._FilterDatabase" localSheetId="4" hidden="1">'PAA-PRESUP 30-10-2018'!$A$96:$P$110</definedName>
    <definedName name="_xlnm._FilterDatabase" localSheetId="2" hidden="1">'PLAN NECES DESPURADO 2-01-2018'!$A$19:$R$185</definedName>
    <definedName name="_xlnm.Print_Area" localSheetId="6">'PAA -07-11-2018'!$A$1:$P$396</definedName>
    <definedName name="_xlnm.Print_Area" localSheetId="4">'PAA-PRESUP 30-10-2018'!$A$1:$AQ$127</definedName>
    <definedName name="base_1">[1]BASE_DATOS!$A$1:$C$147</definedName>
    <definedName name="ELEMENTOS_DE_ASEO">"BASE_DATOS"</definedName>
    <definedName name="Fuente3">[2]Hoja2!$A$1:$C$207</definedName>
    <definedName name="JUAN" localSheetId="3">#REF!</definedName>
    <definedName name="JUAN" localSheetId="6">#REF!</definedName>
    <definedName name="JUAN" localSheetId="4">#REF!</definedName>
    <definedName name="JUAN" localSheetId="5">#REF!</definedName>
    <definedName name="JUAN">#REF!</definedName>
    <definedName name="julian" localSheetId="6">#REF!</definedName>
    <definedName name="julian" localSheetId="4">#REF!</definedName>
    <definedName name="julian" localSheetId="5">#REF!</definedName>
    <definedName name="julian">#REF!</definedName>
    <definedName name="MAO">'[3]PLAN COMPRAS_2003'!$A$4:$D$382</definedName>
    <definedName name="MOA">'[3]PLAN COMPRAS_2003'!$A$4:$D$382</definedName>
    <definedName name="RUTH" localSheetId="6">#REF!</definedName>
    <definedName name="RUTH" localSheetId="4">#REF!</definedName>
    <definedName name="RUTH" localSheetId="5">#REF!</definedName>
    <definedName name="RUTH">#REF!</definedName>
    <definedName name="_xlnm.Print_Titles" localSheetId="6">'PAA -07-11-2018'!$19:$19</definedName>
  </definedNames>
  <calcPr calcId="162913"/>
</workbook>
</file>

<file path=xl/calcChain.xml><?xml version="1.0" encoding="utf-8"?>
<calcChain xmlns="http://schemas.openxmlformats.org/spreadsheetml/2006/main">
  <c r="L18" i="177" l="1"/>
  <c r="W18" i="177"/>
  <c r="X18" i="177"/>
  <c r="M379" i="177" l="1"/>
  <c r="M372" i="177"/>
  <c r="L372" i="177"/>
  <c r="M371" i="177"/>
  <c r="L371" i="177"/>
  <c r="M365" i="177"/>
  <c r="L365" i="177"/>
  <c r="AA355" i="177"/>
  <c r="L355" i="177"/>
  <c r="AA354" i="177"/>
  <c r="L354" i="177"/>
  <c r="AA353" i="177"/>
  <c r="L353" i="177"/>
  <c r="M353" i="177" s="1"/>
  <c r="AA343" i="177"/>
  <c r="AA342" i="177"/>
  <c r="A340" i="177"/>
  <c r="L338" i="177"/>
  <c r="L337" i="177"/>
  <c r="L336" i="177"/>
  <c r="L335" i="177"/>
  <c r="L334" i="177"/>
  <c r="AA333" i="177"/>
  <c r="L333" i="177"/>
  <c r="AA332" i="177"/>
  <c r="L332" i="177"/>
  <c r="AA331" i="177"/>
  <c r="L331" i="177"/>
  <c r="AA323" i="177"/>
  <c r="L323" i="177"/>
  <c r="A323" i="177"/>
  <c r="AA322" i="177"/>
  <c r="L322" i="177"/>
  <c r="AA321" i="177"/>
  <c r="L321" i="177"/>
  <c r="AA318" i="177"/>
  <c r="L318" i="177"/>
  <c r="AA317" i="177"/>
  <c r="L317" i="177"/>
  <c r="AA316" i="177"/>
  <c r="AA315" i="177"/>
  <c r="A315" i="177"/>
  <c r="A316" i="177" s="1"/>
  <c r="A317" i="177" s="1"/>
  <c r="A318" i="177" s="1"/>
  <c r="A319" i="177" s="1"/>
  <c r="AA314" i="177"/>
  <c r="AA313" i="177"/>
  <c r="L313" i="177"/>
  <c r="Y312" i="177"/>
  <c r="L312" i="177"/>
  <c r="AA311" i="177"/>
  <c r="L311" i="177"/>
  <c r="L310" i="177"/>
  <c r="AA309" i="177"/>
  <c r="L309" i="177"/>
  <c r="L308" i="177"/>
  <c r="AA307" i="177"/>
  <c r="AA300" i="177"/>
  <c r="M300" i="177"/>
  <c r="AA299" i="177"/>
  <c r="M299" i="177"/>
  <c r="AA298" i="177"/>
  <c r="M298" i="177"/>
  <c r="AA297" i="177"/>
  <c r="M297" i="177"/>
  <c r="AA296" i="177"/>
  <c r="M296" i="177"/>
  <c r="M295" i="177"/>
  <c r="AA294" i="177"/>
  <c r="M294" i="177"/>
  <c r="AA293" i="177"/>
  <c r="M293" i="177"/>
  <c r="AA292" i="177"/>
  <c r="M292" i="177"/>
  <c r="AA291" i="177"/>
  <c r="M291" i="177"/>
  <c r="AA290" i="177"/>
  <c r="M290" i="177"/>
  <c r="AA289" i="177"/>
  <c r="M289" i="177"/>
  <c r="AA288" i="177"/>
  <c r="M288" i="177"/>
  <c r="AA287" i="177"/>
  <c r="M287" i="177"/>
  <c r="M286" i="177"/>
  <c r="AA285" i="177"/>
  <c r="AA284" i="177"/>
  <c r="M284" i="177"/>
  <c r="AA283" i="177"/>
  <c r="M283" i="177"/>
  <c r="AA282" i="177"/>
  <c r="M282" i="177"/>
  <c r="AA281" i="177"/>
  <c r="AA280" i="177"/>
  <c r="M280" i="177"/>
  <c r="AA279" i="177"/>
  <c r="M279" i="177"/>
  <c r="M278" i="177"/>
  <c r="AA277" i="177"/>
  <c r="M277" i="177"/>
  <c r="AA276" i="177"/>
  <c r="M276" i="177"/>
  <c r="M275" i="177"/>
  <c r="M274" i="177"/>
  <c r="M273" i="177"/>
  <c r="M272" i="177"/>
  <c r="A271" i="177"/>
  <c r="A272" i="177" s="1"/>
  <c r="A273" i="177" s="1"/>
  <c r="A274" i="177" s="1"/>
  <c r="A275" i="177" s="1"/>
  <c r="A276" i="177" s="1"/>
  <c r="A277" i="177" s="1"/>
  <c r="A278" i="177" s="1"/>
  <c r="A279" i="177" s="1"/>
  <c r="A280" i="177" s="1"/>
  <c r="A281" i="177" s="1"/>
  <c r="A282" i="177" s="1"/>
  <c r="A283" i="177" s="1"/>
  <c r="A284" i="177" s="1"/>
  <c r="A285" i="177" s="1"/>
  <c r="A286" i="177" s="1"/>
  <c r="A287" i="177" s="1"/>
  <c r="A288" i="177" s="1"/>
  <c r="A289" i="177" s="1"/>
  <c r="A290" i="177" s="1"/>
  <c r="A291" i="177" s="1"/>
  <c r="A292" i="177" s="1"/>
  <c r="A293" i="177" s="1"/>
  <c r="A294" i="177" s="1"/>
  <c r="A295" i="177" s="1"/>
  <c r="A296" i="177" s="1"/>
  <c r="A297" i="177" s="1"/>
  <c r="A298" i="177" s="1"/>
  <c r="A299" i="177" s="1"/>
  <c r="A300" i="177" s="1"/>
  <c r="A301" i="177" s="1"/>
  <c r="A303" i="177" s="1"/>
  <c r="A304" i="177" s="1"/>
  <c r="A305" i="177" s="1"/>
  <c r="A306" i="177" s="1"/>
  <c r="A307" i="177" s="1"/>
  <c r="A308" i="177" s="1"/>
  <c r="AA264" i="177"/>
  <c r="Y263" i="177"/>
  <c r="Z263" i="177" s="1"/>
  <c r="AA262" i="177"/>
  <c r="M262" i="177"/>
  <c r="L262" i="177"/>
  <c r="AA260" i="177"/>
  <c r="Y259" i="177"/>
  <c r="AA258" i="177"/>
  <c r="AA257" i="177"/>
  <c r="AA256" i="177"/>
  <c r="AA255" i="177"/>
  <c r="AA245" i="177"/>
  <c r="M243" i="177"/>
  <c r="M242" i="177"/>
  <c r="M241" i="177"/>
  <c r="M240" i="177"/>
  <c r="M239" i="177"/>
  <c r="M238" i="177"/>
  <c r="M237" i="177"/>
  <c r="M236" i="177"/>
  <c r="M235" i="177"/>
  <c r="M234" i="177"/>
  <c r="M233" i="177"/>
  <c r="M232" i="177"/>
  <c r="M231" i="177"/>
  <c r="M230" i="177"/>
  <c r="M229" i="177"/>
  <c r="M228" i="177"/>
  <c r="M227" i="177"/>
  <c r="M226" i="177"/>
  <c r="M225" i="177"/>
  <c r="M224" i="177"/>
  <c r="M223" i="177"/>
  <c r="M222" i="177"/>
  <c r="AA221" i="177"/>
  <c r="M221" i="177"/>
  <c r="M220" i="177"/>
  <c r="M219" i="177"/>
  <c r="M218" i="177"/>
  <c r="M217" i="177"/>
  <c r="M216" i="177"/>
  <c r="M215" i="177"/>
  <c r="M214" i="177"/>
  <c r="M213" i="177"/>
  <c r="M212" i="177"/>
  <c r="M211" i="177"/>
  <c r="M210" i="177"/>
  <c r="M209" i="177"/>
  <c r="Y208" i="177"/>
  <c r="Z208" i="177" s="1"/>
  <c r="AA208" i="177" s="1"/>
  <c r="M208" i="177"/>
  <c r="AA207" i="177"/>
  <c r="M207" i="177"/>
  <c r="AA206" i="177"/>
  <c r="AA205" i="177"/>
  <c r="M205" i="177"/>
  <c r="AA204" i="177"/>
  <c r="M204" i="177"/>
  <c r="AA203" i="177"/>
  <c r="M203" i="177"/>
  <c r="AA202" i="177"/>
  <c r="M202" i="177"/>
  <c r="AA201" i="177"/>
  <c r="M201" i="177"/>
  <c r="AA200" i="177"/>
  <c r="M200" i="177"/>
  <c r="AA199" i="177"/>
  <c r="M199" i="177"/>
  <c r="AA198" i="177"/>
  <c r="M198" i="177"/>
  <c r="AA197" i="177"/>
  <c r="M197" i="177"/>
  <c r="AA196" i="177"/>
  <c r="M196" i="177"/>
  <c r="AA195" i="177"/>
  <c r="M195" i="177"/>
  <c r="AA194" i="177"/>
  <c r="M194" i="177"/>
  <c r="AA193" i="177"/>
  <c r="M193" i="177"/>
  <c r="AA192" i="177"/>
  <c r="M192" i="177"/>
  <c r="AA191" i="177"/>
  <c r="M191" i="177"/>
  <c r="AA190" i="177"/>
  <c r="AA189" i="177"/>
  <c r="M189" i="177"/>
  <c r="AA188" i="177"/>
  <c r="M188" i="177"/>
  <c r="AA187" i="177"/>
  <c r="M187" i="177"/>
  <c r="AA186" i="177"/>
  <c r="M186" i="177"/>
  <c r="AA185" i="177"/>
  <c r="M185" i="177"/>
  <c r="AA184" i="177"/>
  <c r="M184" i="177"/>
  <c r="AA183" i="177"/>
  <c r="M183" i="177"/>
  <c r="AA182" i="177"/>
  <c r="M182" i="177"/>
  <c r="AA181" i="177"/>
  <c r="M181" i="177"/>
  <c r="AA180" i="177"/>
  <c r="M180" i="177"/>
  <c r="AA179" i="177"/>
  <c r="M179" i="177"/>
  <c r="AA178" i="177"/>
  <c r="M178" i="177"/>
  <c r="AA177" i="177"/>
  <c r="M177" i="177"/>
  <c r="Y176" i="177"/>
  <c r="Z176" i="177" s="1"/>
  <c r="AA176" i="177" s="1"/>
  <c r="M176" i="177"/>
  <c r="AA175" i="177"/>
  <c r="M175" i="177"/>
  <c r="AA174" i="177"/>
  <c r="M174" i="177"/>
  <c r="AA173" i="177"/>
  <c r="AA172" i="177"/>
  <c r="M172" i="177"/>
  <c r="AA171" i="177"/>
  <c r="M171" i="177"/>
  <c r="AA170" i="177"/>
  <c r="M170" i="177"/>
  <c r="AA169" i="177"/>
  <c r="M169" i="177"/>
  <c r="AA168" i="177"/>
  <c r="M168" i="177"/>
  <c r="AA167" i="177"/>
  <c r="M167" i="177"/>
  <c r="AA166" i="177"/>
  <c r="M166" i="177"/>
  <c r="AA165" i="177"/>
  <c r="AA164" i="177"/>
  <c r="AA163" i="177"/>
  <c r="Y162" i="177"/>
  <c r="Z162" i="177" s="1"/>
  <c r="Y161" i="177"/>
  <c r="Z161" i="177" s="1"/>
  <c r="Y160" i="177"/>
  <c r="Z160" i="177" s="1"/>
  <c r="Y159" i="177"/>
  <c r="Z159" i="177" s="1"/>
  <c r="Y158" i="177"/>
  <c r="Z158" i="177" s="1"/>
  <c r="Y157" i="177"/>
  <c r="Z157" i="177" s="1"/>
  <c r="Y156" i="177"/>
  <c r="Z156" i="177" s="1"/>
  <c r="Y155" i="177"/>
  <c r="Z155" i="177" s="1"/>
  <c r="A155" i="177"/>
  <c r="A156" i="177" s="1"/>
  <c r="A157" i="177" s="1"/>
  <c r="A158" i="177" s="1"/>
  <c r="A159" i="177" s="1"/>
  <c r="A160" i="177" s="1"/>
  <c r="A161" i="177" s="1"/>
  <c r="A162" i="177" s="1"/>
  <c r="A163" i="177" s="1"/>
  <c r="A164" i="177" s="1"/>
  <c r="A165" i="177" s="1"/>
  <c r="A166" i="177" s="1"/>
  <c r="A167" i="177" s="1"/>
  <c r="A168" i="177" s="1"/>
  <c r="A169" i="177" s="1"/>
  <c r="A170" i="177" s="1"/>
  <c r="A171" i="177" s="1"/>
  <c r="A172" i="177" s="1"/>
  <c r="A173" i="177" s="1"/>
  <c r="A174" i="177" s="1"/>
  <c r="A175" i="177" s="1"/>
  <c r="A176" i="177" s="1"/>
  <c r="A177" i="177" s="1"/>
  <c r="A178" i="177" s="1"/>
  <c r="A179" i="177" s="1"/>
  <c r="A180" i="177" s="1"/>
  <c r="A181" i="177" s="1"/>
  <c r="A182" i="177" s="1"/>
  <c r="A183" i="177" s="1"/>
  <c r="A184" i="177" s="1"/>
  <c r="A185" i="177" s="1"/>
  <c r="A186" i="177" s="1"/>
  <c r="A187" i="177" s="1"/>
  <c r="A188" i="177" s="1"/>
  <c r="A189" i="177" s="1"/>
  <c r="A190" i="177" s="1"/>
  <c r="A191" i="177" s="1"/>
  <c r="A192" i="177" s="1"/>
  <c r="A193" i="177" s="1"/>
  <c r="A194" i="177" s="1"/>
  <c r="A195" i="177" s="1"/>
  <c r="A196" i="177" s="1"/>
  <c r="A197" i="177" s="1"/>
  <c r="A198" i="177" s="1"/>
  <c r="A199" i="177" s="1"/>
  <c r="A200" i="177" s="1"/>
  <c r="A201" i="177" s="1"/>
  <c r="A202" i="177" s="1"/>
  <c r="A203" i="177" s="1"/>
  <c r="A204" i="177" s="1"/>
  <c r="A205" i="177" s="1"/>
  <c r="A206" i="177" s="1"/>
  <c r="A207" i="177" s="1"/>
  <c r="A208" i="177" s="1"/>
  <c r="A209" i="177" s="1"/>
  <c r="A210" i="177" s="1"/>
  <c r="A211" i="177" s="1"/>
  <c r="A212" i="177" s="1"/>
  <c r="A213" i="177" s="1"/>
  <c r="A214" i="177" s="1"/>
  <c r="A215" i="177" s="1"/>
  <c r="A216" i="177" s="1"/>
  <c r="A217" i="177" s="1"/>
  <c r="A218" i="177" s="1"/>
  <c r="A219" i="177" s="1"/>
  <c r="A220" i="177" s="1"/>
  <c r="A221" i="177" s="1"/>
  <c r="A222" i="177" s="1"/>
  <c r="A223" i="177" s="1"/>
  <c r="A224" i="177" s="1"/>
  <c r="A225" i="177" s="1"/>
  <c r="A226" i="177" s="1"/>
  <c r="A227" i="177" s="1"/>
  <c r="A228" i="177" s="1"/>
  <c r="A229" i="177" s="1"/>
  <c r="A230" i="177" s="1"/>
  <c r="A231" i="177" s="1"/>
  <c r="A232" i="177" s="1"/>
  <c r="A233" i="177" s="1"/>
  <c r="A234" i="177" s="1"/>
  <c r="A235" i="177" s="1"/>
  <c r="A236" i="177" s="1"/>
  <c r="A237" i="177" s="1"/>
  <c r="A238" i="177" s="1"/>
  <c r="A239" i="177" s="1"/>
  <c r="A240" i="177" s="1"/>
  <c r="A241" i="177" s="1"/>
  <c r="A242" i="177" s="1"/>
  <c r="A243" i="177" s="1"/>
  <c r="A244" i="177" s="1"/>
  <c r="A245" i="177" s="1"/>
  <c r="A246" i="177" s="1"/>
  <c r="A247" i="177" s="1"/>
  <c r="A248" i="177" s="1"/>
  <c r="A249" i="177" s="1"/>
  <c r="A250" i="177" s="1"/>
  <c r="A251" i="177" s="1"/>
  <c r="A252" i="177" s="1"/>
  <c r="A253" i="177" s="1"/>
  <c r="A254" i="177" s="1"/>
  <c r="A255" i="177" s="1"/>
  <c r="A256" i="177" s="1"/>
  <c r="A257" i="177" s="1"/>
  <c r="A258" i="177" s="1"/>
  <c r="A259" i="177" s="1"/>
  <c r="A260" i="177" s="1"/>
  <c r="A261" i="177" s="1"/>
  <c r="A262" i="177" s="1"/>
  <c r="A263" i="177" s="1"/>
  <c r="A265" i="177" s="1"/>
  <c r="A266" i="177" s="1"/>
  <c r="A267" i="177" s="1"/>
  <c r="Y154" i="177"/>
  <c r="Z154" i="177" s="1"/>
  <c r="Y151" i="177"/>
  <c r="Z151" i="177" s="1"/>
  <c r="Y150" i="177"/>
  <c r="Z150" i="177" s="1"/>
  <c r="Y149" i="177"/>
  <c r="Z149" i="177" s="1"/>
  <c r="Y148" i="177"/>
  <c r="Z148" i="177" s="1"/>
  <c r="A148" i="177"/>
  <c r="A149" i="177" s="1"/>
  <c r="A150" i="177" s="1"/>
  <c r="A151" i="177" s="1"/>
  <c r="A152" i="177" s="1"/>
  <c r="A153" i="177" s="1"/>
  <c r="Y146" i="177"/>
  <c r="Z146" i="177" s="1"/>
  <c r="Y145" i="177"/>
  <c r="Z145" i="177" s="1"/>
  <c r="AA144" i="177"/>
  <c r="Y143" i="177"/>
  <c r="Z143" i="177" s="1"/>
  <c r="Y142" i="177"/>
  <c r="Z142" i="177" s="1"/>
  <c r="AA141" i="177"/>
  <c r="Y140" i="177"/>
  <c r="Z140" i="177" s="1"/>
  <c r="AA139" i="177"/>
  <c r="Y138" i="177"/>
  <c r="Z138" i="177" s="1"/>
  <c r="Y137" i="177"/>
  <c r="Z137" i="177" s="1"/>
  <c r="Y136" i="177"/>
  <c r="Z136" i="177" s="1"/>
  <c r="AA134" i="177"/>
  <c r="Y133" i="177"/>
  <c r="Z133" i="177" s="1"/>
  <c r="Y131" i="177"/>
  <c r="Z131" i="177" s="1"/>
  <c r="Y129" i="177"/>
  <c r="Z129" i="177" s="1"/>
  <c r="Y127" i="177"/>
  <c r="Z127" i="177" s="1"/>
  <c r="Y126" i="177"/>
  <c r="Z126" i="177" s="1"/>
  <c r="Y125" i="177"/>
  <c r="Z125" i="177" s="1"/>
  <c r="Y118" i="177"/>
  <c r="Y117" i="177"/>
  <c r="Z117" i="177" s="1"/>
  <c r="A117" i="177"/>
  <c r="A118" i="177" s="1"/>
  <c r="A119" i="177" s="1"/>
  <c r="A120" i="177" s="1"/>
  <c r="A121" i="177" s="1"/>
  <c r="A122" i="177" s="1"/>
  <c r="A123" i="177" s="1"/>
  <c r="A124" i="177" s="1"/>
  <c r="A125" i="177" s="1"/>
  <c r="A126" i="177" s="1"/>
  <c r="A127" i="177" s="1"/>
  <c r="A129" i="177" s="1"/>
  <c r="A131" i="177" s="1"/>
  <c r="A133" i="177" s="1"/>
  <c r="A135" i="177" s="1"/>
  <c r="A136" i="177" s="1"/>
  <c r="A137" i="177" s="1"/>
  <c r="A138" i="177" s="1"/>
  <c r="A140" i="177" s="1"/>
  <c r="A142" i="177" s="1"/>
  <c r="A143" i="177" s="1"/>
  <c r="A145" i="177" s="1"/>
  <c r="A146" i="177" s="1"/>
  <c r="Y115" i="177"/>
  <c r="Z115" i="177" s="1"/>
  <c r="Y114" i="177"/>
  <c r="Z113" i="177"/>
  <c r="Z112" i="177"/>
  <c r="Y112" i="177"/>
  <c r="Y111" i="177"/>
  <c r="Z111" i="177" s="1"/>
  <c r="Z110" i="177"/>
  <c r="Y110" i="177"/>
  <c r="Y109" i="177"/>
  <c r="Z109" i="177" s="1"/>
  <c r="Y106" i="177"/>
  <c r="Z106" i="177" s="1"/>
  <c r="Z105" i="177"/>
  <c r="Y104" i="177"/>
  <c r="Z104" i="177" s="1"/>
  <c r="Y103" i="177"/>
  <c r="Z103" i="177" s="1"/>
  <c r="Y102" i="177"/>
  <c r="Z102" i="177" s="1"/>
  <c r="Y101" i="177"/>
  <c r="Z101" i="177" s="1"/>
  <c r="AA100" i="177"/>
  <c r="Y99" i="177"/>
  <c r="Z99" i="177" s="1"/>
  <c r="AA96" i="177"/>
  <c r="Y95" i="177"/>
  <c r="Z95" i="177" s="1"/>
  <c r="Z94" i="177"/>
  <c r="Y89" i="177"/>
  <c r="Z89" i="177" s="1"/>
  <c r="AA88" i="177"/>
  <c r="Y87" i="177"/>
  <c r="Z87" i="177" s="1"/>
  <c r="Y83" i="177"/>
  <c r="A78" i="177"/>
  <c r="A79" i="177" s="1"/>
  <c r="A80" i="177" s="1"/>
  <c r="A81" i="177" s="1"/>
  <c r="A82" i="177" s="1"/>
  <c r="A83" i="177" s="1"/>
  <c r="A84" i="177" s="1"/>
  <c r="A85" i="177" s="1"/>
  <c r="A86" i="177" s="1"/>
  <c r="A87" i="177" s="1"/>
  <c r="A89" i="177" s="1"/>
  <c r="A90" i="177" s="1"/>
  <c r="A91" i="177" s="1"/>
  <c r="A93" i="177" s="1"/>
  <c r="A94" i="177" s="1"/>
  <c r="A95" i="177" s="1"/>
  <c r="A97" i="177" s="1"/>
  <c r="A98" i="177" s="1"/>
  <c r="A99" i="177" s="1"/>
  <c r="A101" i="177" s="1"/>
  <c r="A102" i="177" s="1"/>
  <c r="A103" i="177" s="1"/>
  <c r="A104" i="177" s="1"/>
  <c r="A105" i="177" s="1"/>
  <c r="A106" i="177" s="1"/>
  <c r="A108" i="177" s="1"/>
  <c r="A109" i="177" s="1"/>
  <c r="A111" i="177" s="1"/>
  <c r="A113" i="177" s="1"/>
  <c r="AA76" i="177"/>
  <c r="AA75" i="177"/>
  <c r="AA55" i="177"/>
  <c r="Y45" i="177"/>
  <c r="A37" i="177"/>
  <c r="A38" i="177" s="1"/>
  <c r="A39" i="177" s="1"/>
  <c r="A40" i="177" s="1"/>
  <c r="A42" i="177" s="1"/>
  <c r="A43" i="177" s="1"/>
  <c r="A44" i="177" s="1"/>
  <c r="A46" i="177" s="1"/>
  <c r="A47" i="177" s="1"/>
  <c r="A48" i="177" s="1"/>
  <c r="A49" i="177" s="1"/>
  <c r="A50" i="177" s="1"/>
  <c r="A51" i="177" s="1"/>
  <c r="A52" i="177" s="1"/>
  <c r="A54" i="177" s="1"/>
  <c r="A55" i="177" s="1"/>
  <c r="A56" i="177" s="1"/>
  <c r="A57" i="177" s="1"/>
  <c r="A58" i="177" s="1"/>
  <c r="A59" i="177" s="1"/>
  <c r="A60" i="177" s="1"/>
  <c r="A61" i="177" s="1"/>
  <c r="A62" i="177" s="1"/>
  <c r="A63" i="177" s="1"/>
  <c r="A64" i="177" s="1"/>
  <c r="A71" i="177" s="1"/>
  <c r="A72" i="177" s="1"/>
  <c r="A73" i="177" s="1"/>
  <c r="A74" i="177" s="1"/>
  <c r="A75" i="177" s="1"/>
  <c r="A76" i="177" s="1"/>
  <c r="A21" i="177"/>
  <c r="A22" i="177" s="1"/>
  <c r="A23" i="177" s="1"/>
  <c r="A25" i="177" s="1"/>
  <c r="A26" i="177" s="1"/>
  <c r="A27" i="177" s="1"/>
  <c r="A28" i="177" s="1"/>
  <c r="A29" i="177" s="1"/>
  <c r="A30" i="177" s="1"/>
  <c r="A31" i="177" s="1"/>
  <c r="A32" i="177" s="1"/>
  <c r="A33" i="177" s="1"/>
  <c r="A34" i="177" s="1"/>
  <c r="S12" i="177"/>
  <c r="U15" i="177" s="1"/>
  <c r="U11" i="177"/>
  <c r="T11" i="177"/>
  <c r="S11" i="177"/>
  <c r="U14" i="177" s="1"/>
  <c r="U10" i="177"/>
  <c r="U12" i="177" s="1"/>
  <c r="T10" i="177"/>
  <c r="T12" i="177" s="1"/>
  <c r="S10" i="177"/>
  <c r="Z83" i="177" l="1"/>
  <c r="Y18" i="177"/>
  <c r="M18" i="177"/>
  <c r="U13" i="177"/>
  <c r="Z45" i="177"/>
  <c r="Q21" i="176"/>
  <c r="N21" i="176"/>
  <c r="M21" i="176"/>
  <c r="K21" i="176"/>
  <c r="J21" i="176"/>
  <c r="R18" i="176"/>
  <c r="R17" i="176"/>
  <c r="R11" i="176"/>
  <c r="Z18" i="177" l="1"/>
  <c r="N46" i="176"/>
  <c r="M46" i="176"/>
  <c r="R21" i="176"/>
  <c r="M23" i="176"/>
  <c r="N23" i="176"/>
  <c r="AQ32" i="164"/>
  <c r="AF27" i="164"/>
  <c r="AD108" i="164" l="1"/>
  <c r="AF108" i="164" s="1"/>
  <c r="V107" i="164"/>
  <c r="T79" i="164"/>
  <c r="T56" i="164"/>
  <c r="T49" i="164"/>
  <c r="T47" i="164"/>
  <c r="T40" i="164"/>
  <c r="T39" i="164"/>
  <c r="T38" i="164"/>
  <c r="T33" i="164"/>
  <c r="T32" i="164"/>
  <c r="T31" i="164"/>
  <c r="T30" i="164"/>
  <c r="U27" i="164" l="1"/>
  <c r="Y43" i="164" l="1"/>
  <c r="P30" i="164" l="1"/>
  <c r="Y48" i="164" l="1"/>
  <c r="P48" i="164" l="1"/>
  <c r="P42" i="164"/>
  <c r="P41" i="164"/>
  <c r="P38" i="164"/>
  <c r="O21" i="164"/>
  <c r="P39" i="164"/>
  <c r="O24" i="164"/>
  <c r="P20" i="164"/>
  <c r="Q38" i="164"/>
  <c r="W42" i="164"/>
  <c r="AP4" i="164"/>
  <c r="AG107" i="164"/>
  <c r="V79" i="164"/>
  <c r="V80" i="164" s="1"/>
  <c r="Y51" i="164"/>
  <c r="T35" i="164"/>
  <c r="U30" i="164"/>
  <c r="X30" i="164" s="1"/>
  <c r="AO4" i="164" s="1"/>
  <c r="AT63" i="164"/>
  <c r="AG104" i="164"/>
  <c r="AG105" i="164"/>
  <c r="AG102" i="164"/>
  <c r="AG108" i="164"/>
  <c r="AG106" i="164"/>
  <c r="AG50" i="164"/>
  <c r="AG103" i="164"/>
  <c r="AG101" i="164"/>
  <c r="O42" i="164"/>
  <c r="O45" i="164" s="1"/>
  <c r="AB109" i="164"/>
  <c r="AB115" i="164" s="1"/>
  <c r="AA36" i="164"/>
  <c r="AG79" i="164"/>
  <c r="AG80" i="164" s="1"/>
  <c r="O126" i="164"/>
  <c r="AB118" i="164"/>
  <c r="AK116" i="164"/>
  <c r="AJ116" i="164"/>
  <c r="AI116" i="164"/>
  <c r="AE111" i="164"/>
  <c r="AE109" i="164"/>
  <c r="AE115" i="164" s="1"/>
  <c r="Y109" i="164"/>
  <c r="W109" i="164"/>
  <c r="V109" i="164"/>
  <c r="T109" i="164"/>
  <c r="P109" i="164"/>
  <c r="O109" i="164"/>
  <c r="N109" i="164"/>
  <c r="Q108" i="164"/>
  <c r="Z108" i="164" s="1"/>
  <c r="AH108" i="164" s="1"/>
  <c r="AC107" i="164"/>
  <c r="Q107" i="164"/>
  <c r="X107" i="164"/>
  <c r="AC106" i="164"/>
  <c r="X106" i="164"/>
  <c r="Z106" i="164" s="1"/>
  <c r="AD106" i="164" s="1"/>
  <c r="Q106" i="164"/>
  <c r="Q105" i="164"/>
  <c r="AC104" i="164"/>
  <c r="X104" i="164"/>
  <c r="Q104" i="164"/>
  <c r="Q103" i="164"/>
  <c r="AC102" i="164"/>
  <c r="X102" i="164"/>
  <c r="Q102" i="164"/>
  <c r="X101" i="164"/>
  <c r="Q101" i="164"/>
  <c r="AA99" i="164"/>
  <c r="V99" i="164"/>
  <c r="T99" i="164"/>
  <c r="Q98" i="164"/>
  <c r="Q99" i="164" s="1"/>
  <c r="P99" i="164"/>
  <c r="O99" i="164"/>
  <c r="N99" i="164"/>
  <c r="AK98" i="164"/>
  <c r="AP96" i="164"/>
  <c r="AE91" i="164"/>
  <c r="AB91" i="164"/>
  <c r="AA91" i="164"/>
  <c r="R13" i="164"/>
  <c r="R91" i="164" s="1"/>
  <c r="T8" i="164"/>
  <c r="T90" i="164"/>
  <c r="S90" i="164"/>
  <c r="AE88" i="164"/>
  <c r="AB88" i="164"/>
  <c r="AA88" i="164"/>
  <c r="Y88" i="164"/>
  <c r="W88" i="164"/>
  <c r="V88" i="164"/>
  <c r="P88" i="164"/>
  <c r="N88" i="164"/>
  <c r="AG87" i="164"/>
  <c r="AC87" i="164"/>
  <c r="AC88" i="164" s="1"/>
  <c r="X87" i="164"/>
  <c r="Q87" i="164"/>
  <c r="AE85" i="164"/>
  <c r="AB85" i="164"/>
  <c r="AA85" i="164"/>
  <c r="Y85" i="164"/>
  <c r="W85" i="164"/>
  <c r="V85" i="164"/>
  <c r="U85" i="164"/>
  <c r="T85" i="164"/>
  <c r="S85" i="164"/>
  <c r="P85" i="164"/>
  <c r="O85" i="164"/>
  <c r="N85" i="164"/>
  <c r="M85" i="164"/>
  <c r="L85" i="164"/>
  <c r="K85" i="164"/>
  <c r="AG84" i="164"/>
  <c r="AC84" i="164"/>
  <c r="X84" i="164"/>
  <c r="Q84" i="164"/>
  <c r="AG83" i="164"/>
  <c r="AC83" i="164"/>
  <c r="X83" i="164"/>
  <c r="Q83" i="164"/>
  <c r="AG82" i="164"/>
  <c r="AC82" i="164"/>
  <c r="AC85" i="164" s="1"/>
  <c r="X82" i="164"/>
  <c r="Q82" i="164"/>
  <c r="AK81" i="164"/>
  <c r="AN80" i="164"/>
  <c r="AE80" i="164"/>
  <c r="AB80" i="164"/>
  <c r="AA80" i="164"/>
  <c r="AC80" i="164" s="1"/>
  <c r="Y80" i="164"/>
  <c r="W80" i="164"/>
  <c r="S80" i="164"/>
  <c r="R80" i="164"/>
  <c r="P80" i="164"/>
  <c r="O80" i="164"/>
  <c r="N80" i="164"/>
  <c r="M80" i="164"/>
  <c r="L80" i="164"/>
  <c r="K80" i="164"/>
  <c r="AC79" i="164"/>
  <c r="Q79" i="164"/>
  <c r="AG78" i="164"/>
  <c r="Q78" i="164"/>
  <c r="X78" i="164"/>
  <c r="AC78" i="164"/>
  <c r="AK77" i="164"/>
  <c r="AG77" i="164"/>
  <c r="AF77" i="164"/>
  <c r="AC77" i="164"/>
  <c r="X77" i="164"/>
  <c r="Q77" i="164"/>
  <c r="AL77" i="164"/>
  <c r="AG76" i="164"/>
  <c r="AC76" i="164"/>
  <c r="X76" i="164"/>
  <c r="Q76" i="164"/>
  <c r="AK75" i="164"/>
  <c r="AN74" i="164"/>
  <c r="AE74" i="164"/>
  <c r="AB74" i="164"/>
  <c r="AC74" i="164" s="1"/>
  <c r="AA74" i="164"/>
  <c r="Y74" i="164"/>
  <c r="W74" i="164"/>
  <c r="V74" i="164"/>
  <c r="U74" i="164"/>
  <c r="T74" i="164"/>
  <c r="S74" i="164"/>
  <c r="Q73" i="164"/>
  <c r="P74" i="164"/>
  <c r="O74" i="164"/>
  <c r="N74" i="164"/>
  <c r="M74" i="164"/>
  <c r="L74" i="164"/>
  <c r="K74" i="164"/>
  <c r="AG73" i="164"/>
  <c r="AC73" i="164"/>
  <c r="X73" i="164"/>
  <c r="AG72" i="164"/>
  <c r="AC72" i="164"/>
  <c r="X72" i="164"/>
  <c r="Q72" i="164"/>
  <c r="AK71" i="164"/>
  <c r="AE70" i="164"/>
  <c r="AA70" i="164"/>
  <c r="Y70" i="164"/>
  <c r="W70" i="164"/>
  <c r="V70" i="164"/>
  <c r="U70" i="164"/>
  <c r="T70" i="164"/>
  <c r="S70" i="164"/>
  <c r="P70" i="164"/>
  <c r="O70" i="164"/>
  <c r="N70" i="164"/>
  <c r="M70" i="164"/>
  <c r="L70" i="164"/>
  <c r="K70" i="164"/>
  <c r="AG69" i="164"/>
  <c r="X69" i="164"/>
  <c r="Z69" i="164" s="1"/>
  <c r="AD69" i="164" s="1"/>
  <c r="Q69" i="164"/>
  <c r="AG68" i="164"/>
  <c r="AC68" i="164"/>
  <c r="X68" i="164"/>
  <c r="Q68" i="164"/>
  <c r="AR67" i="164"/>
  <c r="AG65" i="164"/>
  <c r="AG66" i="164"/>
  <c r="Q67" i="164"/>
  <c r="X67" i="164"/>
  <c r="Z67" i="164" s="1"/>
  <c r="Q66" i="164"/>
  <c r="X66" i="164"/>
  <c r="AC66" i="164"/>
  <c r="X65" i="164"/>
  <c r="AC65" i="164"/>
  <c r="Q65" i="164"/>
  <c r="AK64" i="164"/>
  <c r="AN63" i="164"/>
  <c r="AE63" i="164"/>
  <c r="AD63" i="164"/>
  <c r="AB63" i="164"/>
  <c r="AA63" i="164"/>
  <c r="Y63" i="164"/>
  <c r="W63" i="164"/>
  <c r="P63" i="164"/>
  <c r="O63" i="164"/>
  <c r="N63" i="164"/>
  <c r="Q62" i="164"/>
  <c r="Z62" i="164" s="1"/>
  <c r="X62" i="164"/>
  <c r="AK62" i="164"/>
  <c r="AH62" i="164"/>
  <c r="AC62" i="164"/>
  <c r="AK61" i="164"/>
  <c r="AH61" i="164"/>
  <c r="AC61" i="164"/>
  <c r="X61" i="164"/>
  <c r="Q61" i="164"/>
  <c r="AU63" i="164"/>
  <c r="Q60" i="164"/>
  <c r="AR60" i="164" s="1"/>
  <c r="AV60" i="164" s="1"/>
  <c r="AK60" i="164"/>
  <c r="AH60" i="164"/>
  <c r="AC60" i="164"/>
  <c r="AC63" i="164" s="1"/>
  <c r="X60" i="164"/>
  <c r="Q59" i="164"/>
  <c r="AR59" i="164" s="1"/>
  <c r="AV59" i="164" s="1"/>
  <c r="AW59" i="164" s="1"/>
  <c r="X59" i="164"/>
  <c r="AK59" i="164"/>
  <c r="AH59" i="164"/>
  <c r="AC59" i="164"/>
  <c r="AC58" i="164"/>
  <c r="X58" i="164"/>
  <c r="AE57" i="164"/>
  <c r="AA57" i="164"/>
  <c r="AB57" i="164"/>
  <c r="Y57" i="164"/>
  <c r="W57" i="164"/>
  <c r="V57" i="164"/>
  <c r="T57" i="164"/>
  <c r="S57" i="164"/>
  <c r="R57" i="164"/>
  <c r="Q53" i="164"/>
  <c r="Q54" i="164"/>
  <c r="Q55" i="164"/>
  <c r="Q56" i="164"/>
  <c r="P57" i="164"/>
  <c r="O57" i="164"/>
  <c r="N57" i="164"/>
  <c r="M56" i="164"/>
  <c r="M57" i="164"/>
  <c r="L57" i="164"/>
  <c r="K57" i="164"/>
  <c r="AG56" i="164"/>
  <c r="AC56" i="164"/>
  <c r="U56" i="164"/>
  <c r="AG55" i="164"/>
  <c r="U55" i="164"/>
  <c r="X55" i="164" s="1"/>
  <c r="AC55" i="164"/>
  <c r="AG54" i="164"/>
  <c r="AC54" i="164"/>
  <c r="U54" i="164"/>
  <c r="X54" i="164"/>
  <c r="AG53" i="164"/>
  <c r="AC53" i="164"/>
  <c r="U53" i="164"/>
  <c r="X53" i="164"/>
  <c r="Z53" i="164" s="1"/>
  <c r="AD53" i="164" s="1"/>
  <c r="AK52" i="164"/>
  <c r="AE51" i="164"/>
  <c r="AB51" i="164"/>
  <c r="AA51" i="164"/>
  <c r="V51" i="164"/>
  <c r="V22" i="164"/>
  <c r="V25" i="164"/>
  <c r="V36" i="164"/>
  <c r="V45" i="164"/>
  <c r="T51" i="164"/>
  <c r="S51" i="164"/>
  <c r="R51" i="164"/>
  <c r="O51" i="164"/>
  <c r="N51" i="164"/>
  <c r="L51" i="164"/>
  <c r="K51" i="164"/>
  <c r="AC50" i="164"/>
  <c r="U50" i="164"/>
  <c r="X50" i="164"/>
  <c r="Z50" i="164" s="1"/>
  <c r="AD50" i="164" s="1"/>
  <c r="Q50" i="164"/>
  <c r="M50" i="164"/>
  <c r="M51" i="164" s="1"/>
  <c r="AG49" i="164"/>
  <c r="AC49" i="164"/>
  <c r="U49" i="164"/>
  <c r="X49" i="164" s="1"/>
  <c r="Q49" i="164"/>
  <c r="AC48" i="164"/>
  <c r="U48" i="164"/>
  <c r="W48" i="164"/>
  <c r="W51" i="164" s="1"/>
  <c r="P51" i="164"/>
  <c r="AG47" i="164"/>
  <c r="AC47" i="164"/>
  <c r="U47" i="164"/>
  <c r="X47" i="164" s="1"/>
  <c r="Q47" i="164"/>
  <c r="AK46" i="164"/>
  <c r="AE45" i="164"/>
  <c r="Y45" i="164"/>
  <c r="W45" i="164"/>
  <c r="S45" i="164"/>
  <c r="R45" i="164"/>
  <c r="P45" i="164"/>
  <c r="N45" i="164"/>
  <c r="M45" i="164"/>
  <c r="L45" i="164"/>
  <c r="K45" i="164"/>
  <c r="AG44" i="164"/>
  <c r="AC44" i="164"/>
  <c r="U44" i="164"/>
  <c r="X44" i="164" s="1"/>
  <c r="Z44" i="164" s="1"/>
  <c r="AD44" i="164" s="1"/>
  <c r="Q44" i="164"/>
  <c r="AG43" i="164"/>
  <c r="AC43" i="164"/>
  <c r="U43" i="164"/>
  <c r="X43" i="164" s="1"/>
  <c r="Z43" i="164" s="1"/>
  <c r="AD43" i="164" s="1"/>
  <c r="Q43" i="164"/>
  <c r="U42" i="164"/>
  <c r="X42" i="164" s="1"/>
  <c r="Q42" i="164"/>
  <c r="Z42" i="164" s="1"/>
  <c r="AG41" i="164"/>
  <c r="Q41" i="164"/>
  <c r="U41" i="164"/>
  <c r="X41" i="164" s="1"/>
  <c r="AC41" i="164"/>
  <c r="AG40" i="164"/>
  <c r="AC40" i="164"/>
  <c r="U40" i="164"/>
  <c r="X40" i="164" s="1"/>
  <c r="Q40" i="164"/>
  <c r="AG39" i="164"/>
  <c r="AC39" i="164"/>
  <c r="U39" i="164"/>
  <c r="Q39" i="164"/>
  <c r="U38" i="164"/>
  <c r="AK37" i="164"/>
  <c r="AJ36" i="164"/>
  <c r="AE36" i="164"/>
  <c r="AA22" i="164"/>
  <c r="AA25" i="164"/>
  <c r="Y36" i="164"/>
  <c r="W36" i="164"/>
  <c r="S36" i="164"/>
  <c r="R36" i="164"/>
  <c r="O36" i="164"/>
  <c r="N36" i="164"/>
  <c r="M36" i="164"/>
  <c r="L36" i="164"/>
  <c r="K36" i="164"/>
  <c r="AG35" i="164"/>
  <c r="AC35" i="164"/>
  <c r="U35" i="164"/>
  <c r="X35" i="164" s="1"/>
  <c r="Q35" i="164"/>
  <c r="AG34" i="164"/>
  <c r="AC34" i="164"/>
  <c r="U34" i="164"/>
  <c r="X34" i="164"/>
  <c r="Z34" i="164" s="1"/>
  <c r="AD34" i="164" s="1"/>
  <c r="Q34" i="164"/>
  <c r="AG33" i="164"/>
  <c r="AC33" i="164"/>
  <c r="U33" i="164"/>
  <c r="X33" i="164" s="1"/>
  <c r="Q33" i="164"/>
  <c r="AG32" i="164"/>
  <c r="AC32" i="164"/>
  <c r="U32" i="164"/>
  <c r="X32" i="164" s="1"/>
  <c r="Q32" i="164"/>
  <c r="AC31" i="164"/>
  <c r="Q31" i="164"/>
  <c r="AG30" i="164"/>
  <c r="AC30" i="164"/>
  <c r="Q30" i="164"/>
  <c r="P36" i="164"/>
  <c r="AG29" i="164"/>
  <c r="AC29" i="164"/>
  <c r="X29" i="164"/>
  <c r="Q29" i="164"/>
  <c r="X28" i="164"/>
  <c r="Q28" i="164"/>
  <c r="AG27" i="164"/>
  <c r="AC27" i="164"/>
  <c r="X27" i="164"/>
  <c r="Q27" i="164"/>
  <c r="Z27" i="164" s="1"/>
  <c r="AD27" i="164" s="1"/>
  <c r="AQ26" i="164"/>
  <c r="AK26" i="164"/>
  <c r="AE25" i="164"/>
  <c r="AB25" i="164"/>
  <c r="Y25" i="164"/>
  <c r="W25" i="164"/>
  <c r="U25" i="164"/>
  <c r="T25" i="164"/>
  <c r="S25" i="164"/>
  <c r="P25" i="164"/>
  <c r="O25" i="164"/>
  <c r="N25" i="164"/>
  <c r="M25" i="164"/>
  <c r="L25" i="164"/>
  <c r="K25" i="164"/>
  <c r="AG24" i="164"/>
  <c r="Q24" i="164"/>
  <c r="X24" i="164"/>
  <c r="AC24" i="164"/>
  <c r="X23" i="164"/>
  <c r="AG23" i="164"/>
  <c r="AC23" i="164"/>
  <c r="Q23" i="164"/>
  <c r="AE22" i="164"/>
  <c r="Y22" i="164"/>
  <c r="Y89" i="164" s="1"/>
  <c r="Y96" i="164" s="1"/>
  <c r="W22" i="164"/>
  <c r="T22" i="164"/>
  <c r="S22" i="164"/>
  <c r="S13" i="164"/>
  <c r="S91" i="164" s="1"/>
  <c r="R22" i="164"/>
  <c r="O22" i="164"/>
  <c r="N22" i="164"/>
  <c r="M22" i="164"/>
  <c r="L22" i="164"/>
  <c r="K22" i="164"/>
  <c r="AG21" i="164"/>
  <c r="AC21" i="164"/>
  <c r="Q21" i="164"/>
  <c r="U21" i="164"/>
  <c r="X21" i="164" s="1"/>
  <c r="AG20" i="164"/>
  <c r="AC20" i="164"/>
  <c r="U20" i="164"/>
  <c r="X20" i="164" s="1"/>
  <c r="Q20" i="164"/>
  <c r="AG19" i="164"/>
  <c r="AC19" i="164"/>
  <c r="U19" i="164"/>
  <c r="X19" i="164" s="1"/>
  <c r="P19" i="164"/>
  <c r="U18" i="164"/>
  <c r="X18" i="164" s="1"/>
  <c r="Q18" i="164"/>
  <c r="X17" i="164"/>
  <c r="AK14" i="164"/>
  <c r="AC14" i="164"/>
  <c r="AC13" i="164"/>
  <c r="AC91" i="164" s="1"/>
  <c r="Y13" i="164"/>
  <c r="X13" i="164"/>
  <c r="X91" i="164" s="1"/>
  <c r="W13" i="164"/>
  <c r="V13" i="164"/>
  <c r="V91" i="164" s="1"/>
  <c r="U13" i="164"/>
  <c r="U91" i="164" s="1"/>
  <c r="T13" i="164"/>
  <c r="T91" i="164" s="1"/>
  <c r="P13" i="164"/>
  <c r="P91" i="164" s="1"/>
  <c r="O13" i="164"/>
  <c r="O91" i="164" s="1"/>
  <c r="N13" i="164"/>
  <c r="AG12" i="164"/>
  <c r="AL12" i="164"/>
  <c r="Q12" i="164"/>
  <c r="Z12" i="164" s="1"/>
  <c r="AD12" i="164" s="1"/>
  <c r="AK12" i="164" s="1"/>
  <c r="AG11" i="164"/>
  <c r="AL11" i="164" s="1"/>
  <c r="Q11" i="164"/>
  <c r="AD11" i="164"/>
  <c r="AF11" i="164" s="1"/>
  <c r="AG10" i="164"/>
  <c r="AL10" i="164"/>
  <c r="Q10" i="164"/>
  <c r="Z10" i="164" s="1"/>
  <c r="Y8" i="164"/>
  <c r="T9" i="164"/>
  <c r="AE8" i="164"/>
  <c r="AE90" i="164" s="1"/>
  <c r="W8" i="164"/>
  <c r="W9" i="164"/>
  <c r="V8" i="164"/>
  <c r="V9" i="164" s="1"/>
  <c r="U8" i="164"/>
  <c r="U90" i="164"/>
  <c r="P8" i="164"/>
  <c r="P90" i="164" s="1"/>
  <c r="O8" i="164"/>
  <c r="O9" i="164" s="1"/>
  <c r="O90" i="164"/>
  <c r="N8" i="164"/>
  <c r="N90" i="164" s="1"/>
  <c r="AG7" i="164"/>
  <c r="AD7" i="164"/>
  <c r="AC7" i="164"/>
  <c r="X7" i="164"/>
  <c r="Q7" i="164"/>
  <c r="Q6" i="164"/>
  <c r="X6" i="164"/>
  <c r="B3" i="164"/>
  <c r="Z83" i="164"/>
  <c r="Q85" i="164"/>
  <c r="Z82" i="164"/>
  <c r="AD82" i="164" s="1"/>
  <c r="X85" i="164"/>
  <c r="Y91" i="164"/>
  <c r="AL60" i="164"/>
  <c r="V60" i="164"/>
  <c r="Z60" i="164" s="1"/>
  <c r="Q48" i="164"/>
  <c r="V62" i="164"/>
  <c r="Z84" i="164"/>
  <c r="AD84" i="164" s="1"/>
  <c r="AK84" i="164" s="1"/>
  <c r="S67" i="156"/>
  <c r="R67" i="156"/>
  <c r="Q67" i="156"/>
  <c r="O67" i="156"/>
  <c r="N67" i="156"/>
  <c r="M67" i="156"/>
  <c r="L67" i="156"/>
  <c r="K67" i="156"/>
  <c r="J67" i="156"/>
  <c r="T66" i="156"/>
  <c r="T67" i="156" s="1"/>
  <c r="P66" i="156"/>
  <c r="P65" i="156"/>
  <c r="P64" i="156"/>
  <c r="P63" i="156"/>
  <c r="T61" i="156"/>
  <c r="S61" i="156"/>
  <c r="R61" i="156"/>
  <c r="O61" i="156"/>
  <c r="N61" i="156"/>
  <c r="M61" i="156"/>
  <c r="L61" i="156"/>
  <c r="K61" i="156"/>
  <c r="J61" i="156"/>
  <c r="P60" i="156"/>
  <c r="P61" i="156" s="1"/>
  <c r="P59" i="156"/>
  <c r="T57" i="156"/>
  <c r="S57" i="156"/>
  <c r="R57" i="156"/>
  <c r="O57" i="156"/>
  <c r="N57" i="156"/>
  <c r="M57" i="156"/>
  <c r="L57" i="156"/>
  <c r="K57" i="156"/>
  <c r="J57" i="156"/>
  <c r="P56" i="156"/>
  <c r="P55" i="156"/>
  <c r="P54" i="156"/>
  <c r="P53" i="156"/>
  <c r="P52" i="156"/>
  <c r="P57" i="156" s="1"/>
  <c r="O50" i="156"/>
  <c r="N50" i="156"/>
  <c r="M50" i="156"/>
  <c r="P49" i="156"/>
  <c r="P50" i="156" s="1"/>
  <c r="P48" i="156"/>
  <c r="P47" i="156"/>
  <c r="P46" i="156"/>
  <c r="S44" i="156"/>
  <c r="R44" i="156"/>
  <c r="Q44" i="156"/>
  <c r="O44" i="156"/>
  <c r="N44" i="156"/>
  <c r="M44" i="156"/>
  <c r="K44" i="156"/>
  <c r="J44" i="156"/>
  <c r="T43" i="156"/>
  <c r="P43" i="156"/>
  <c r="L43" i="156"/>
  <c r="L44" i="156"/>
  <c r="T42" i="156"/>
  <c r="P42" i="156"/>
  <c r="T41" i="156"/>
  <c r="P41" i="156"/>
  <c r="T40" i="156"/>
  <c r="T44" i="156" s="1"/>
  <c r="P40" i="156"/>
  <c r="S38" i="156"/>
  <c r="R38" i="156"/>
  <c r="Q38" i="156"/>
  <c r="O38" i="156"/>
  <c r="N38" i="156"/>
  <c r="M38" i="156"/>
  <c r="K38" i="156"/>
  <c r="J38" i="156"/>
  <c r="T37" i="156"/>
  <c r="P37" i="156"/>
  <c r="L37" i="156"/>
  <c r="L38" i="156" s="1"/>
  <c r="T36" i="156"/>
  <c r="P36" i="156"/>
  <c r="T35" i="156"/>
  <c r="T38" i="156" s="1"/>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P32" i="156" s="1"/>
  <c r="T25" i="156"/>
  <c r="P25" i="156"/>
  <c r="S23" i="156"/>
  <c r="R23" i="156"/>
  <c r="Q23" i="156"/>
  <c r="O23" i="156"/>
  <c r="N23" i="156"/>
  <c r="M23" i="156"/>
  <c r="L23" i="156"/>
  <c r="K23" i="156"/>
  <c r="J23" i="156"/>
  <c r="T22" i="156"/>
  <c r="P22" i="156"/>
  <c r="T21" i="156"/>
  <c r="P21" i="156"/>
  <c r="T20" i="156"/>
  <c r="P20" i="156"/>
  <c r="T19" i="156"/>
  <c r="P19" i="156"/>
  <c r="T18" i="156"/>
  <c r="P18" i="156"/>
  <c r="T17" i="156"/>
  <c r="P17" i="156"/>
  <c r="P23" i="156" s="1"/>
  <c r="P16" i="156"/>
  <c r="P15" i="156"/>
  <c r="P14" i="156"/>
  <c r="T12" i="156"/>
  <c r="S12" i="156"/>
  <c r="R12" i="156"/>
  <c r="O12" i="156"/>
  <c r="N12" i="156"/>
  <c r="M12" i="156"/>
  <c r="L12" i="156"/>
  <c r="K12" i="156"/>
  <c r="J12" i="156"/>
  <c r="P11" i="156"/>
  <c r="P10" i="156"/>
  <c r="S9" i="156"/>
  <c r="R9" i="156"/>
  <c r="R69" i="156" s="1"/>
  <c r="Q9" i="156"/>
  <c r="O9" i="156"/>
  <c r="N9" i="156"/>
  <c r="M9" i="156"/>
  <c r="P9" i="156" s="1"/>
  <c r="L9" i="156"/>
  <c r="K9" i="156"/>
  <c r="J9" i="156"/>
  <c r="T8" i="156"/>
  <c r="P8" i="156"/>
  <c r="T7" i="156"/>
  <c r="P7" i="156"/>
  <c r="T6" i="156"/>
  <c r="T9" i="156" s="1"/>
  <c r="T69" i="156" s="1"/>
  <c r="P6" i="156"/>
  <c r="T5" i="156"/>
  <c r="P5" i="156"/>
  <c r="J87" i="161"/>
  <c r="J84" i="161"/>
  <c r="J79" i="161"/>
  <c r="J73" i="161"/>
  <c r="J69" i="161"/>
  <c r="J62" i="161"/>
  <c r="J56" i="161"/>
  <c r="J50" i="161"/>
  <c r="J44" i="161"/>
  <c r="J88" i="161" s="1"/>
  <c r="J35" i="161"/>
  <c r="J24" i="161"/>
  <c r="J21" i="161"/>
  <c r="J12" i="161"/>
  <c r="J90" i="161" s="1"/>
  <c r="J7" i="161"/>
  <c r="J89" i="161"/>
  <c r="AA18" i="158"/>
  <c r="Z18" i="158"/>
  <c r="Y18" i="158"/>
  <c r="X18" i="158"/>
  <c r="M18" i="158"/>
  <c r="L84" i="158"/>
  <c r="L83" i="158"/>
  <c r="L82" i="158"/>
  <c r="A21" i="158"/>
  <c r="A22" i="158" s="1"/>
  <c r="A23" i="158" s="1"/>
  <c r="A24" i="158" s="1"/>
  <c r="A25" i="158" s="1"/>
  <c r="A26" i="158" s="1"/>
  <c r="A27" i="158" s="1"/>
  <c r="A28" i="158" s="1"/>
  <c r="A29" i="158" s="1"/>
  <c r="A30" i="158" s="1"/>
  <c r="A31" i="158" s="1"/>
  <c r="A32" i="158" s="1"/>
  <c r="A33" i="158" s="1"/>
  <c r="A34" i="158" s="1"/>
  <c r="A35" i="158" s="1"/>
  <c r="A36" i="158" s="1"/>
  <c r="A37" i="158" s="1"/>
  <c r="A38" i="158" s="1"/>
  <c r="A39" i="158" s="1"/>
  <c r="A40" i="158" s="1"/>
  <c r="A41" i="158" s="1"/>
  <c r="A42" i="158" s="1"/>
  <c r="A43" i="158" s="1"/>
  <c r="A44" i="158" s="1"/>
  <c r="A45" i="158" s="1"/>
  <c r="A46" i="158" s="1"/>
  <c r="A47" i="158" s="1"/>
  <c r="A48" i="158" s="1"/>
  <c r="A49" i="158" s="1"/>
  <c r="A50" i="158" s="1"/>
  <c r="A51" i="158" s="1"/>
  <c r="A52" i="158" s="1"/>
  <c r="A53" i="158" s="1"/>
  <c r="A54" i="158" s="1"/>
  <c r="A55" i="158" s="1"/>
  <c r="A56" i="158" s="1"/>
  <c r="A57" i="158" s="1"/>
  <c r="A58" i="158" s="1"/>
  <c r="A59" i="158" s="1"/>
  <c r="A60" i="158" s="1"/>
  <c r="A61" i="158" s="1"/>
  <c r="A62" i="158" s="1"/>
  <c r="A63" i="158" s="1"/>
  <c r="A64" i="158" s="1"/>
  <c r="A65" i="158" s="1"/>
  <c r="A66" i="158" s="1"/>
  <c r="A67" i="158" s="1"/>
  <c r="A68" i="158" s="1"/>
  <c r="A69" i="158" s="1"/>
  <c r="A70" i="158" s="1"/>
  <c r="A71" i="158" s="1"/>
  <c r="A72" i="158" s="1"/>
  <c r="A73" i="158" s="1"/>
  <c r="A74" i="158" s="1"/>
  <c r="A75" i="158" s="1"/>
  <c r="A76" i="158" s="1"/>
  <c r="A77" i="158" s="1"/>
  <c r="A78" i="158" s="1"/>
  <c r="A79" i="158" s="1"/>
  <c r="A80" i="158" s="1"/>
  <c r="A81" i="158" s="1"/>
  <c r="A82" i="158" s="1"/>
  <c r="A83" i="158" s="1"/>
  <c r="A84" i="158" s="1"/>
  <c r="A85" i="158" s="1"/>
  <c r="A86" i="158" s="1"/>
  <c r="A87" i="158" s="1"/>
  <c r="A88" i="158" s="1"/>
  <c r="A89" i="158" s="1"/>
  <c r="A90" i="158" s="1"/>
  <c r="A91" i="158" s="1"/>
  <c r="A92" i="158" s="1"/>
  <c r="A93" i="158" s="1"/>
  <c r="A94" i="158" s="1"/>
  <c r="A95" i="158" s="1"/>
  <c r="A96" i="158" s="1"/>
  <c r="A97" i="158" s="1"/>
  <c r="A98" i="158" s="1"/>
  <c r="A99" i="158" s="1"/>
  <c r="A100" i="158" s="1"/>
  <c r="A101" i="158" s="1"/>
  <c r="A102" i="158" s="1"/>
  <c r="A103" i="158" s="1"/>
  <c r="A104" i="158" s="1"/>
  <c r="A105" i="158" s="1"/>
  <c r="A106" i="158" s="1"/>
  <c r="A107" i="158" s="1"/>
  <c r="A108" i="158" s="1"/>
  <c r="A109" i="158" s="1"/>
  <c r="A110" i="158" s="1"/>
  <c r="A111" i="158" s="1"/>
  <c r="A112" i="158" s="1"/>
  <c r="A113" i="158" s="1"/>
  <c r="A114" i="158" s="1"/>
  <c r="A115" i="158" s="1"/>
  <c r="A116" i="158" s="1"/>
  <c r="A117" i="158" s="1"/>
  <c r="A118" i="158" s="1"/>
  <c r="A119" i="158" s="1"/>
  <c r="A120" i="158" s="1"/>
  <c r="A121" i="158" s="1"/>
  <c r="A122" i="158" s="1"/>
  <c r="A123" i="158" s="1"/>
  <c r="A124" i="158" s="1"/>
  <c r="A125" i="158" s="1"/>
  <c r="A126" i="158" s="1"/>
  <c r="A127" i="158" s="1"/>
  <c r="A128" i="158" s="1"/>
  <c r="A129" i="158" s="1"/>
  <c r="A130" i="158" s="1"/>
  <c r="A131" i="158" s="1"/>
  <c r="A132" i="158" s="1"/>
  <c r="A133" i="158" s="1"/>
  <c r="A134" i="158" s="1"/>
  <c r="A135" i="158" s="1"/>
  <c r="A136" i="158" s="1"/>
  <c r="A137" i="158" s="1"/>
  <c r="A138" i="158" s="1"/>
  <c r="A139" i="158" s="1"/>
  <c r="A140" i="158" s="1"/>
  <c r="A141" i="158" s="1"/>
  <c r="A142" i="158" s="1"/>
  <c r="A143" i="158" s="1"/>
  <c r="A144" i="158" s="1"/>
  <c r="A145" i="158" s="1"/>
  <c r="A146" i="158" s="1"/>
  <c r="A147" i="158" s="1"/>
  <c r="A148" i="158" s="1"/>
  <c r="A149" i="158" s="1"/>
  <c r="A150" i="158" s="1"/>
  <c r="A151" i="158" s="1"/>
  <c r="A152" i="158" s="1"/>
  <c r="A153" i="158" s="1"/>
  <c r="A154" i="158" s="1"/>
  <c r="A155" i="158" s="1"/>
  <c r="A156" i="158" s="1"/>
  <c r="A157" i="158" s="1"/>
  <c r="A158" i="158" s="1"/>
  <c r="A159" i="158" s="1"/>
  <c r="A160" i="158" s="1"/>
  <c r="A161" i="158" s="1"/>
  <c r="A162" i="158" s="1"/>
  <c r="A163" i="158" s="1"/>
  <c r="A164" i="158" s="1"/>
  <c r="A165" i="158" s="1"/>
  <c r="A166" i="158" s="1"/>
  <c r="A167" i="158" s="1"/>
  <c r="A168" i="158" s="1"/>
  <c r="A169" i="158" s="1"/>
  <c r="A170" i="158" s="1"/>
  <c r="A171" i="158" s="1"/>
  <c r="A172" i="158" s="1"/>
  <c r="A173" i="158" s="1"/>
  <c r="A174" i="158" s="1"/>
  <c r="A175" i="158" s="1"/>
  <c r="A176" i="158" s="1"/>
  <c r="A177" i="158" s="1"/>
  <c r="A178" i="158" s="1"/>
  <c r="A179" i="158" s="1"/>
  <c r="A180" i="158" s="1"/>
  <c r="A181" i="158" s="1"/>
  <c r="A182" i="158" s="1"/>
  <c r="A183" i="158" s="1"/>
  <c r="A184" i="158" s="1"/>
  <c r="A185" i="158" s="1"/>
  <c r="L18" i="158"/>
  <c r="L7" i="126"/>
  <c r="Q7" i="126"/>
  <c r="Q9" i="126" s="1"/>
  <c r="L8" i="126"/>
  <c r="M8" i="126"/>
  <c r="Q8" i="126"/>
  <c r="K9" i="126"/>
  <c r="N9" i="126"/>
  <c r="O9" i="126"/>
  <c r="P9" i="126"/>
  <c r="L11" i="126"/>
  <c r="M11" i="126" s="1"/>
  <c r="Q11" i="126"/>
  <c r="L12" i="126"/>
  <c r="M12" i="126" s="1"/>
  <c r="Q12" i="126"/>
  <c r="L13" i="126"/>
  <c r="M13" i="126" s="1"/>
  <c r="Q13" i="126"/>
  <c r="L14" i="126"/>
  <c r="Q14" i="126"/>
  <c r="L15" i="126"/>
  <c r="M15" i="126"/>
  <c r="Q15" i="126"/>
  <c r="L16" i="126"/>
  <c r="M16" i="126" s="1"/>
  <c r="Q16" i="126"/>
  <c r="K17" i="126"/>
  <c r="N17" i="126"/>
  <c r="O17" i="126"/>
  <c r="P17" i="126"/>
  <c r="L19" i="126"/>
  <c r="M19" i="126" s="1"/>
  <c r="Q19" i="126"/>
  <c r="L20" i="126"/>
  <c r="M20" i="126" s="1"/>
  <c r="Q20" i="126"/>
  <c r="L21" i="126"/>
  <c r="M21" i="126"/>
  <c r="Q21" i="126"/>
  <c r="L22" i="126"/>
  <c r="M22" i="126" s="1"/>
  <c r="Q22" i="126"/>
  <c r="L23" i="126"/>
  <c r="Q23" i="126"/>
  <c r="L24" i="126"/>
  <c r="M24" i="126" s="1"/>
  <c r="Q24" i="126"/>
  <c r="L25" i="126"/>
  <c r="M25" i="126"/>
  <c r="Q25" i="126"/>
  <c r="K26" i="126"/>
  <c r="N26" i="126"/>
  <c r="O26" i="126"/>
  <c r="P26" i="126"/>
  <c r="L28" i="126"/>
  <c r="M28" i="126" s="1"/>
  <c r="Q28" i="126"/>
  <c r="L29" i="126"/>
  <c r="M29" i="126" s="1"/>
  <c r="Q29" i="126"/>
  <c r="Q32" i="126" s="1"/>
  <c r="L30" i="126"/>
  <c r="M30" i="126" s="1"/>
  <c r="Q30" i="126"/>
  <c r="L31" i="126"/>
  <c r="M31" i="126"/>
  <c r="Q31" i="126"/>
  <c r="K32" i="126"/>
  <c r="N32" i="126"/>
  <c r="O32" i="126"/>
  <c r="P32" i="126"/>
  <c r="L34" i="126"/>
  <c r="M34" i="126" s="1"/>
  <c r="Q34" i="126"/>
  <c r="L35" i="126"/>
  <c r="L38" i="126" s="1"/>
  <c r="Q35" i="126"/>
  <c r="L36" i="126"/>
  <c r="M36" i="126" s="1"/>
  <c r="Q36" i="126"/>
  <c r="Q38" i="126" s="1"/>
  <c r="L37" i="126"/>
  <c r="M37" i="126" s="1"/>
  <c r="Q37" i="126"/>
  <c r="K38" i="126"/>
  <c r="N38" i="126"/>
  <c r="N3" i="126" s="1"/>
  <c r="O38" i="126"/>
  <c r="P38" i="126"/>
  <c r="L40" i="126"/>
  <c r="M40" i="126"/>
  <c r="M41" i="126" s="1"/>
  <c r="Q40" i="126"/>
  <c r="Q41" i="126" s="1"/>
  <c r="K41" i="126"/>
  <c r="N41" i="126"/>
  <c r="O41" i="126"/>
  <c r="P41" i="126"/>
  <c r="AG28" i="164"/>
  <c r="AC28" i="164"/>
  <c r="AB36" i="164"/>
  <c r="AA8" i="164"/>
  <c r="AA90" i="164" s="1"/>
  <c r="Z77" i="164"/>
  <c r="AG48" i="164"/>
  <c r="P12" i="156"/>
  <c r="W90" i="164"/>
  <c r="Z103" i="164"/>
  <c r="AD103" i="164" s="1"/>
  <c r="AL103" i="164" s="1"/>
  <c r="Z105" i="164"/>
  <c r="AD105" i="164" s="1"/>
  <c r="Z104" i="164"/>
  <c r="AD104" i="164" s="1"/>
  <c r="AK104" i="164" s="1"/>
  <c r="Z107" i="164"/>
  <c r="AD107" i="164" s="1"/>
  <c r="V90" i="164"/>
  <c r="Z23" i="164"/>
  <c r="Q17" i="126"/>
  <c r="U22" i="164"/>
  <c r="N89" i="164"/>
  <c r="Z29" i="164"/>
  <c r="AD29" i="164" s="1"/>
  <c r="AL61" i="164"/>
  <c r="Z68" i="164"/>
  <c r="AD68" i="164" s="1"/>
  <c r="T23" i="156"/>
  <c r="Z85" i="164"/>
  <c r="AH85" i="164"/>
  <c r="Z41" i="164"/>
  <c r="AD41" i="164" s="1"/>
  <c r="Z101" i="164"/>
  <c r="AD101" i="164"/>
  <c r="AF101" i="164" s="1"/>
  <c r="L9" i="126"/>
  <c r="P44" i="156"/>
  <c r="P9" i="164"/>
  <c r="Q94" i="164"/>
  <c r="AL62" i="164"/>
  <c r="T32" i="156"/>
  <c r="Q25" i="164"/>
  <c r="AD83" i="164"/>
  <c r="AL83" i="164"/>
  <c r="P3" i="126"/>
  <c r="M7" i="126"/>
  <c r="M9" i="126"/>
  <c r="S69" i="156"/>
  <c r="X8" i="164"/>
  <c r="R89" i="164"/>
  <c r="L41" i="126"/>
  <c r="M14" i="126"/>
  <c r="P67" i="156"/>
  <c r="AF84" i="164"/>
  <c r="AH84" i="164"/>
  <c r="X25" i="164"/>
  <c r="AR62" i="164"/>
  <c r="Z54" i="164"/>
  <c r="AD54" i="164" s="1"/>
  <c r="Q57" i="164"/>
  <c r="Z98" i="164"/>
  <c r="Z99" i="164"/>
  <c r="AD99" i="164" s="1"/>
  <c r="AK99" i="164" s="1"/>
  <c r="Q109" i="164"/>
  <c r="Q69" i="156"/>
  <c r="N91" i="164"/>
  <c r="V89" i="164"/>
  <c r="Z66" i="164"/>
  <c r="AD66" i="164" s="1"/>
  <c r="X88" i="164"/>
  <c r="X22" i="164"/>
  <c r="AL54" i="164"/>
  <c r="P38" i="156"/>
  <c r="X39" i="164"/>
  <c r="Z39" i="164" s="1"/>
  <c r="AD39" i="164" s="1"/>
  <c r="AL39" i="164" s="1"/>
  <c r="I99" i="164"/>
  <c r="Q70" i="164"/>
  <c r="M35" i="126"/>
  <c r="AL69" i="164"/>
  <c r="AF12" i="164"/>
  <c r="J91" i="161"/>
  <c r="Y9" i="164"/>
  <c r="Y90" i="164"/>
  <c r="AL84" i="164"/>
  <c r="Q13" i="164"/>
  <c r="Q91" i="164" s="1"/>
  <c r="AR61" i="164"/>
  <c r="AV61" i="164" s="1"/>
  <c r="V61" i="164"/>
  <c r="Z61" i="164" s="1"/>
  <c r="AK11" i="164"/>
  <c r="AF83" i="164"/>
  <c r="AD23" i="164"/>
  <c r="AF23" i="164" s="1"/>
  <c r="AQ23" i="164" s="1"/>
  <c r="AK83" i="164"/>
  <c r="AL23" i="164"/>
  <c r="AD85" i="164"/>
  <c r="AK82" i="164"/>
  <c r="AL82" i="164"/>
  <c r="AF82" i="164"/>
  <c r="Z49" i="164"/>
  <c r="AD49" i="164" s="1"/>
  <c r="Q51" i="164"/>
  <c r="Z47" i="164"/>
  <c r="AD47" i="164" s="1"/>
  <c r="Q80" i="164"/>
  <c r="AF85" i="164"/>
  <c r="AH82" i="164"/>
  <c r="AK85" i="164"/>
  <c r="AL85" i="164"/>
  <c r="AL49" i="164"/>
  <c r="AG42" i="164"/>
  <c r="AC42" i="164"/>
  <c r="AB45" i="164"/>
  <c r="AD42" i="164"/>
  <c r="AK42" i="164" s="1"/>
  <c r="AL42" i="164"/>
  <c r="AF42" i="164"/>
  <c r="AH42" i="164"/>
  <c r="AG6" i="164"/>
  <c r="AB8" i="164"/>
  <c r="AB90" i="164" s="1"/>
  <c r="AC6" i="164"/>
  <c r="AC8" i="164" s="1"/>
  <c r="AA118" i="164"/>
  <c r="AA109" i="164"/>
  <c r="AA115" i="164" s="1"/>
  <c r="AC101" i="164"/>
  <c r="Z30" i="164" l="1"/>
  <c r="AD30" i="164" s="1"/>
  <c r="AK30" i="164" s="1"/>
  <c r="AC25" i="164"/>
  <c r="AL108" i="164"/>
  <c r="AF105" i="164"/>
  <c r="AH105" i="164" s="1"/>
  <c r="AL105" i="164"/>
  <c r="S89" i="164"/>
  <c r="S96" i="164" s="1"/>
  <c r="AF107" i="164"/>
  <c r="AH107" i="164" s="1"/>
  <c r="AL107" i="164"/>
  <c r="AK107" i="164"/>
  <c r="AA9" i="164"/>
  <c r="AC57" i="164"/>
  <c r="Y92" i="164"/>
  <c r="Q36" i="164"/>
  <c r="AC109" i="164"/>
  <c r="AC115" i="164" s="1"/>
  <c r="AC36" i="164"/>
  <c r="AE9" i="164"/>
  <c r="Q63" i="164"/>
  <c r="V59" i="164"/>
  <c r="Z59" i="164" s="1"/>
  <c r="AK47" i="164"/>
  <c r="AL47" i="164"/>
  <c r="AH101" i="164"/>
  <c r="Z13" i="164"/>
  <c r="Z91" i="164" s="1"/>
  <c r="AD10" i="164"/>
  <c r="O89" i="164"/>
  <c r="AK43" i="164"/>
  <c r="AL43" i="164"/>
  <c r="AF43" i="164"/>
  <c r="AH43" i="164" s="1"/>
  <c r="AC51" i="164"/>
  <c r="AK49" i="164"/>
  <c r="AF49" i="164"/>
  <c r="AH49" i="164" s="1"/>
  <c r="AB9" i="164"/>
  <c r="AF47" i="164"/>
  <c r="AH47" i="164" s="1"/>
  <c r="AF104" i="164"/>
  <c r="AH104" i="164" s="1"/>
  <c r="AF103" i="164"/>
  <c r="AH103" i="164" s="1"/>
  <c r="L17" i="126"/>
  <c r="AK41" i="164"/>
  <c r="AF41" i="164"/>
  <c r="AL41" i="164"/>
  <c r="AK27" i="164"/>
  <c r="AH27" i="164"/>
  <c r="AL27" i="164"/>
  <c r="K3" i="126"/>
  <c r="X48" i="164"/>
  <c r="U51" i="164"/>
  <c r="Q88" i="164"/>
  <c r="Z87" i="164"/>
  <c r="Z102" i="164"/>
  <c r="X109" i="164"/>
  <c r="AL106" i="164"/>
  <c r="AK106" i="164"/>
  <c r="AF106" i="164"/>
  <c r="AH106" i="164" s="1"/>
  <c r="AK39" i="164"/>
  <c r="AF39" i="164"/>
  <c r="AH39" i="164" s="1"/>
  <c r="AL104" i="164"/>
  <c r="L32" i="126"/>
  <c r="AK54" i="164"/>
  <c r="AF54" i="164"/>
  <c r="N96" i="164"/>
  <c r="J3" i="164"/>
  <c r="J4" i="164"/>
  <c r="N92" i="164"/>
  <c r="O3" i="126"/>
  <c r="Q8" i="164"/>
  <c r="Z6" i="164"/>
  <c r="AF7" i="164"/>
  <c r="AL7" i="164"/>
  <c r="P22" i="164"/>
  <c r="Q19" i="164"/>
  <c r="Z19" i="164" s="1"/>
  <c r="AD19" i="164" s="1"/>
  <c r="Z20" i="164"/>
  <c r="AD20" i="164" s="1"/>
  <c r="Z28" i="164"/>
  <c r="AD28" i="164" s="1"/>
  <c r="U45" i="164"/>
  <c r="X38" i="164"/>
  <c r="X45" i="164" s="1"/>
  <c r="X74" i="164"/>
  <c r="Z72" i="164"/>
  <c r="AD72" i="164" s="1"/>
  <c r="Q74" i="164"/>
  <c r="Z73" i="164"/>
  <c r="Z76" i="164"/>
  <c r="AD76" i="164" s="1"/>
  <c r="AL76" i="164"/>
  <c r="AG109" i="164"/>
  <c r="AG31" i="164"/>
  <c r="T36" i="164"/>
  <c r="U31" i="164"/>
  <c r="T45" i="164"/>
  <c r="AG38" i="164"/>
  <c r="T80" i="164"/>
  <c r="U79" i="164"/>
  <c r="V96" i="164"/>
  <c r="V92" i="164"/>
  <c r="V93" i="164" s="1"/>
  <c r="AV62" i="164"/>
  <c r="AV64" i="164" s="1"/>
  <c r="AR63" i="164"/>
  <c r="AV63" i="164" s="1"/>
  <c r="X90" i="164"/>
  <c r="X9" i="164"/>
  <c r="AK101" i="164"/>
  <c r="AL101" i="164"/>
  <c r="L26" i="126"/>
  <c r="L3" i="126" s="1"/>
  <c r="M23" i="126"/>
  <c r="Q26" i="126"/>
  <c r="Q3" i="126" s="1"/>
  <c r="W91" i="164"/>
  <c r="AG91" i="164" s="1"/>
  <c r="AE89" i="164"/>
  <c r="AE93" i="164"/>
  <c r="X56" i="164"/>
  <c r="U57" i="164"/>
  <c r="X63" i="164"/>
  <c r="AL59" i="164"/>
  <c r="Z65" i="164"/>
  <c r="X70" i="164"/>
  <c r="AK69" i="164"/>
  <c r="AF69" i="164"/>
  <c r="AH69" i="164" s="1"/>
  <c r="Z32" i="164"/>
  <c r="AD32" i="164" s="1"/>
  <c r="Z63" i="164"/>
  <c r="AL63" i="164"/>
  <c r="Z21" i="164"/>
  <c r="AD21" i="164" s="1"/>
  <c r="W89" i="164"/>
  <c r="W92" i="164" s="1"/>
  <c r="Z33" i="164"/>
  <c r="AD33" i="164" s="1"/>
  <c r="Q45" i="164"/>
  <c r="Z40" i="164"/>
  <c r="AD40" i="164" s="1"/>
  <c r="Q95" i="164"/>
  <c r="R96" i="164"/>
  <c r="Z109" i="164"/>
  <c r="AD110" i="164" s="1"/>
  <c r="Z24" i="164"/>
  <c r="Z55" i="164"/>
  <c r="AD55" i="164" s="1"/>
  <c r="Z78" i="164"/>
  <c r="AD78" i="164" s="1"/>
  <c r="AG90" i="164"/>
  <c r="AC9" i="164"/>
  <c r="AC90" i="164"/>
  <c r="AL20" i="164"/>
  <c r="Z95" i="164"/>
  <c r="AF44" i="164"/>
  <c r="AL44" i="164"/>
  <c r="AK44" i="164"/>
  <c r="AL68" i="164"/>
  <c r="AF68" i="164"/>
  <c r="AH68" i="164" s="1"/>
  <c r="AK68" i="164"/>
  <c r="AF29" i="164"/>
  <c r="AK29" i="164"/>
  <c r="AL29" i="164"/>
  <c r="M38" i="126"/>
  <c r="M32" i="126"/>
  <c r="M17" i="126"/>
  <c r="AK50" i="164"/>
  <c r="AF50" i="164"/>
  <c r="AH50" i="164" s="1"/>
  <c r="AL50" i="164"/>
  <c r="AL66" i="164"/>
  <c r="AK66" i="164"/>
  <c r="AF66" i="164"/>
  <c r="AH66" i="164" s="1"/>
  <c r="AF34" i="164"/>
  <c r="AQ34" i="164" s="1"/>
  <c r="AK34" i="164"/>
  <c r="AL34" i="164"/>
  <c r="AL53" i="164"/>
  <c r="AF53" i="164"/>
  <c r="AK53" i="164"/>
  <c r="AE95" i="164"/>
  <c r="AD95" i="164"/>
  <c r="M26" i="126"/>
  <c r="AK23" i="164"/>
  <c r="V63" i="164"/>
  <c r="Z18" i="164"/>
  <c r="Z35" i="164"/>
  <c r="AD35" i="164" s="1"/>
  <c r="AK7" i="164"/>
  <c r="AF30" i="164" l="1"/>
  <c r="AH30" i="164" s="1"/>
  <c r="AL30" i="164"/>
  <c r="S92" i="164"/>
  <c r="AC110" i="164"/>
  <c r="Z115" i="164"/>
  <c r="AD24" i="164"/>
  <c r="Z25" i="164"/>
  <c r="AF78" i="164"/>
  <c r="AH78" i="164" s="1"/>
  <c r="AL78" i="164"/>
  <c r="AK78" i="164"/>
  <c r="AD65" i="164"/>
  <c r="Z70" i="164"/>
  <c r="Z56" i="164"/>
  <c r="X57" i="164"/>
  <c r="W96" i="164"/>
  <c r="Z38" i="164"/>
  <c r="T89" i="164"/>
  <c r="AK76" i="164"/>
  <c r="AF76" i="164"/>
  <c r="AK20" i="164"/>
  <c r="AF20" i="164"/>
  <c r="AH20" i="164" s="1"/>
  <c r="Z48" i="164"/>
  <c r="X51" i="164"/>
  <c r="AK95" i="164"/>
  <c r="AF55" i="164"/>
  <c r="AH55" i="164" s="1"/>
  <c r="AK55" i="164"/>
  <c r="AL55" i="164"/>
  <c r="AL33" i="164"/>
  <c r="AF33" i="164"/>
  <c r="AH33" i="164" s="1"/>
  <c r="AK33" i="164"/>
  <c r="AD73" i="164"/>
  <c r="Z74" i="164"/>
  <c r="AL19" i="164"/>
  <c r="AF19" i="164"/>
  <c r="AK19" i="164"/>
  <c r="Z8" i="164"/>
  <c r="AD6" i="164"/>
  <c r="AD87" i="164"/>
  <c r="Z88" i="164"/>
  <c r="AK32" i="164"/>
  <c r="AF32" i="164"/>
  <c r="AL32" i="164"/>
  <c r="AE96" i="164"/>
  <c r="AE92" i="164"/>
  <c r="AE114" i="164" s="1"/>
  <c r="AE116" i="164" s="1"/>
  <c r="X79" i="164"/>
  <c r="U80" i="164"/>
  <c r="P89" i="164"/>
  <c r="Q93" i="164" s="1"/>
  <c r="Q22" i="164"/>
  <c r="Q89" i="164" s="1"/>
  <c r="Q90" i="164"/>
  <c r="Z94" i="164" s="1"/>
  <c r="Q9" i="164"/>
  <c r="O96" i="164"/>
  <c r="O92" i="164"/>
  <c r="AL40" i="164"/>
  <c r="AF40" i="164"/>
  <c r="AH40" i="164" s="1"/>
  <c r="AK40" i="164"/>
  <c r="AK21" i="164"/>
  <c r="AL21" i="164"/>
  <c r="AF21" i="164"/>
  <c r="X31" i="164"/>
  <c r="U36" i="164"/>
  <c r="AL72" i="164"/>
  <c r="AK72" i="164"/>
  <c r="AF72" i="164"/>
  <c r="AK28" i="164"/>
  <c r="AF28" i="164"/>
  <c r="AH28" i="164" s="1"/>
  <c r="AL28" i="164"/>
  <c r="Z118" i="164"/>
  <c r="AD102" i="164"/>
  <c r="AD13" i="164"/>
  <c r="AF10" i="164"/>
  <c r="AF13" i="164" s="1"/>
  <c r="AF91" i="164" s="1"/>
  <c r="AK10" i="164"/>
  <c r="Z22" i="164"/>
  <c r="M3" i="126"/>
  <c r="AH29" i="164"/>
  <c r="AF35" i="164"/>
  <c r="AK35" i="164"/>
  <c r="AL35" i="164"/>
  <c r="U89" i="164" l="1"/>
  <c r="U96" i="164" s="1"/>
  <c r="P96" i="164"/>
  <c r="P92" i="164"/>
  <c r="P95" i="164" s="1"/>
  <c r="AD8" i="164"/>
  <c r="AF6" i="164"/>
  <c r="AK6" i="164"/>
  <c r="AL6" i="164"/>
  <c r="AK13" i="164"/>
  <c r="AL13" i="164"/>
  <c r="AD91" i="164"/>
  <c r="Z9" i="164"/>
  <c r="Z90" i="164"/>
  <c r="AD94" i="164" s="1"/>
  <c r="AK94" i="164" s="1"/>
  <c r="T96" i="164"/>
  <c r="T92" i="164"/>
  <c r="U93" i="164" s="1"/>
  <c r="Z57" i="164"/>
  <c r="AH57" i="164" s="1"/>
  <c r="AD56" i="164"/>
  <c r="AD25" i="164"/>
  <c r="AF24" i="164"/>
  <c r="AF25" i="164" s="1"/>
  <c r="AL24" i="164"/>
  <c r="AK24" i="164"/>
  <c r="AK102" i="164"/>
  <c r="AL102" i="164"/>
  <c r="AF102" i="164"/>
  <c r="AD109" i="164"/>
  <c r="Z79" i="164"/>
  <c r="X80" i="164"/>
  <c r="AH32" i="164"/>
  <c r="AD38" i="164"/>
  <c r="Z45" i="164"/>
  <c r="AH45" i="164" s="1"/>
  <c r="Z31" i="164"/>
  <c r="X36" i="164"/>
  <c r="Q96" i="164"/>
  <c r="Q92" i="164"/>
  <c r="AK87" i="164"/>
  <c r="AL87" i="164"/>
  <c r="AF87" i="164"/>
  <c r="AF88" i="164" s="1"/>
  <c r="AD88" i="164"/>
  <c r="AL88" i="164" s="1"/>
  <c r="AF73" i="164"/>
  <c r="AF74" i="164" s="1"/>
  <c r="AD74" i="164"/>
  <c r="AL73" i="164"/>
  <c r="AK73" i="164"/>
  <c r="AD48" i="164"/>
  <c r="Z51" i="164"/>
  <c r="AH51" i="164" s="1"/>
  <c r="AK65" i="164"/>
  <c r="AL65" i="164"/>
  <c r="AF65" i="164"/>
  <c r="U92" i="164" l="1"/>
  <c r="X89" i="164"/>
  <c r="X92" i="164" s="1"/>
  <c r="AD51" i="164"/>
  <c r="AL48" i="164"/>
  <c r="AF48" i="164"/>
  <c r="AK48" i="164"/>
  <c r="AD31" i="164"/>
  <c r="Z36" i="164"/>
  <c r="AQ96" i="164"/>
  <c r="AR96" i="164" s="1"/>
  <c r="AQ4" i="164"/>
  <c r="AK25" i="164"/>
  <c r="AL25" i="164"/>
  <c r="AK91" i="164"/>
  <c r="AL91" i="164"/>
  <c r="AH65" i="164"/>
  <c r="AF110" i="164"/>
  <c r="AK109" i="164"/>
  <c r="AD115" i="164"/>
  <c r="AF118" i="164" s="1"/>
  <c r="AL109" i="164"/>
  <c r="AL115" i="164" s="1"/>
  <c r="AL116" i="164" s="1"/>
  <c r="AL56" i="164"/>
  <c r="AK56" i="164"/>
  <c r="AF56" i="164"/>
  <c r="AD57" i="164"/>
  <c r="AH6" i="164"/>
  <c r="AF8" i="164"/>
  <c r="AK74" i="164"/>
  <c r="AL74" i="164"/>
  <c r="AL38" i="164"/>
  <c r="AK38" i="164"/>
  <c r="AD45" i="164"/>
  <c r="AF38" i="164"/>
  <c r="Z80" i="164"/>
  <c r="AH80" i="164" s="1"/>
  <c r="AD79" i="164"/>
  <c r="AH102" i="164"/>
  <c r="AF111" i="164"/>
  <c r="AF109" i="164"/>
  <c r="AD90" i="164"/>
  <c r="AK8" i="164"/>
  <c r="AL8" i="164"/>
  <c r="AD9" i="164"/>
  <c r="Z93" i="164" l="1"/>
  <c r="X96" i="164"/>
  <c r="AK9" i="164"/>
  <c r="AL9" i="164"/>
  <c r="AH38" i="164"/>
  <c r="AF45" i="164"/>
  <c r="AK57" i="164"/>
  <c r="AL57" i="164"/>
  <c r="AH36" i="164"/>
  <c r="Z89" i="164"/>
  <c r="AF51" i="164"/>
  <c r="AH48" i="164"/>
  <c r="AF115" i="164"/>
  <c r="AG115" i="164" s="1"/>
  <c r="AH109" i="164"/>
  <c r="AK45" i="164"/>
  <c r="AL45" i="164"/>
  <c r="AH56" i="164"/>
  <c r="AF57" i="164"/>
  <c r="AL31" i="164"/>
  <c r="AK31" i="164"/>
  <c r="AF31" i="164"/>
  <c r="AD36" i="164"/>
  <c r="AK90" i="164"/>
  <c r="AL90" i="164"/>
  <c r="AF79" i="164"/>
  <c r="AF80" i="164" s="1"/>
  <c r="AK79" i="164"/>
  <c r="AD80" i="164"/>
  <c r="AK80" i="164" s="1"/>
  <c r="AL79" i="164"/>
  <c r="AF90" i="164"/>
  <c r="AH90" i="164" s="1"/>
  <c r="AH8" i="164"/>
  <c r="AF9" i="164"/>
  <c r="AH9" i="164" s="1"/>
  <c r="AQ2" i="164"/>
  <c r="AR4" i="164"/>
  <c r="AL51" i="164"/>
  <c r="AK51" i="164"/>
  <c r="AL36" i="164" l="1"/>
  <c r="AK36" i="164"/>
  <c r="AH31" i="164"/>
  <c r="AF36" i="164"/>
  <c r="Z92" i="164"/>
  <c r="Z114" i="164" s="1"/>
  <c r="Z116" i="164" s="1"/>
  <c r="Z96" i="164"/>
  <c r="AG18" i="164" l="1"/>
  <c r="AC18" i="164"/>
  <c r="AC22" i="164" s="1"/>
  <c r="AB22" i="164"/>
  <c r="AD18" i="164"/>
  <c r="AK18" i="164" s="1"/>
  <c r="AL18" i="164" l="1"/>
  <c r="AF18" i="164"/>
  <c r="AF22" i="164" s="1"/>
  <c r="AD22" i="164"/>
  <c r="AL22" i="164" l="1"/>
  <c r="AK22" i="164"/>
  <c r="AH22" i="164"/>
  <c r="AG67" i="164"/>
  <c r="AG70" i="164" s="1"/>
  <c r="AC67" i="164"/>
  <c r="AC70" i="164" s="1"/>
  <c r="AB70" i="164"/>
  <c r="AB89" i="164" s="1"/>
  <c r="AB96" i="164" s="1"/>
  <c r="AD67" i="164"/>
  <c r="AL67" i="164" s="1"/>
  <c r="AH70" i="164" l="1"/>
  <c r="AD96" i="164"/>
  <c r="AD70" i="164"/>
  <c r="AD93" i="164"/>
  <c r="AK93" i="164" s="1"/>
  <c r="AG89" i="164"/>
  <c r="AG92" i="164" s="1"/>
  <c r="AB92" i="164"/>
  <c r="AK67" i="164"/>
  <c r="AF67" i="164"/>
  <c r="AH67" i="164" l="1"/>
  <c r="AF70" i="164"/>
  <c r="AF89" i="164" s="1"/>
  <c r="AB114" i="164"/>
  <c r="AK70" i="164"/>
  <c r="AL70" i="164"/>
  <c r="AD89" i="164"/>
  <c r="AL96" i="164"/>
  <c r="AK96" i="164"/>
  <c r="AK89" i="164" l="1"/>
  <c r="AD92" i="164"/>
  <c r="AL89" i="164"/>
  <c r="AB116" i="164"/>
  <c r="AF96" i="164"/>
  <c r="AH96" i="164" s="1"/>
  <c r="AH89" i="164"/>
  <c r="AK92" i="164" l="1"/>
  <c r="AL92" i="164"/>
  <c r="AF92" i="164"/>
  <c r="AD114" i="164"/>
  <c r="AD118" i="164"/>
  <c r="AF114" i="164" l="1"/>
  <c r="AG114" i="164" s="1"/>
  <c r="AH92" i="164"/>
  <c r="AF119" i="164"/>
  <c r="AD116" i="164"/>
  <c r="AD120" i="164" l="1"/>
  <c r="AF120" i="164"/>
  <c r="AF116" i="164"/>
  <c r="AG116" i="164" s="1"/>
  <c r="AE120" i="164" l="1"/>
  <c r="AC38" i="164" l="1"/>
  <c r="AA45" i="164"/>
  <c r="AC45" i="164" s="1"/>
  <c r="AC89" i="164" s="1"/>
  <c r="AC92" i="164" s="1"/>
  <c r="AC114" i="164" s="1"/>
  <c r="AC116" i="164" s="1"/>
  <c r="AA89" i="164" l="1"/>
  <c r="AA92" i="164" s="1"/>
  <c r="AA114" i="164" s="1"/>
  <c r="AA116" i="164" s="1"/>
  <c r="AC93" i="164" l="1"/>
  <c r="AA96" i="164"/>
  <c r="AE118" i="164"/>
  <c r="AC118" i="164"/>
</calcChain>
</file>

<file path=xl/sharedStrings.xml><?xml version="1.0" encoding="utf-8"?>
<sst xmlns="http://schemas.openxmlformats.org/spreadsheetml/2006/main" count="9790" uniqueCount="2026">
  <si>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</si>
  <si>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</si>
  <si>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</si>
  <si>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</si>
  <si>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</si>
  <si>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</si>
  <si>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</si>
  <si>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</si>
  <si>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</si>
  <si>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</si>
  <si>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</si>
  <si>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</si>
  <si>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</si>
  <si>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</si>
  <si>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</si>
  <si>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</si>
  <si>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</si>
  <si>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</si>
  <si>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</si>
  <si>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</si>
  <si>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</si>
  <si>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</si>
  <si>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</si>
  <si>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</si>
  <si>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</si>
  <si>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</si>
  <si>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</si>
  <si>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</si>
  <si>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</si>
  <si>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</si>
  <si>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</si>
  <si>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</si>
  <si>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</si>
  <si>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</si>
  <si>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</si>
  <si>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</si>
  <si>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</si>
  <si>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</si>
  <si>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</si>
  <si>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</si>
  <si>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</si>
  <si>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</si>
  <si>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</si>
  <si>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</si>
  <si>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</si>
  <si>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</si>
  <si>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</si>
  <si>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</si>
  <si>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</si>
  <si>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</si>
  <si>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</si>
  <si>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</si>
  <si>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</si>
  <si>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</si>
  <si>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</si>
  <si>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</si>
  <si>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</si>
  <si>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</si>
  <si>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</si>
  <si>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</si>
  <si>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</si>
  <si>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</si>
  <si>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</si>
  <si>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</si>
  <si>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</si>
  <si>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</si>
  <si>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</si>
  <si>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</si>
  <si>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</si>
  <si>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</si>
  <si>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</si>
  <si>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</si>
  <si>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</si>
  <si>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</si>
  <si>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</si>
  <si>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</si>
  <si>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</si>
  <si>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</si>
  <si>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</si>
  <si>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</si>
  <si>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</si>
  <si>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</si>
  <si>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</si>
  <si>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</si>
  <si>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</si>
  <si>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</si>
  <si>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</si>
  <si>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</si>
  <si>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</si>
  <si>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</si>
  <si>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</si>
  <si>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</si>
  <si>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</si>
  <si>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</si>
  <si>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</si>
  <si>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</si>
  <si>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</si>
  <si>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</si>
  <si>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</si>
  <si>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</si>
  <si>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</si>
  <si>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</si>
  <si>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</si>
  <si>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</si>
  <si>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</si>
  <si>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</si>
  <si>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</si>
  <si>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</si>
  <si>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</si>
  <si>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</si>
  <si>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</si>
  <si>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</si>
  <si>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</si>
  <si>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</si>
  <si>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</si>
  <si>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</si>
  <si>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</si>
  <si>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</si>
  <si>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</si>
  <si>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</si>
  <si>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</si>
  <si>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</si>
  <si>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</si>
  <si>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</si>
  <si>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</si>
  <si>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</si>
  <si>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</si>
  <si>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</si>
  <si>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</si>
  <si>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</si>
  <si>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</si>
  <si>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</si>
  <si>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</si>
  <si>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</si>
  <si>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</si>
  <si>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</si>
  <si>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</si>
  <si>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</si>
  <si>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</si>
  <si>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</si>
  <si>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</si>
  <si>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</si>
  <si>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</si>
  <si>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</si>
  <si>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</si>
  <si>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</si>
  <si>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</si>
  <si>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</si>
  <si>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</si>
  <si>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</si>
  <si>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</si>
  <si>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</si>
  <si>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</si>
  <si>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</si>
  <si>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</si>
  <si>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</si>
  <si>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</si>
  <si>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</si>
  <si>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</si>
  <si>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</si>
  <si>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</si>
  <si>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</si>
  <si>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</si>
  <si>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</si>
  <si>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</si>
  <si>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</si>
  <si>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</si>
  <si>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</si>
  <si>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</si>
  <si>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</si>
  <si>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</si>
  <si>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</si>
  <si>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</si>
  <si>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</si>
  <si>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</si>
  <si>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</si>
  <si>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</si>
  <si>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</si>
  <si>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</si>
  <si>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</si>
  <si>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</si>
  <si>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</si>
  <si>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</si>
  <si>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</si>
  <si>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</si>
  <si>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</si>
  <si>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</si>
  <si>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</si>
  <si>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</si>
  <si>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</si>
  <si>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</si>
  <si>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</si>
  <si>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</si>
  <si>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</si>
  <si>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</si>
  <si>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</si>
  <si>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</si>
  <si>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</si>
  <si>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</si>
  <si>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</si>
  <si>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</si>
  <si>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</si>
  <si>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</si>
  <si>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</si>
  <si>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</si>
  <si>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</si>
  <si>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</si>
  <si>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</si>
  <si>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</si>
  <si>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</si>
  <si>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</si>
  <si>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MANTENIMIENTO DE BIENES INMUEBLES (ASCENSORES $8.074,767 +</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</si>
  <si>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</si>
  <si>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</si>
  <si>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</si>
  <si>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</si>
  <si>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</si>
  <si>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</si>
  <si>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</si>
  <si>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</si>
  <si>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</si>
  <si>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</si>
  <si>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</si>
  <si>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</si>
  <si>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</si>
  <si>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</si>
  <si>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</si>
  <si>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</si>
  <si>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ACREDITAR</t>
  </si>
  <si>
    <t>CONTRAACREDITAR</t>
  </si>
  <si>
    <t>REQUERIMIENTO</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</si>
  <si>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</si>
  <si>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</si>
  <si>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</si>
  <si>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</si>
  <si>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</si>
  <si>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</si>
  <si>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</si>
  <si>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</si>
  <si>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</si>
  <si>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</si>
  <si>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</si>
  <si>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</si>
  <si>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</si>
  <si>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</si>
  <si>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</si>
  <si>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</si>
  <si>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</si>
  <si>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</si>
  <si>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</si>
  <si>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</si>
  <si>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</si>
  <si>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</si>
  <si>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</si>
  <si>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</si>
  <si>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</si>
  <si>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</si>
  <si>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</si>
  <si>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</si>
  <si>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</si>
  <si>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</si>
  <si>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</si>
  <si>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</si>
  <si>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</si>
  <si>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</si>
  <si>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</si>
  <si>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</si>
  <si>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</si>
  <si>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</si>
  <si>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</si>
  <si>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</si>
  <si>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</si>
  <si>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</si>
  <si>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</si>
  <si>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</si>
  <si>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</si>
  <si>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</si>
  <si>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</si>
  <si>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</si>
  <si>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</si>
  <si>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</si>
  <si>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</si>
  <si>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</si>
  <si>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</si>
  <si>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</si>
  <si>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</si>
  <si>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</si>
  <si>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</si>
  <si>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</si>
  <si>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</si>
  <si>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</si>
  <si>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</si>
  <si>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</si>
  <si>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</si>
  <si>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</si>
  <si>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</si>
  <si>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</si>
  <si>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</si>
  <si>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</si>
  <si>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</si>
  <si>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</si>
  <si>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</si>
  <si>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</si>
  <si>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</si>
  <si>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</si>
  <si>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</si>
  <si>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</si>
  <si>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</si>
  <si>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</si>
  <si>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TOTAL TRASLADOS </t>
  </si>
  <si>
    <t xml:space="preserve">Adquisición de elementos de emergencias para los servidores de la Función Pública. </t>
  </si>
  <si>
    <t>2 0 4 1 8 SOFTWARE</t>
  </si>
  <si>
    <t>TRANSLADO ENTRE SUBRUBROS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</si>
  <si>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</si>
  <si>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</si>
  <si>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</si>
  <si>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</si>
  <si>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</si>
  <si>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</si>
  <si>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</si>
  <si>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REPORTE PRESUPUESTO - PLAN ANUAL DE ADQUSICIONES</t>
  </si>
  <si>
    <t>PLA</t>
  </si>
  <si>
    <t>EJECUCIÓN VIGENCIA 2013</t>
  </si>
  <si>
    <t>EJECUCIÓN VIGENCIA 2014</t>
  </si>
  <si>
    <t>EJECUCIÓN VIGENCIA 2015</t>
  </si>
  <si>
    <t>VIGENCIA 2017</t>
  </si>
  <si>
    <t>PLAN ANUAL DE ADQUISICIONES</t>
  </si>
  <si>
    <t>% EJECUCIÓN  POR RUBRO</t>
  </si>
  <si>
    <t>traslado entre rubros</t>
  </si>
  <si>
    <t>APR. INICIAL</t>
  </si>
  <si>
    <t>APR. ADICIONADA</t>
  </si>
  <si>
    <t>MENOS APR. REDUCIDA(AZUL APROPIAC BLOQUEADA)</t>
  </si>
  <si>
    <t>APR. VIGENTE</t>
  </si>
  <si>
    <t>PAGOS NO ASOCIADOS A CONTRATOS</t>
  </si>
  <si>
    <t>MENOS VIGENCIAS FUTURAS 2017</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</si>
  <si>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</si>
  <si>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</si>
  <si>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</si>
  <si>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</si>
  <si>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</si>
  <si>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</si>
  <si>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PROYECTO</t>
  </si>
  <si>
    <t>VALOR REGISTRADO EN PAA PENDIENTE DE CONTRATAR</t>
  </si>
  <si>
    <t>SUBTOTAL POR PROGRAMAR EN EL PAA</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</si>
  <si>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</si>
  <si>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</si>
  <si>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</si>
  <si>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</si>
  <si>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</si>
  <si>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</si>
  <si>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</si>
  <si>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HONORARIOS</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</si>
  <si>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</si>
  <si>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</si>
  <si>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</si>
  <si>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</si>
  <si>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</si>
  <si>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</si>
  <si>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</si>
  <si>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</si>
  <si>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</si>
  <si>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</si>
  <si>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</si>
  <si>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</si>
  <si>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</si>
  <si>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</si>
  <si>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</si>
  <si>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</si>
  <si>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Llantas para vehículos corsa.+ RENAULT</t>
  </si>
  <si>
    <t>MANTENIMIENTO DE BIENES INMUEBLES</t>
  </si>
  <si>
    <t>OTROS COMUNICACIONES Y TRANSPORTE</t>
  </si>
  <si>
    <t>SERVICIOS PUBLICOS</t>
  </si>
  <si>
    <t>SALSO PRESUP</t>
  </si>
  <si>
    <t>PROMEDIO MES</t>
  </si>
  <si>
    <t>FALTA POR PAGAR</t>
  </si>
  <si>
    <t>SALDO</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</si>
  <si>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</si>
  <si>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</si>
  <si>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</si>
  <si>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</si>
  <si>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</si>
  <si>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</si>
  <si>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</si>
  <si>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</si>
  <si>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</si>
  <si>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</si>
  <si>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</si>
  <si>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</si>
  <si>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INCLUIR EN TRASLADO 
   $8 MILLONES. PORQUE EL VALOR PROMEDIO ES DE $76.000.000</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</si>
  <si>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</si>
  <si>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</si>
  <si>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</si>
  <si>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</si>
  <si>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</si>
  <si>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</si>
  <si>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</si>
  <si>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</si>
  <si>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</si>
  <si>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</si>
  <si>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</si>
  <si>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</si>
  <si>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</si>
  <si>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</si>
  <si>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</si>
  <si>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</si>
  <si>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PRUEBA VALORES</t>
  </si>
  <si>
    <t>SUBTOTAL GASTOS GENERALES</t>
  </si>
  <si>
    <t>SUMAS</t>
  </si>
  <si>
    <t>OTRAS TRANSFERENCIAS - PREVIO CONCEPTO DGPPN</t>
  </si>
  <si>
    <t>SUBTOTAL TRANSFERENCIAS CORRIENTES</t>
  </si>
  <si>
    <t>INVERSION</t>
  </si>
  <si>
    <t>FORTALECIMIENTO DE LOS SISTEMAS DE INFORMACIÓN DEL EMPLEO PÚBLICO EN COLOMBIA</t>
  </si>
  <si>
    <t>1498</t>
  </si>
  <si>
    <t>1996</t>
  </si>
  <si>
    <t>MEJORAMIENTO DE LA INFRAESTRUCTURA PROPIA DEL SECTOR</t>
  </si>
  <si>
    <t>MEJORAMIENTO DE LA GESTION DE LAS POLITICAS PUBLICAS A TRAVES DE LAS TECNOLOGIAS DE INFORMACION TICS</t>
  </si>
  <si>
    <t>SUBTOTAL PROYECTOS DE INVERSIÓN</t>
  </si>
  <si>
    <t>pruebas</t>
  </si>
  <si>
    <t>RUBROS PRESUPUESTALES - PAA</t>
  </si>
  <si>
    <t>DIFERENCIA</t>
  </si>
  <si>
    <t>% EJECUCIÓN DEL PAA POR RUBRO</t>
  </si>
  <si>
    <t>SUBTOTAL FUNCIONAMIENTO</t>
  </si>
  <si>
    <t>SUBTOTAL INVERSIÓN</t>
  </si>
  <si>
    <t>GRAN TOTAL</t>
  </si>
  <si>
    <t>Compra de computadores portátiles para el servicio integral que presta la entidad</t>
  </si>
  <si>
    <t>TRASLADO ENTRE BRUBROS</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</si>
  <si>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</si>
  <si>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</si>
  <si>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</si>
  <si>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</si>
  <si>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</si>
  <si>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</si>
  <si>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</si>
  <si>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</si>
  <si>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</si>
  <si>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</si>
  <si>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</si>
  <si>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</si>
  <si>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</si>
  <si>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</si>
  <si>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</si>
  <si>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</si>
  <si>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</si>
  <si>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</si>
  <si>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</si>
  <si>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</si>
  <si>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</si>
  <si>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</si>
  <si>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</si>
  <si>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</si>
  <si>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</si>
  <si>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</si>
  <si>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</si>
  <si>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</si>
  <si>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</si>
  <si>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</si>
  <si>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</si>
  <si>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</si>
  <si>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</si>
  <si>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</si>
  <si>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</si>
  <si>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</si>
  <si>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</si>
  <si>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</si>
  <si>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</si>
  <si>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</si>
  <si>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</si>
  <si>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</si>
  <si>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</si>
  <si>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</si>
  <si>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</si>
  <si>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</si>
  <si>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</si>
  <si>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</si>
  <si>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</si>
  <si>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</si>
  <si>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</si>
  <si>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</si>
  <si>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</si>
  <si>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</si>
  <si>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</si>
  <si>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</si>
  <si>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</si>
  <si>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</si>
  <si>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</si>
  <si>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</si>
  <si>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</si>
  <si>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</si>
  <si>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</si>
  <si>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</si>
  <si>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</si>
  <si>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</si>
  <si>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</si>
  <si>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</si>
  <si>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</si>
  <si>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</si>
  <si>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</si>
  <si>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</si>
  <si>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</si>
  <si>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</si>
  <si>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</si>
  <si>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</si>
  <si>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</si>
  <si>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</si>
  <si>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</si>
  <si>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</si>
  <si>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</si>
  <si>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</si>
  <si>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</si>
  <si>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</si>
  <si>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</si>
  <si>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</si>
  <si>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</si>
  <si>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</si>
  <si>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</si>
  <si>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</si>
  <si>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</si>
  <si>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</si>
  <si>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</si>
  <si>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</si>
  <si>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</si>
  <si>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</si>
  <si>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</si>
  <si>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</si>
  <si>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</si>
  <si>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</si>
  <si>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</si>
  <si>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</si>
  <si>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</si>
  <si>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</si>
  <si>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</si>
  <si>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</si>
  <si>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</si>
  <si>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</si>
  <si>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</si>
  <si>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</si>
  <si>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</si>
  <si>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</si>
  <si>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</si>
  <si>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</si>
  <si>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</si>
  <si>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</si>
  <si>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Total comprometido del valor asignado por el proyecto</t>
  </si>
  <si>
    <t>DESARROLLO Y FORTALECIMIENTO DE LAS CAPACIDADES DE LAS ENTIDADES TERRITORIALES  DE LA CIRCUNSCRIPCIÓN NACIONAL</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</si>
  <si>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</si>
  <si>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</si>
  <si>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</si>
  <si>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</si>
  <si>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</si>
  <si>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</si>
  <si>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</si>
  <si>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</si>
  <si>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</si>
  <si>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</si>
  <si>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</si>
  <si>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</si>
  <si>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</si>
  <si>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</si>
  <si>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</si>
  <si>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</si>
  <si>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</si>
  <si>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</si>
  <si>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</si>
  <si>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</si>
  <si>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</si>
  <si>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</si>
  <si>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</si>
  <si>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</si>
  <si>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</si>
  <si>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</si>
  <si>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</si>
  <si>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</si>
  <si>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</si>
  <si>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</si>
  <si>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</si>
  <si>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</si>
  <si>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</si>
  <si>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</si>
  <si>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</si>
  <si>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</si>
  <si>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</si>
  <si>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</si>
  <si>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</si>
  <si>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</si>
  <si>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</si>
  <si>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Renovación licenciamiento CRM</t>
  </si>
  <si>
    <t>11, 5 MESES</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</si>
  <si>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</si>
  <si>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</si>
  <si>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</si>
  <si>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</si>
  <si>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</si>
  <si>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</si>
  <si>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</si>
  <si>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</si>
  <si>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</si>
  <si>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</si>
  <si>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</si>
  <si>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</si>
  <si>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 xml:space="preserve">DESARROLLO Y FORTALECIMIENTO DE LAS CAPACIDADES DE LAS ENTIDADES TERRITORIALES  DE LA CIRCUNSCRIPCIÓN NACIONAL </t>
    </r>
    <r>
      <rPr>
        <b/>
        <sz val="14"/>
        <color rgb="FFFF0000"/>
        <rFont val="Arial"/>
        <family val="2"/>
      </rPr>
      <t>ESAP</t>
    </r>
  </si>
  <si>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</si>
  <si>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</si>
  <si>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</si>
  <si>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</si>
  <si>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</si>
  <si>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</si>
  <si>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</si>
  <si>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</si>
  <si>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</si>
  <si>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</si>
  <si>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reservar saldo para adicion contratos y renovación en agosto.</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</si>
  <si>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</si>
  <si>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</si>
  <si>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</si>
  <si>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</si>
  <si>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</si>
  <si>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</si>
  <si>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</si>
  <si>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</si>
  <si>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</si>
  <si>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</si>
  <si>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</si>
  <si>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</si>
  <si>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</si>
  <si>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</si>
  <si>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</si>
  <si>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</si>
  <si>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</si>
  <si>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</si>
  <si>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r>
      <t xml:space="preserve">IMPLEMENTACIÓN Y FORTALECIMIENTO DE POLÍTICAS LIDERADAS POR FUNCION PUBLICA A NIVEL NACIONAL </t>
    </r>
    <r>
      <rPr>
        <b/>
        <sz val="14"/>
        <color rgb="FFFF0000"/>
        <rFont val="Arial"/>
        <family val="2"/>
      </rPr>
      <t>ESAP</t>
    </r>
  </si>
  <si>
    <t>IMPLEMENTACIÓN Y FORTALECIMIENTO DE POLÍTICAS LIDERADAS POR FUNCION PUBLICA A NIVEL NACIONAL</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</si>
  <si>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</si>
  <si>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</si>
  <si>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</si>
  <si>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</si>
  <si>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</si>
  <si>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</si>
  <si>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</si>
  <si>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</si>
  <si>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</si>
  <si>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</si>
  <si>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</si>
  <si>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</si>
  <si>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</si>
  <si>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</si>
  <si>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</si>
  <si>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</si>
  <si>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</si>
  <si>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</si>
  <si>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</si>
  <si>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</si>
  <si>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</si>
  <si>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</si>
  <si>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</si>
  <si>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</si>
  <si>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</si>
  <si>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</si>
  <si>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</si>
  <si>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</si>
  <si>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</si>
  <si>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</si>
  <si>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</si>
  <si>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</si>
  <si>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</si>
  <si>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</si>
  <si>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</si>
  <si>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</si>
  <si>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</si>
  <si>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</si>
  <si>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</si>
  <si>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</si>
  <si>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</si>
  <si>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</si>
  <si>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</si>
  <si>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</si>
  <si>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</si>
  <si>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</si>
  <si>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</si>
  <si>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</si>
  <si>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</si>
  <si>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</si>
  <si>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</si>
  <si>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</si>
  <si>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</si>
  <si>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</si>
  <si>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</si>
  <si>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</si>
  <si>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</si>
  <si>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</si>
  <si>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</si>
  <si>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</si>
  <si>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</si>
  <si>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</si>
  <si>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</si>
  <si>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</si>
  <si>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</si>
  <si>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</si>
  <si>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</si>
  <si>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</si>
  <si>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</si>
  <si>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</si>
  <si>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</si>
  <si>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</si>
  <si>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</si>
  <si>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</si>
  <si>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</si>
  <si>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</si>
  <si>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</si>
  <si>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</si>
  <si>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</si>
  <si>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</si>
  <si>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</si>
  <si>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</si>
  <si>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</si>
  <si>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</si>
  <si>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</si>
  <si>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</si>
  <si>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</si>
  <si>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</si>
  <si>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</si>
  <si>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</si>
  <si>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</si>
  <si>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</si>
  <si>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</si>
  <si>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</si>
  <si>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</si>
  <si>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</si>
  <si>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</si>
  <si>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</si>
  <si>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</si>
  <si>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</si>
  <si>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</si>
  <si>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</si>
  <si>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</si>
  <si>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</si>
  <si>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</si>
  <si>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</si>
  <si>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</si>
  <si>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</si>
  <si>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</si>
  <si>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</si>
  <si>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</si>
  <si>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</si>
  <si>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</si>
  <si>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</si>
  <si>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</si>
  <si>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</si>
  <si>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</si>
  <si>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</si>
  <si>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</si>
  <si>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</si>
  <si>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</si>
  <si>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</si>
  <si>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</si>
  <si>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</si>
  <si>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</si>
  <si>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</si>
  <si>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</si>
  <si>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</si>
  <si>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</si>
  <si>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</si>
  <si>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</si>
  <si>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</si>
  <si>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</si>
  <si>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</si>
  <si>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</si>
  <si>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</si>
  <si>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</si>
  <si>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</si>
  <si>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</si>
  <si>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</si>
  <si>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</si>
  <si>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</si>
  <si>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</si>
  <si>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</si>
  <si>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</si>
  <si>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</si>
  <si>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</si>
  <si>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</si>
  <si>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</si>
  <si>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</si>
  <si>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</si>
  <si>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</si>
  <si>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</si>
  <si>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</si>
  <si>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</si>
  <si>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</si>
  <si>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</si>
  <si>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</si>
  <si>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</si>
  <si>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</si>
  <si>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</si>
  <si>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</si>
  <si>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</si>
  <si>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</si>
  <si>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</si>
  <si>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</si>
  <si>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</si>
  <si>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</si>
  <si>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</si>
  <si>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</si>
  <si>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</si>
  <si>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</si>
  <si>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</si>
  <si>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</si>
  <si>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</si>
  <si>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</si>
  <si>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</si>
  <si>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</si>
  <si>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</si>
  <si>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</si>
  <si>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</si>
  <si>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</si>
  <si>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</si>
  <si>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</si>
  <si>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</si>
  <si>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</si>
  <si>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</si>
  <si>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</si>
  <si>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</si>
  <si>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</si>
  <si>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</si>
  <si>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</si>
  <si>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</si>
  <si>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</si>
  <si>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</si>
  <si>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</si>
  <si>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</si>
  <si>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</si>
  <si>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</si>
  <si>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</si>
  <si>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</si>
  <si>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</si>
  <si>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</si>
  <si>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</si>
  <si>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</si>
  <si>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</si>
  <si>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</si>
  <si>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</si>
  <si>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</si>
  <si>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</si>
  <si>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</si>
  <si>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</si>
  <si>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</si>
  <si>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</si>
  <si>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</si>
  <si>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</si>
  <si>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</si>
  <si>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</si>
  <si>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</si>
  <si>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</si>
  <si>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</si>
  <si>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</si>
  <si>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</si>
  <si>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</si>
  <si>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</si>
  <si>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</si>
  <si>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</si>
  <si>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</si>
  <si>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</si>
  <si>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</si>
  <si>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</si>
  <si>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</si>
  <si>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</si>
  <si>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</si>
  <si>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</si>
  <si>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</si>
  <si>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</si>
  <si>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</si>
  <si>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</si>
  <si>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</si>
  <si>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</si>
  <si>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</si>
  <si>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</si>
  <si>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</si>
  <si>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</si>
  <si>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</si>
  <si>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</si>
  <si>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</si>
  <si>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</si>
  <si>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</si>
  <si>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</si>
  <si>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</si>
  <si>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</si>
  <si>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</si>
  <si>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</si>
  <si>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</si>
  <si>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</si>
  <si>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</si>
  <si>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</si>
  <si>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</si>
  <si>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</si>
  <si>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</si>
  <si>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</si>
  <si>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</si>
  <si>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</si>
  <si>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</si>
  <si>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</si>
  <si>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</si>
  <si>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</si>
  <si>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</si>
  <si>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</si>
  <si>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</si>
  <si>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</si>
  <si>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</si>
  <si>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</si>
  <si>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</si>
  <si>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</si>
  <si>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</si>
  <si>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</si>
  <si>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</si>
  <si>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</si>
  <si>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</si>
  <si>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</si>
  <si>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</si>
  <si>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</si>
  <si>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</si>
  <si>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</si>
  <si>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</si>
  <si>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</si>
  <si>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</si>
  <si>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</si>
  <si>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</si>
  <si>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</si>
  <si>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</si>
  <si>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</si>
  <si>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</si>
  <si>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</si>
  <si>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</si>
  <si>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</si>
  <si>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</si>
  <si>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</si>
  <si>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</si>
  <si>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</si>
  <si>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</si>
  <si>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</si>
  <si>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</si>
  <si>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</si>
  <si>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</si>
  <si>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</si>
  <si>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</si>
  <si>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</si>
  <si>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</si>
  <si>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</si>
  <si>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</si>
  <si>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</si>
  <si>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</si>
  <si>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</si>
  <si>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</si>
  <si>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</si>
  <si>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</si>
  <si>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</si>
  <si>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</si>
  <si>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</si>
  <si>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</si>
  <si>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</si>
  <si>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</si>
  <si>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</si>
  <si>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</si>
  <si>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</si>
  <si>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</si>
  <si>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</si>
  <si>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</si>
  <si>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</si>
  <si>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</si>
  <si>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</si>
  <si>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</si>
  <si>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</si>
  <si>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</si>
  <si>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</si>
  <si>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</si>
  <si>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</si>
  <si>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</si>
  <si>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</si>
  <si>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</si>
  <si>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</si>
  <si>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</si>
  <si>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</si>
  <si>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</si>
  <si>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</si>
  <si>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</si>
  <si>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</si>
  <si>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</si>
  <si>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</si>
  <si>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</si>
  <si>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</si>
  <si>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</si>
  <si>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</si>
  <si>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</si>
  <si>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</si>
  <si>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</si>
  <si>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</si>
  <si>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</si>
  <si>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</si>
  <si>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</si>
  <si>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</si>
  <si>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</si>
  <si>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</si>
  <si>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</si>
  <si>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</si>
  <si>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</si>
  <si>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</si>
  <si>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</si>
  <si>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</si>
  <si>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</si>
  <si>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</si>
  <si>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</si>
  <si>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</si>
  <si>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</si>
  <si>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</si>
  <si>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</si>
  <si>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</si>
  <si>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</si>
  <si>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</si>
  <si>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</si>
  <si>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</si>
  <si>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</si>
  <si>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</si>
  <si>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</si>
  <si>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</si>
  <si>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</si>
  <si>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</si>
  <si>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</si>
  <si>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</si>
  <si>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</si>
  <si>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</si>
  <si>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</si>
  <si>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</si>
  <si>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</si>
  <si>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</si>
  <si>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</si>
  <si>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</si>
  <si>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</si>
  <si>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</si>
  <si>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</si>
  <si>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</si>
  <si>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</si>
  <si>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</si>
  <si>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</si>
  <si>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</si>
  <si>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</si>
  <si>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</si>
  <si>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</si>
  <si>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</si>
  <si>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</si>
  <si>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</si>
  <si>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</si>
  <si>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</si>
  <si>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</si>
  <si>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</si>
  <si>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</si>
  <si>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</si>
  <si>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</si>
  <si>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</si>
  <si>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</si>
  <si>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</si>
  <si>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</si>
  <si>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</si>
  <si>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</si>
  <si>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</si>
  <si>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</si>
  <si>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</si>
  <si>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</si>
  <si>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</si>
  <si>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</si>
  <si>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</si>
  <si>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</si>
  <si>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</si>
  <si>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</si>
  <si>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</si>
  <si>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</si>
  <si>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</si>
  <si>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</si>
  <si>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</si>
  <si>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</si>
  <si>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</si>
  <si>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</si>
  <si>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</si>
  <si>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</si>
  <si>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</si>
  <si>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</si>
  <si>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</si>
  <si>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</si>
  <si>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</si>
  <si>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</si>
  <si>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</si>
  <si>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</si>
  <si>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</si>
  <si>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</si>
  <si>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</si>
  <si>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</si>
  <si>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</si>
  <si>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</si>
  <si>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</si>
  <si>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</si>
  <si>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</si>
  <si>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</si>
  <si>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</si>
  <si>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</si>
  <si>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</si>
  <si>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</si>
  <si>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</si>
  <si>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</si>
  <si>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</si>
  <si>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</si>
  <si>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</si>
  <si>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</si>
  <si>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</si>
  <si>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</si>
  <si>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</si>
  <si>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</si>
  <si>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</si>
  <si>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</si>
  <si>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</si>
  <si>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</si>
  <si>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</si>
  <si>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</si>
  <si>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</si>
  <si>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</si>
  <si>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</si>
  <si>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</si>
  <si>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</si>
  <si>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</si>
  <si>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</si>
  <si>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</si>
  <si>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</si>
  <si>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</si>
  <si>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</si>
  <si>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</si>
  <si>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</si>
  <si>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</si>
  <si>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</si>
  <si>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</si>
  <si>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</si>
  <si>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</si>
  <si>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</si>
  <si>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</si>
  <si>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</si>
  <si>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</si>
  <si>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</si>
  <si>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</si>
  <si>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</si>
  <si>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</si>
  <si>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</si>
  <si>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</si>
  <si>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</si>
  <si>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</si>
  <si>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</si>
  <si>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</si>
  <si>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</si>
  <si>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</si>
  <si>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</si>
  <si>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</si>
  <si>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</si>
  <si>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</si>
  <si>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</si>
  <si>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</si>
  <si>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</si>
  <si>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</si>
  <si>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</si>
  <si>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</si>
  <si>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</si>
  <si>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</si>
  <si>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</si>
  <si>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</si>
  <si>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</si>
  <si>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</si>
  <si>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</si>
  <si>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</si>
  <si>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</si>
  <si>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</si>
  <si>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</si>
  <si>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</si>
  <si>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</si>
  <si>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</si>
  <si>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</si>
  <si>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</si>
  <si>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</si>
  <si>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</si>
  <si>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</si>
  <si>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</si>
  <si>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</si>
  <si>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</si>
  <si>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</si>
  <si>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</si>
  <si>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</si>
  <si>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</si>
  <si>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</si>
  <si>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</si>
  <si>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</si>
  <si>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</si>
  <si>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</si>
  <si>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</si>
  <si>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</si>
  <si>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</si>
  <si>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</si>
  <si>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</si>
  <si>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GRUPO GESTIÓN HUMANA</t>
  </si>
  <si>
    <t>Implementación de la estrategias de Gobierno Digital</t>
  </si>
  <si>
    <t>81112200-81111500-81111800</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</si>
  <si>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</si>
  <si>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</si>
  <si>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</si>
  <si>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</si>
  <si>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</si>
  <si>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</si>
  <si>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</si>
  <si>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</si>
  <si>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</si>
  <si>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</si>
  <si>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</si>
  <si>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</si>
  <si>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</si>
  <si>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</si>
  <si>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</si>
  <si>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</si>
  <si>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</si>
  <si>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</si>
  <si>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</si>
  <si>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</si>
  <si>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</si>
  <si>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</si>
  <si>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</si>
  <si>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</si>
  <si>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</si>
  <si>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</si>
  <si>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</si>
  <si>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</si>
  <si>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</si>
  <si>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</si>
  <si>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</si>
  <si>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</si>
  <si>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</si>
  <si>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</si>
  <si>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</si>
  <si>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</si>
  <si>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</si>
  <si>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</si>
  <si>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</si>
  <si>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</si>
  <si>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</si>
  <si>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</si>
  <si>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</si>
  <si>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24 MESES</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</si>
  <si>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</si>
  <si>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</si>
  <si>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</si>
  <si>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</si>
  <si>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</si>
  <si>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</si>
  <si>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</si>
  <si>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</si>
  <si>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</si>
  <si>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</si>
  <si>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</si>
  <si>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</si>
  <si>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</si>
  <si>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</si>
  <si>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</si>
  <si>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</si>
  <si>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</si>
  <si>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</si>
  <si>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</si>
  <si>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</si>
  <si>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</si>
  <si>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</si>
  <si>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</si>
  <si>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</si>
  <si>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</si>
  <si>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</si>
  <si>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</si>
  <si>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</si>
  <si>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</si>
  <si>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</si>
  <si>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</si>
  <si>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</si>
  <si>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</si>
  <si>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</si>
  <si>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</si>
  <si>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</si>
  <si>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</si>
  <si>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</si>
  <si>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</si>
  <si>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</si>
  <si>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</si>
  <si>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</si>
  <si>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</si>
  <si>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</si>
  <si>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</si>
  <si>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</si>
  <si>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</si>
  <si>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</si>
  <si>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</si>
  <si>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</si>
  <si>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</si>
  <si>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</si>
  <si>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</si>
  <si>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</si>
  <si>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</si>
  <si>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</si>
  <si>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</si>
  <si>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</si>
  <si>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</si>
  <si>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</si>
  <si>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</si>
  <si>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</si>
  <si>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</si>
  <si>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</si>
  <si>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</si>
  <si>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</si>
  <si>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</si>
  <si>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</si>
  <si>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</si>
  <si>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</si>
  <si>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</si>
  <si>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</si>
  <si>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</si>
  <si>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</si>
  <si>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</si>
  <si>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</si>
  <si>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</si>
  <si>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</si>
  <si>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</si>
  <si>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</si>
  <si>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</si>
  <si>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</si>
  <si>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</si>
  <si>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</si>
  <si>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</si>
  <si>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</si>
  <si>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</si>
  <si>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</si>
  <si>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</si>
  <si>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</si>
  <si>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</si>
  <si>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</si>
  <si>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</si>
  <si>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</si>
  <si>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</si>
  <si>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</si>
  <si>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</si>
  <si>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</si>
  <si>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</si>
  <si>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</si>
  <si>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</si>
  <si>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</si>
  <si>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</si>
  <si>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</si>
  <si>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</si>
  <si>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</si>
  <si>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</si>
  <si>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</si>
  <si>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</si>
  <si>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</si>
  <si>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</si>
  <si>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</si>
  <si>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</si>
  <si>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</si>
  <si>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</si>
  <si>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</si>
  <si>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</si>
  <si>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</si>
  <si>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</si>
  <si>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</si>
  <si>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</si>
  <si>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</si>
  <si>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</si>
  <si>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</si>
  <si>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</si>
  <si>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</si>
  <si>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</si>
  <si>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</si>
  <si>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</si>
  <si>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</si>
  <si>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</si>
  <si>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</si>
  <si>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</si>
  <si>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</si>
  <si>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</si>
  <si>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</si>
  <si>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</si>
  <si>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</si>
  <si>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</si>
  <si>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</si>
  <si>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</si>
  <si>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</si>
  <si>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</si>
  <si>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</si>
  <si>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</si>
  <si>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</si>
  <si>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</si>
  <si>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</si>
  <si>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</si>
  <si>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</si>
  <si>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</si>
  <si>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</si>
  <si>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</si>
  <si>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</si>
  <si>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</si>
  <si>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</si>
  <si>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</si>
  <si>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</si>
  <si>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</si>
  <si>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</si>
  <si>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</si>
  <si>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</si>
  <si>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</si>
  <si>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</si>
  <si>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</si>
  <si>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</si>
  <si>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</si>
  <si>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</si>
  <si>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</si>
  <si>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</si>
  <si>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</si>
  <si>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</si>
  <si>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</si>
  <si>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</si>
  <si>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</si>
  <si>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</si>
  <si>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</si>
  <si>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</si>
  <si>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</si>
  <si>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</si>
  <si>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</si>
  <si>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</si>
  <si>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</si>
  <si>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</si>
  <si>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</si>
  <si>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</si>
  <si>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</si>
  <si>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</si>
  <si>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</si>
  <si>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</si>
  <si>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</si>
  <si>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</si>
  <si>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</si>
  <si>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</si>
  <si>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</si>
  <si>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</si>
  <si>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</si>
  <si>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</si>
  <si>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</si>
  <si>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</si>
  <si>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</si>
  <si>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</si>
  <si>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</si>
  <si>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</si>
  <si>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</si>
  <si>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</si>
  <si>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</si>
  <si>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</si>
  <si>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</si>
  <si>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</si>
  <si>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</si>
  <si>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</si>
  <si>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</si>
  <si>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</si>
  <si>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</si>
  <si>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</si>
  <si>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</si>
  <si>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</si>
  <si>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</si>
  <si>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</si>
  <si>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</si>
  <si>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</si>
  <si>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</si>
  <si>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</si>
  <si>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</si>
  <si>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</si>
  <si>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</si>
  <si>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</si>
  <si>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</si>
  <si>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</si>
  <si>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</si>
  <si>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</si>
  <si>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</si>
  <si>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DIRECCION</t>
  </si>
  <si>
    <t>ADQUSICIÓN DE TELÉFONO CELULAR 4 G  PARA LA DIRECCION DEL DEPARTAMENTO</t>
  </si>
  <si>
    <t>2 0 4 1 26 EQUIPO DE COMUNICACIONES</t>
  </si>
  <si>
    <t>UZ MARY RIAÑO EXT. 530 lriano@funcionpublica.gov.co</t>
  </si>
  <si>
    <t>para caja menor</t>
  </si>
  <si>
    <t>GRUPO GESTIÓN ADMINISTRATIVA</t>
  </si>
  <si>
    <t>2 0 4 4 17 PRODUCTOS DE ASEO Y LIMPIEZA</t>
  </si>
  <si>
    <t>ADQUISICIÓN DE ELEMENTOS DE ASEO Y LIMPIEZA</t>
  </si>
  <si>
    <t>SECRETARÍA GENERAL - GRUPO GESTIÓN HUMANA</t>
  </si>
  <si>
    <t xml:space="preserve">Adquisición de la dotación de labor y elementos de trabajo </t>
  </si>
  <si>
    <t xml:space="preserve">(vestidos, hombre, vestidos mujer, calzado, batas, overoles y botas, </t>
  </si>
  <si>
    <t>DIRECCIÓN DE GESTIÓN DE CONOCIMIENTO</t>
  </si>
  <si>
    <t>SECRETARIA GENERAL - GRUPO DE GESTION CONTRACTUAL</t>
  </si>
  <si>
    <t>SECRETARIA GENERAL - GRUPO DE SERVICIO AL CIUDADANO INSTITUCIONAL</t>
  </si>
  <si>
    <t>Prestar servicios profesionales para apoyar a la DIRECCION DE DESARROLLO ORGANIZACIONAL  de Función Pública</t>
  </si>
  <si>
    <t>Prestar servicios profesionales para apoyar a la DIRECCION DE EMPLEO PUBLICOde Función Pública</t>
  </si>
  <si>
    <t>Prestar servicios profesionales para apoyar a la DIRECCIÓN DE GESTIÓN DE CONOCIMIENTOde Función Pública</t>
  </si>
  <si>
    <t>Prestar servicios profesionales para apoyar a la DIRECCION DE GESTION Y DESEMPEÑO INSTITUCIONALde Función Pública</t>
  </si>
  <si>
    <t>Prestar servicios profesionales para apoyar a la DIRECCION DE PARTICIPACION, TRANSPARENCIA Y SERVICIO AL CIUDADANOde Función Pública</t>
  </si>
  <si>
    <t>Prestar servicios profesionales para apoyar a la DIRECCION JURIDICAde Función Pública</t>
  </si>
  <si>
    <t>Prestar servicios profesionales para apoyar a la OFICINA ASESORA DE COMUNICACIONESde Función Pública</t>
  </si>
  <si>
    <t>Prestar servicios profesionales para apoyar a la OFICINA ASESORA DE PLANEACIONde Función Pública</t>
  </si>
  <si>
    <t>Prestar servicios profesionales para apoyar a la SECRETARIA GENERAL - GRUPO DE GESTION CONTRACTUALde Función Pública</t>
  </si>
  <si>
    <t>Prestar servicios profesionales para apoyar a la SECRETARIA GENERAL - GRUPO DE SERVICIO AL CIUDADANO INSTITUCIONALde Función Pública</t>
  </si>
  <si>
    <t>Prestar servicios profesionales para apoyar a la SUBDIRECCIÓNde Función Pública</t>
  </si>
  <si>
    <t>JULIANA TORRES
Ext. 920
dbeltran@funcionpublica.gov.co</t>
  </si>
  <si>
    <t>SONIA STELLA ROMERO TEL. 7395657 EXT. 855 gmartinez@funcionpublica.gov.co</t>
  </si>
  <si>
    <t>501-1000-1 RECURSO  10 FORTALECIMIENTO DE LOS SISTEMAS DE INFORMACION DEL EMPLEO PUBLICO EN COLOMBIA</t>
  </si>
  <si>
    <t>171-2018</t>
  </si>
  <si>
    <t>SUMIMAS S.A.S</t>
  </si>
  <si>
    <t>Adquisición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</si>
  <si>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</si>
  <si>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Dos (2) meses, de conformidad con lo estipulado por el acuerdo marco de precios de Colombia Compra Eficiente.</t>
  </si>
  <si>
    <t>175-2018</t>
  </si>
  <si>
    <t>INVEMCO S.A.S.</t>
  </si>
  <si>
    <t>Adquirir los elementos de iluminación y ferretería que requiere el Departamento Administrativo de la Función Pública, según las especificaciones mínimas establecidas en el presente documento.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</si>
  <si>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</si>
  <si>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contados a partir del perfeccionamiento del mismo y registro presupuestal; sin embargo, el contratista deberá hacer entrega de los elementos contratados, dentro de los quince (15) días siguientes al perfeccionamiento del contrato. </t>
  </si>
  <si>
    <t>176-2018</t>
  </si>
  <si>
    <t>Adquirir insumos de papelería y carnetización para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</si>
  <si>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</si>
  <si>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</si>
  <si>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</si>
  <si>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</si>
  <si>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</si>
  <si>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</si>
  <si>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174-2018</t>
  </si>
  <si>
    <t>COLOMBIANA DE COMERCIO S.A. Y/O ALKOSTO S.A.</t>
  </si>
  <si>
    <t>Adquirir un dispositivo móvil para el uso  de la Dirección General de Función Pública.</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</si>
  <si>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</si>
  <si>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</si>
  <si>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173-2018</t>
  </si>
  <si>
    <t>GESTIÓN DE SEGURIDAD ELECTRÓNICA S.A.</t>
  </si>
  <si>
    <t>Prestar el servicio de Correo Electrónico Certificado, que proporcionen notificación electrónica por e-mail para Función Pública, optimizando la administración del correo electrónico actual.</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</si>
  <si>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</si>
  <si>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</si>
  <si>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81111500
81111800
81112200
</t>
  </si>
  <si>
    <t>81111500
81111800
81112200
81111812</t>
  </si>
  <si>
    <t>81112200
81111500
81111800
43232300
81112500
81112501</t>
  </si>
  <si>
    <t>Suscripción a los servicios de soporte de TOAD, con el fin de fortalecer y modernizar los recursos tecnológicos de la FUNCIÓN PÚBLICA, acorde con las Especificaciones Técnicas</t>
  </si>
  <si>
    <t>Adquirir la suscripción al Licenciamiento Office 365 y la bolsa de horas de servicios Microsoft, para soporte especializado y capacitación, según las características señaladas en el anexo técnico.</t>
  </si>
  <si>
    <t>81112200
81111500
81111800
81112500
81112501</t>
  </si>
  <si>
    <t>81111500
81111800
81112200
43233200
43233205</t>
  </si>
  <si>
    <t>32131000
39121000
81111500
32131023.</t>
  </si>
  <si>
    <t>Prestar servicios profesionales para apoyar a la Oficina Asesora de Comunicaciones de Función Pública</t>
  </si>
  <si>
    <t>DIANA MARÍA BOHORQUEZ
EXT. 520 dbohorquez@funcionpublica.gov.co</t>
  </si>
  <si>
    <t>Prestar servicios profesionales para apoyar a la Dirección de Gestión del Conocimiento de Función Pública</t>
  </si>
  <si>
    <t>JULIANA TORRES QUIJANO
EXT. 920 jtorres@funcionpublica.gov.co</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</si>
  <si>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</si>
  <si>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</si>
  <si>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</si>
  <si>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</si>
  <si>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</si>
  <si>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</si>
  <si>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</si>
  <si>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</si>
  <si>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</si>
  <si>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 xml:space="preserve">EDWIN SÁNCHEZ ROZO </t>
  </si>
  <si>
    <t>180-2018</t>
  </si>
  <si>
    <t>PANAMERICANA LIBRERÍA Y PAPELERÍA S.A.</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</si>
  <si>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</si>
  <si>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</si>
  <si>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</si>
  <si>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Un (1) mes, contado a partir del perfeccionamiento del mismo, previo registro presupuestal y aprobación de pólizas.</t>
  </si>
  <si>
    <t>182-2018</t>
  </si>
  <si>
    <t>1 MESES</t>
  </si>
  <si>
    <t>ALEJANDRO BECKER  Ext. 820 abecker@funcionpublica.gov.co</t>
  </si>
  <si>
    <t>SONIA STELLA ROMERO EXT. 850 sromero@funcionpublica.gov.co</t>
  </si>
  <si>
    <t>OFICINA ASESORA DE PLANEACIÓN</t>
  </si>
  <si>
    <t>44121708
44122104
14111519
14121901
31201522</t>
  </si>
  <si>
    <t>Adquisicíon insumos y papelería para adelantar actividades del proyecto</t>
  </si>
  <si>
    <t>254-1</t>
  </si>
  <si>
    <t>55101519
82111900
82101500</t>
  </si>
  <si>
    <t xml:space="preserve">55101519
</t>
  </si>
  <si>
    <r>
      <t>Publicación de Edictos y convocatorias del Departamento Administrativo de la Función Pública en un diario de amplia circulación Nacional</t>
    </r>
    <r>
      <rPr>
        <b/>
        <sz val="18"/>
        <rFont val="Arial"/>
        <family val="2"/>
      </rPr>
      <t xml:space="preserve"> ( declarada desierta)</t>
    </r>
  </si>
  <si>
    <t>224-2018</t>
  </si>
  <si>
    <t>SOFTWARE IT SAS</t>
  </si>
  <si>
    <t>Contratar la renovación de la suscripción anual de las Licencias de Adobe Creative Cloud for Teams suite completa, que utiliza Función Pública, según las especificaciones técnicas mínimas establecidas en el presente documento.</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</si>
  <si>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</si>
  <si>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</si>
  <si>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SANDRA YASMIN FLOREZ ABRIL</t>
  </si>
  <si>
    <t>223-2018</t>
  </si>
  <si>
    <t>ORACLE COLOMBIA LTDA.</t>
  </si>
  <si>
    <t>Adquirir la renovación del servicio de soporte del Software Update License and Support (SULS), para todo el licenciamiento Oracle y los Servicios de Soporte Técnico de Hardware Oracle Premier Support for Systems para el equipo ODA que posee Función Pública, conforme a los lineamientos establecidos en el Contrato de Agregación de Demanda N° CCE- 211-AG-2015, con cargo al Proyecto de Inversión “Mejoramiento, fortalecimiento, de la capacidad institucional para el desarrollo de políticas públicas nacional.</t>
  </si>
  <si>
    <t>La Función Pública pagará el valor del Contrato, de conformidad con las condiciones que estipuladas por Colombia Compra Eficiente en el Acuerdo Marco de Precios, para la adquisición de para la actualización y renovación del servicio de soporte del Software Update License and Support (SULS) y Oracle Premier Support for Systems para el equipo ODA que posee la Función Pública, previa presentación de la respectiva factura y expedición del certificado de recibido a satisfacción por parte del Supervisor del Contrato, sin que el monto total de los servicios suministrados pueda exceder la cuantía total del contrato.</t>
  </si>
  <si>
    <t>Se contará a partir del veinticinco (25) de septiembre de 2018 y hasta el cuatro (4) de octubre del 2019, previo registro presupuestal.</t>
  </si>
  <si>
    <t>RAFAEL HUMBERTO RODRIGUEZ BARRIOS</t>
  </si>
  <si>
    <t>205-2018</t>
  </si>
  <si>
    <t>SERVIASEO S.A.</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</si>
  <si>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</si>
  <si>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</si>
  <si>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Cinco (5) meses, contados a partir del dieciseis (16) de julio de 2018, previa expedicion de la orden de Compra y Registro Presupuestal, de conformidad con lo estipulado por el Acuerdo Marco de Precios de Colombia Compra Eficiente.</t>
  </si>
  <si>
    <t xml:space="preserve">IVAN ADOLFO MORANTES MOJICA </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</si>
  <si>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</si>
  <si>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</si>
  <si>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</si>
  <si>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Hasta el veintiuno (21) de diciembre de 2018, contado a partir del perfeccionamiento del mismo y registro presupuestal.</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</si>
  <si>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</si>
  <si>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</si>
  <si>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</si>
  <si>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</si>
  <si>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</si>
  <si>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</si>
  <si>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225-2018</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</si>
  <si>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</si>
  <si>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 xml:space="preserve">Cinco (5) meses, contado a partir del perfeccionamiento del mismo y registro presupuestal </t>
  </si>
  <si>
    <t>HUGO ARMANDO PEREZ BALLESTEROS</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</si>
  <si>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</si>
  <si>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</si>
  <si>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</si>
  <si>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 xml:space="preserve">DIANA MARCELA GÓMEZ ANZOLA </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</si>
  <si>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</si>
  <si>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</si>
  <si>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</si>
  <si>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</si>
  <si>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</si>
  <si>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</si>
  <si>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 xml:space="preserve"> JULIANA TORRES QUIJANO </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</si>
  <si>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</si>
  <si>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</si>
  <si>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</si>
  <si>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</si>
  <si>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 xml:space="preserve">JULIANA TORRES QUIJANO </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</si>
  <si>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</si>
  <si>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</si>
  <si>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</si>
  <si>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 xml:space="preserve">EVA MERCEDES ROJAS VÁLDES </t>
  </si>
  <si>
    <t>188-2018</t>
  </si>
  <si>
    <t xml:space="preserve">EDINSON GABRIEL MALAGÓN MAYORGA     </t>
  </si>
  <si>
    <t xml:space="preserve">Prestar los servicios profesionales en la Dirección de Gestión del Conocimiento de Función Pública, para apoyar la articulación, implementación y seguimiento de la Estrategia de Cambio Cultural. </t>
  </si>
  <si>
    <t>Tres (3) mensualidades vencidas, cada una por valor de NUEVE MILLONES QUINIENTOS MIL PESOS ($9’500.000) M/CTE.</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</si>
  <si>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</si>
  <si>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</si>
  <si>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</si>
  <si>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</si>
  <si>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</si>
  <si>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202-2018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</si>
  <si>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</si>
  <si>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</si>
  <si>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</si>
  <si>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</si>
  <si>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</si>
  <si>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</si>
  <si>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</si>
  <si>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</si>
  <si>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 xml:space="preserve">HAROLD ISRAEL HERREÑO SUAREZ </t>
  </si>
  <si>
    <t>226-2018</t>
  </si>
  <si>
    <t>Prestar los servicios profesionales en la Dirección Jurídica de Función Pública, para apoyar la implementación y socialización del modelo de gestión jurídica, así como en los aspectos jurídicos relativos a la Contratación Estatal de la Entidad.</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</si>
  <si>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</si>
  <si>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</si>
  <si>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</si>
  <si>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</si>
  <si>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 xml:space="preserve">DIANA MARIA BOHÓRQUEZ LOSADA </t>
  </si>
  <si>
    <t>207-2018</t>
  </si>
  <si>
    <t>LUIS ZENEN AREVALO MANTILLA</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</si>
  <si>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</si>
  <si>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</si>
  <si>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</si>
  <si>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</si>
  <si>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</si>
  <si>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187-2018</t>
  </si>
  <si>
    <t>BRANDON NUMBIER MARULANDA BERNAL</t>
  </si>
  <si>
    <t>Prestar los servicios de apoyo a la  gestión, en la Oficina Asesora de Comunicaciones de Función Pública, en lo relacionado con la realización de fotografías y reportería gráfica, para complementar los contenidos informativos generados por el área.</t>
  </si>
  <si>
    <t>Dos (2) mensualidades vencidas , cada una por  valor de UN MILLON NOVECIENTOS NUEVE MIL PESOS ($1'909.000) M/CTE</t>
  </si>
  <si>
    <t>203-2018</t>
  </si>
  <si>
    <t>Prestar los servicios profesionales en la Oficina Asesora de Planeación, para apoyar la implementación de los componentes del Modelo Integrado de Planeación y Gestión MIPG - Versión 2.</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</si>
  <si>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</si>
  <si>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</si>
  <si>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</si>
  <si>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</si>
  <si>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219-2018</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</si>
  <si>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</si>
  <si>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</si>
  <si>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Hasta el veintiocho (28) de diciembre de 2018, contado a partir del perfeccionamiento del mismo y registro presupuestal.</t>
  </si>
  <si>
    <t>SONIA STELLA ROMERO TORRES</t>
  </si>
  <si>
    <t>221-2018</t>
  </si>
  <si>
    <t>ARLINGTON FONSECA LEMUS</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</si>
  <si>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</si>
  <si>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 xml:space="preserve">a) Cinco (5) mensualidades vencidas cada una por valor de SIETE MILLONES SETECIENTOS CINCUENTA Y TRES MIL PESOS ($7’753.000) M/CTE. y b) un (1) pago final por valor de UN MILLÓN OCHOCIENTOS NUEVE MIL TREINTA Y TRES PESOS ($1’809.033) M/CTE. </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</si>
  <si>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</si>
  <si>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</si>
  <si>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</si>
  <si>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</si>
  <si>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</si>
  <si>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</si>
  <si>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</si>
  <si>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</si>
  <si>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</si>
  <si>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</si>
  <si>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</si>
  <si>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222-2018</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</si>
  <si>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</si>
  <si>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Seis pagos así: a) Cinco (5) mensualidades, por valor de SIETE MILLONES DE PESOS ($7’000.000) M/CTE, y b) Un (1) pago final por valor de UN MILLON CUATROCIENTOS MIL PESOS ($1’400.000) </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</si>
  <si>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</si>
  <si>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</si>
  <si>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</si>
  <si>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</si>
  <si>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</si>
  <si>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</si>
  <si>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227-2018</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</si>
  <si>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</si>
  <si>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</si>
  <si>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</si>
  <si>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</si>
  <si>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</si>
  <si>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</si>
  <si>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</si>
  <si>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</si>
  <si>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</si>
  <si>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</si>
  <si>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</si>
  <si>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</si>
  <si>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</si>
  <si>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</si>
  <si>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</si>
  <si>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206-2018</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</si>
  <si>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</si>
  <si>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Seis (6) pagos, así: a) Cinco mensualidades vencidas cada una por valor de NUEVE MILLONES DE PESOS ($9.000.000), b) un pago, con corte a diciembre 21 de 2018, por valor de DOS MILLONES CUATROCIENTOS MIL PESOS ($2´400.000) M/CTE</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</si>
  <si>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</si>
  <si>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</si>
  <si>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</si>
  <si>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</si>
  <si>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</si>
  <si>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</si>
  <si>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</si>
  <si>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Prestar los servicios profesionales en la Función Pública, para apoyar en las actividades de liderazgo técnico, validación, seguimiento y control de la arquitectura tecnológica, requerimientos funcionales y no funcionales, interoperabilidad y la integralidad del funcionamiento de los productos que componen el sistema de información SIGEP II y otros sistemas de información misionales de la Entidad que le sean asignados.</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</si>
  <si>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</si>
  <si>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DIRECCIÓN DE PARTICIPACIÓN, TRANSPARENCIA Y SERVICIO AL CIUDADANO</t>
  </si>
  <si>
    <t>21 MESES</t>
  </si>
  <si>
    <t>13 MESES</t>
  </si>
  <si>
    <t xml:space="preserve">Prestar los servicios profesionales en la Oficina de Tecnologías de la Información y las Comunicaciones de Función Pública, para adelantar las fases precontractual, contractual y post-contractual, necesarios para los procesos de selección, Así como apoyar jurídicamente la implementación del proyecto SIGEP II.  </t>
  </si>
  <si>
    <t>saldo para contratar</t>
  </si>
  <si>
    <t>254-2018</t>
  </si>
  <si>
    <t>ADICIONAR CONTRATO POR $1,9 millones</t>
  </si>
  <si>
    <t>238-2018</t>
  </si>
  <si>
    <t>SOPORTE MANTENIMIENTOS</t>
  </si>
  <si>
    <t xml:space="preserve">para cubrir servicios de vehículos </t>
  </si>
  <si>
    <t>posible transporte de 2 carro</t>
  </si>
  <si>
    <t>RUBROS PRESUPUESTALES</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</si>
  <si>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</si>
  <si>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</si>
  <si>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</si>
  <si>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 xml:space="preserve"> un (1) único pago</t>
  </si>
  <si>
    <t xml:space="preserve"> treinta (30) días calendario, contados a partir del perfeccionamiento del mismo, previo registro presupuestal y aprobación de pólizas</t>
  </si>
  <si>
    <t>GUSTAVO EDILBERTO BELTRAN JIMENEZ</t>
  </si>
  <si>
    <t>Reparaciones locativas edificio sede</t>
  </si>
  <si>
    <t>251-2018</t>
  </si>
  <si>
    <t>CENTRO CAR 19 LTDA.</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</si>
  <si>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</si>
  <si>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</si>
  <si>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cuatro (4) meses, contado a partir del perfeccionamiento del mismo registro presupuestal y aprobación de pólizas</t>
  </si>
  <si>
    <t xml:space="preserve"> 21/12/2018</t>
  </si>
  <si>
    <t xml:space="preserve">JULIAN MAURICIO MARTINEZ </t>
  </si>
  <si>
    <t xml:space="preserve"> GRUPO DE GESTION ADMINISTRATIVA </t>
  </si>
  <si>
    <t>253-2018</t>
  </si>
  <si>
    <t>PSIGMA CORPORATION S.A.S</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</si>
  <si>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</si>
  <si>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PRESTACION DE SERVICIOS</t>
  </si>
  <si>
    <t xml:space="preserve">Un (1) solo pago previa certificacion del contratista indicando activación codigos de acceso (PIN)  </t>
  </si>
  <si>
    <t xml:space="preserve">Dos (2) años contados a partir del perfeccionamiento del mismo o durante la vigencia de los codigos de acceso (PIN) </t>
  </si>
  <si>
    <t xml:space="preserve">FRANCISCO JAVIER AMEZQUITA </t>
  </si>
  <si>
    <t>229-2018</t>
  </si>
  <si>
    <t xml:space="preserve"> BUSINESSMIND COLOMBIA SAN </t>
  </si>
  <si>
    <t xml:space="preserve">Contratar la suscripción al servicio de soporte para los productos Linux Red Hat, que se detallan en las condiciones técnicas del presente documento en sus últimas versiones </t>
  </si>
  <si>
    <t>Un (1) pago</t>
  </si>
  <si>
    <t>El plazo de ejecución del contrato será de un (1) año contado a partir del tres (3) de agosto de 2018, previo perfeccionamiento del mismo, registro presupuestal y aprobación de pólizas</t>
  </si>
  <si>
    <t xml:space="preserve">EDWIN ALBERTO VARGAS ANTOLINEZ </t>
  </si>
  <si>
    <t>007-2019</t>
  </si>
  <si>
    <t>Tres (3) pagos, asi: a) dos (2) mensualidades vencidas cada una por valor de TRES MILLONES OCHOCIENTOS NOVENTA Y CINCO MIL PESOS ($3’895.000) M/CTE, y b) Un último pago por valor de UN MILLON NOVECIENTOS CUARENTA Y SIETE MIL QUINIENTOS PESOS ($1,947,500,oo) M/CTE.</t>
  </si>
  <si>
    <t>261-2018</t>
  </si>
  <si>
    <t>SOCIEDAD CAMERAL DE CERTIFICACION DIGITAL - CERTICAMARA</t>
  </si>
  <si>
    <t xml:space="preserve">Adquirir los certificados digitales SIIF Nación, con sus correspondientes dispositivos criptográficos de almacenamiento del certificado digital, </t>
  </si>
  <si>
    <t xml:space="preserve">Un (1) año, contado a partir del perfeccionamiento del mismo y registro presupuestal. </t>
  </si>
  <si>
    <t>UN AÑO CONTADO APARTIR DE LA ACTIVACION DE CADA TOKEN</t>
  </si>
  <si>
    <t>ORLANDO MATEUS</t>
  </si>
  <si>
    <t>CONTROLES EMPRESARIALES</t>
  </si>
  <si>
    <t>246-2018</t>
  </si>
  <si>
    <t>Prestar los Servicios Profesionales en la Dirección de Empleo Público de Función Pública, para apoyar las actividades requeridas en la implementación de la Gestión Estratégica del Talento Humano, con énfasis en desarrollo de: Plan Nacional de Formación y Capacitación, Competencias y Acciones previstas en el Decreto N° 1038 de 2018</t>
  </si>
  <si>
    <t xml:space="preserve">cuatro (4) pagos,  así: cuatro (4) mensualidades iguales vencidas, cada una por valor de SEIS MILLONES QUINIENTOS DE PESOS ($6’500.000) M/CTE, incluido IVA </t>
  </si>
  <si>
    <t>Hasta el quince (15) de diciembre de 2018, contado a partir del perfeccionamiento del mismo y registro presupuestal.</t>
  </si>
  <si>
    <t>ANDRES FELIPE GONZALEZ</t>
  </si>
  <si>
    <t>232-2018</t>
  </si>
  <si>
    <t>ANDREA DEL PILAR HERNÁNDEZ VELASQUEZ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</si>
  <si>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</si>
  <si>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cinco (5) pagos, así: a) cuatro (4) mensualidades vencidas, cada una por valor de SEIS MILLONES DE PESOS ($6’000.000) M/CTE y b) un último pago por valor de TRES MILLONES DE PESOS ($3’000.000) M/CTE</t>
  </si>
  <si>
    <t>237-2018</t>
  </si>
  <si>
    <t>MARITZA IBARRA DUARTE</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</si>
  <si>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</si>
  <si>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cinco (5) pagos, así: a) cuatro (4) mensualidades, cada una por valor de CINCO MILLONES SETECIENTOS MIL PESOS ($5’700.000) M/CTE., y, b) Un pago final, por valor de TRES MILLONES SEISCIENTOS DIEZ MIL PESOS ($3’610.000) M/CTE</t>
  </si>
  <si>
    <t>hasta el veintiocho (28) de diciembre de 2018, contado a partir del perfeccionamiento del mismo y registro presupuestal.</t>
  </si>
  <si>
    <t>28/12/201/</t>
  </si>
  <si>
    <t xml:space="preserve">Total cedido TRECE MILLONES SEISCIENTOS NOVENTA Y CINCO MIL DOSCIENTOS PESOS ($13'695.200) 
</t>
  </si>
  <si>
    <t>Hasta el veintiuno (21) de diciembre de 2018, contado a partir de la cesión la cual sucedió el 1 de septiembre.</t>
  </si>
  <si>
    <t>245-2018</t>
  </si>
  <si>
    <t>DIEGO ANDRES PACHECO</t>
  </si>
  <si>
    <t>Prestar los servicios profesionales en la Dirección de Gestión del Conocimiento de Función Pública, para apoyar la revisión documental, seguimiento y estandarización del proceso editorial de la Entidad.</t>
  </si>
  <si>
    <t>Dos (2) mensualidades vencidas, cada una por valor de CUATRO MILLONES TRESCIENTOS  CUARENTA MIL PESOS ($4’340.000) M/CTE.</t>
  </si>
  <si>
    <t>JULIANA TORRES QUIJANO</t>
  </si>
  <si>
    <t>S.O.S SOLUCIONES DE OFICINA &amp; SUMINISTROS S.A.S</t>
  </si>
  <si>
    <t xml:space="preserve">Adquirir los insumos de papelería, y elementos de oficina requeridos para organizar y desarrollar de forma adecuada los talleres de asesoria tecnica, de acuerdo con la fase III de la Estrategia Territorial definida por la vigencia 2018. </t>
  </si>
  <si>
    <t>240-2018</t>
  </si>
  <si>
    <t>LUISA FERNANDA ESTEBAN RUIZ</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</si>
  <si>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</si>
  <si>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Cinco (5) pagos, así: a) cuatro (4) mensualidades , cada una por valor de TRES MILLONES QUINIENTOS MIL PESOS ($3’500.000) M/CTE, y un último pago por valor de UN MILLON CUATROCIENTOS MIL PESOS ($1,400.000) M/CTE</t>
  </si>
  <si>
    <t>239-2018</t>
  </si>
  <si>
    <t>MIGUEL SEBATIAN RINCO ORTEGA</t>
  </si>
  <si>
    <t>244-2018</t>
  </si>
  <si>
    <t>LINA MARCELA GONZALEZ GONZALEZ</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</si>
  <si>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</si>
  <si>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Cinco (5) pagos, así: a) cuatro (4) mensualidades , cada una por valor de DOS MILLONES QUINIENTOS MIL PESOS ($2’500.000) M/CTE, y un último pago por valor de SETECIENTOS CINCUENTA MIL PESOS ($750.000) M/CTE</t>
  </si>
  <si>
    <t>FERNANDO AUGUSTO MEDINA GUTIERRREZ</t>
  </si>
  <si>
    <t>SUBDIRECCION</t>
  </si>
  <si>
    <t>241-2018</t>
  </si>
  <si>
    <t>EDITORIAL LA UNIDAD</t>
  </si>
  <si>
    <t>Publicar un (1) aviso de prensa, en un periódico de amplia circulación nacional de acuerdo con las condiciones establecidas por Función Pública</t>
  </si>
  <si>
    <t xml:space="preserve">hasta el día treinta (30) de noviembre </t>
  </si>
  <si>
    <t>JULIAN MAURICIO MARTINEZ</t>
  </si>
  <si>
    <t>GRUPO DE GESTION ADMINISTRATIVA</t>
  </si>
  <si>
    <t>PANAMERICANA LIBRERÍA Y PAPELERIA S.A.</t>
  </si>
  <si>
    <t>Adquirir los toner para la fotocopiadora monocromatica xerox de función pública</t>
  </si>
  <si>
    <t>EDWIN SANCHEZ ROZO</t>
  </si>
  <si>
    <t>233-2018</t>
  </si>
  <si>
    <t>GINA PAOLA MAHECHA ORTIZ</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</si>
  <si>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</si>
  <si>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cinco (5) pagos de la siguiente manera: a) cuatro (4) mensualidades por un valor de SIETE MILLONES SETECIENTOS MIL PESOS ($7’700.000) M/CTE. b) un último pago por valor de TRES MILLONES QUINIENTOS NOVENTA Y CUATRO MIL PESOS ($3’594.000) M/CTE incluido IVA</t>
  </si>
  <si>
    <t>247-2018</t>
  </si>
  <si>
    <t>DIANA MARITZA PINZON FRANCO</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</si>
  <si>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</si>
  <si>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Cuatro (4) pagos cada una por valor de SEIS MILLONES DE PESOS ($6’000.000,00) M/CTE.</t>
  </si>
  <si>
    <t>LINA ESPERANZA ESCOBAR RODRIGUEZ</t>
  </si>
  <si>
    <t>250-2018</t>
  </si>
  <si>
    <t>YARIMA ZULAY RUEDA BERMUDEZ</t>
  </si>
  <si>
    <t>252-2018</t>
  </si>
  <si>
    <t>LAURA BIBIANA RIVERA GALEANO</t>
  </si>
  <si>
    <t>dos  (2) mensualidades, cada una por valor de SIETE MILLONES TRECIENTOS CINCUENTA MIL PESOS ($7.350.000) M/CTE</t>
  </si>
  <si>
    <t>Dos (2) de meses contado a partir del perfeccionamiento del mismo y registro presupuestal.</t>
  </si>
  <si>
    <t>04/09/218</t>
  </si>
  <si>
    <t>ELSA YANUBA QUIÑONES</t>
  </si>
  <si>
    <t>248-2018</t>
  </si>
  <si>
    <t>GINA LIZETH SANTA MONTAÑA</t>
  </si>
  <si>
    <t>263-2018</t>
  </si>
  <si>
    <t>Prestar servicios profesionales para apoyar el desarrollo de herramientas sobre las políticas de rendición de cuentas y transparencia, en atención a lo establecido en la ley 1909 de 2018; así como la promoción de la participación y del control social a cargo de la Dirección de Participación, Transparencia y Servicio al Ciudadano de Función Pública.</t>
  </si>
  <si>
    <t>OIRIS OLMOS SOSA</t>
  </si>
  <si>
    <t xml:space="preserve">260-2018 </t>
  </si>
  <si>
    <t>Prestar los servicios profesionales a función pública para apoyar la implementación del MIPG en los Planes de Asistencia Tecnicas (PAT) asignados en el marco de la tercera fase de la Estrategia de Gestión Territorial.</t>
  </si>
  <si>
    <t>Cuatro (4) pagos, así: a) Tres (3) mensualidades vencidas, cada una por valor de SEIS MILLONES DE PESOS ($6’000.000,00) M/CTE., y un último pago por valor de TRES MILLONES DE PESOS ($3,000.000,00) M/CTE</t>
  </si>
  <si>
    <t>Hasta el catorce (14) de diciembre de 2018, contado a partir del perfeccionamiento del mismo y registro presupuestal.</t>
  </si>
  <si>
    <t>ALEJANDRO BECKER</t>
  </si>
  <si>
    <t>DIRECCION DE DESARROLLO ORGANIZACIONAL</t>
  </si>
  <si>
    <t>258-2018</t>
  </si>
  <si>
    <t>256-2018</t>
  </si>
  <si>
    <t>257-2019</t>
  </si>
  <si>
    <t>259-2019</t>
  </si>
  <si>
    <t>PAULA CAROLINA VILLAMIZAR PENILLA</t>
  </si>
  <si>
    <t>262-2018</t>
  </si>
  <si>
    <t>JUAN DIEGO CRISTANCHO ROJAS</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</si>
  <si>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</si>
  <si>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Cuatro (4) pagos, así: a) Tres (3) mensualidades vencidas, cada una por valor de CUATRO MILLONES QUINIENTOS MIL PESOS ($4’500.000,00) M/CTE., y un último pago por valor de TRES MILLONES CIENTO CINCUENTA MIL PESOS ($3’150.000,00) M/CTE</t>
  </si>
  <si>
    <t>HECTOR JULIO JULIO MELO</t>
  </si>
  <si>
    <t>Prestar servicios profesionales en la Dirección de Gestión del Conocimiento</t>
  </si>
  <si>
    <t>2,5 meses</t>
  </si>
  <si>
    <t>Prestar servicios de apoyo a la gestión en la Oficina Asesora de Comunicaciones</t>
  </si>
  <si>
    <t>3 meses</t>
  </si>
  <si>
    <t>2 0 1 4 6 EQUIPO DE SISTEMAS</t>
  </si>
  <si>
    <t>IMPRESORAS MILTIFUNCIONALES PARA LA ENTIDAD</t>
  </si>
  <si>
    <t>MESAS PARA EL AUDITORIO DE LA ENTIDAD</t>
  </si>
  <si>
    <t>SILLAS TIPO UNIVERSITARIO PARA EL AUDITORIO</t>
  </si>
  <si>
    <t>228-2018</t>
  </si>
  <si>
    <t>45111704  45111706 45111713  45110000 45111500  45111504</t>
  </si>
  <si>
    <t>SISTEMA DE SONIDO PARA EL AUDITORIO Y SALA DE JUNTAS DE LA DIRECCIÓN</t>
  </si>
  <si>
    <t>48102009  56101538  56101519</t>
  </si>
  <si>
    <t>56112102  56112103  56101522</t>
  </si>
  <si>
    <t>HILDA C. SANCHEZ  Ext 500
hsanchez@funcionpublica.gov.co</t>
  </si>
  <si>
    <t>Contratar la suscripción al servicio de garantía extendida de fábrica para librería de Backup MSL 4048 y la renovación de la garantía extendida del licenciamiento del software Dataprotector; con servicio de soporte especializado, según la Ficha Técnica establecida…</t>
  </si>
  <si>
    <t>Adquirir la suscripción de la garantía extendida para la UPS APC modelo Symmetra PX 80kW con Serial PD0804160048 y nuevas baterías; así como el servicio de soporte, acorde a lo detallado en las condiciones técnicas ...</t>
  </si>
  <si>
    <t>265-2018</t>
  </si>
  <si>
    <t>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t>
  </si>
  <si>
    <t>Dos (2) mensualidades, cada una por valor de NUEVE MILLONES CIENTO OCHENTA Y CINCO MIL QUINIENTOS PESOS ($9’185.500) M/CTE</t>
  </si>
  <si>
    <t>dos (2) meses, contados a partir del perfeccionamiento del mismo y registro presupuestal</t>
  </si>
  <si>
    <t>264-2018</t>
  </si>
  <si>
    <t>LEIDY CAROLINA MOGOYON DELGADO</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</si>
  <si>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</si>
  <si>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Dos (2) mensualidades, cada una por valor de CUATRO MILLONES OCHOCIENTOS NOVENTA Y SIETE MIL PESOS ($4’897.000) M/CTE</t>
  </si>
  <si>
    <t>Dos (2) meses, contado a partir del perfeccionamiento del mismo y registro presupuestal</t>
  </si>
  <si>
    <t>OJO SALDO PARA CONTRATO CON CISA: $3.000.000</t>
  </si>
  <si>
    <t>EN TRAMITE</t>
  </si>
  <si>
    <t>266-2018</t>
  </si>
  <si>
    <t>NATURA SOFTWARE SAS</t>
  </si>
  <si>
    <t>Contratar la suscripción al licenciamiento del Sistema de atención virtual con respuesta automática vía chat - Agenti, el cual otorga el derecho de uso, junto con el respectivo soporte y mantenimiento por un (1) año, conforme con las condiciones técnicas establecidas en el presente documento .</t>
  </si>
  <si>
    <t xml:space="preserve">La Función Pública cancelará el valor total del contrato en un (1) solo pago, incluido todos los gastos asociados a la ejecución del contrato. </t>
  </si>
  <si>
    <t>Un (1) año contado a partir del diecisiete (17) de septiembre previo perfeccionamiento del contrato y registro presupuestal.</t>
  </si>
  <si>
    <t>267-2018</t>
  </si>
  <si>
    <t>COMPUTEL SYSTEM SAS</t>
  </si>
  <si>
    <t>Contratar la suscripción al servicio de soporte para los productos VMware, detallados en las condiciones técnicas del presente documento.</t>
  </si>
  <si>
    <t>Función Pública pagará el valor del contrato en un (1) único pago, previa entrega del documento de suscripción expedido por el fabr icante VMware, donde se relacione el derecho a usar los servicios de soporte básico por un (1) año, con derechos de actualización para las licencias VMware que posee Función Pública, y efectuar el registro en la plataforma de los derechos de soporte para la totalidad de las licencias VMware que posee la entidad.</t>
  </si>
  <si>
    <t>Un (1) año, contado a partir del veinte (20) de septiembre de 2018 , previo perfeccionamiento del contrato, registro presupuesta! y aprobación de pólizas, en todo caso el contratista deberá hacer el registro en la plataforma de Vmware y la entrega del documento de suscripción, dentro de los primeros cinco (5) días calendario de ejecución del contrato.</t>
  </si>
  <si>
    <t>EDWIN VARGAS ANTOLINEZ</t>
  </si>
  <si>
    <t>269-2018</t>
  </si>
  <si>
    <t>Prestar los servicios profesionales en la Dirección de Gestión del Conocimiento de Función Pública, para apoyar el desarrollo e implementación de la pedagogía territorial sobre Objetivos de Desarrollo Sostenible; la elaboración y socialización de documentos en el marco de "El Estado del Estado'', así como en la gestión para consolidar la dimensión de Gestión del Conocimiento y la Innovación del Modelo Integrado de Planeación y Gestión (MIPG).</t>
  </si>
  <si>
    <t>Tres (3) pagos así: a) Dos
(2) mensualidades por valor de SEIS MILLONES DE PESOS ($6'000.000)  M/CTE y b) Un último pago por valor de TRES MILLONES DE PESOS (3'000.000) M/CTE incluido IVA y demás  gastos asociados a la ejecución del contrato.</t>
  </si>
  <si>
    <t>Dos meses y medio (2.5), contados a partir del perfeccionamiento del mismo y registro presupuestal.</t>
  </si>
  <si>
    <t>268-2018</t>
  </si>
  <si>
    <t>Prestar los sericios de apoyo a la gestión, en la Oficina Asesora de Comunicaciones de Función Pública, para el registro de imágenes fotográficas que sirvan como insumo de los contenidos informativos generados por el área.</t>
  </si>
  <si>
    <t>Tres (3) mensualidades vencidas,  cada  una  por  valor  de  UN  MILLON  NOVECIENTOS  NUEVE  MIL PESOS  ($1'909.000)  M/CTE,  incluido  IVA  y  demás  gastos  asociados  a  la ejecución del contrato</t>
  </si>
  <si>
    <t xml:space="preserve">DIANA MARIA BOHORQUEZ LOSADA </t>
  </si>
  <si>
    <t>Prestar servicios profesionales en la Función Pública para articular a los diferentes actores requeridos para el desarrollo, implementación, puesta en marcha, migración, capacitación, soporte y mantenimiento, así como el seguimiento y monitoreo del Sistema de Información y Gestión del Empleo Público en su segunda versión - SIGEP II</t>
  </si>
  <si>
    <t>ESTIBAS PARA BODEGA DEL ALMACÉN</t>
  </si>
  <si>
    <t>44122101 44121503 44121605 44121612 44121615 44121618 44121619 44121621 44121630 44121634 44121701 44121702 44121704 44121706 44121716 44121804 44121902 44121905 44122003 44122011 44122104 44122107 44121708 44103103</t>
  </si>
  <si>
    <t xml:space="preserve">Adquisición  de la Papelería, toners, utiles de escritorio y de Oficina para el uso de las dependencias de la Función Pública. </t>
  </si>
  <si>
    <t>DIRECTA</t>
  </si>
  <si>
    <t>LITIGAR PUNTO COM S.A.</t>
  </si>
  <si>
    <t>Prestar los servicios de vigilancia, seguimiento y control diario, de los procesos adelantados en los distintos despachos judiciales a nivel Nacional, diferentes a la ciudad de Bogotá D.C., en los que es parte Función Pública, así como aquellos que se inicien durante la ejecución del contrato.</t>
  </si>
  <si>
    <t>Función Pública pagará el valor del contrato en cinco (5) pagos, distribuidos en mensualidades vencidas, en relación con el número de procesos y tutelas efectivamente vigilados en dicha mensualidad, es decir que el valor de cada uno de los pagos mensuales , dependerá del número de procesos judiciales que permanezcan en vigilancia y control, así como de las tutelas adicionales que se soliciten vigilar , previo certificado de recibido a satisfacción por parte del supervisor del contrato, sin que el monto total de los servicios prestados pueda exceder la cuantía total del mismo.</t>
  </si>
  <si>
    <t>Hasta el veinte (20) de diciembre de 2018, contado a partir del perfeccionamiento del mismo, registro presupuestal y aprobacion de poliza.</t>
  </si>
  <si>
    <t>ADRIANA MARCELA ORTEGA MORENO</t>
  </si>
  <si>
    <t>181-2018</t>
  </si>
  <si>
    <t>ARCHIVOS Y CARPETAS DE COLOMBIA S.AS</t>
  </si>
  <si>
    <t>Adquirir e instalar entrepaños para los muebles rodantes del archivo central de la Entidad, de acuerdo con las especificaciones técnicas.</t>
  </si>
  <si>
    <t>Un (1) único pago, a la entrega e instalación de la totalidad de los entrepaños, previa presentación de la factura, la expedición del certificado de recibido a satisfacción por parte del Supervisor del Contrato y sin que el monto total de los bienes pueda exceder la cuantía total del mismo.</t>
  </si>
  <si>
    <t>Treinta (30) días calendario, contados a partir del perfeccionamiento del mismo, previo registro presupuestal y aprobación de pólizas.</t>
  </si>
  <si>
    <t>270-2018</t>
  </si>
  <si>
    <t>CARLOS ANDRES CARDONA LOPEZ</t>
  </si>
  <si>
    <t>Prestar los Servicios Profesionales en Función Pública, para apoyar la articulación de los actores internos y externos que participen en el desarrollo, implementación y puesta en marcha del SIGEP 11, así como en la verificación del cumplimiento de las actividades realizadas por el desarrollador del Sistema.</t>
  </si>
  <si>
    <t>Tres (3) pagos, distribuidos así: a) Dos (2) pagos por valor de NUEVE MILLONES NOVECIENTOS MIL PESOS ($9'900.000) M/CTE. y b) Un pago final por valor SEIS MILLONES NOVECIENTOS TREINTA MIL PESOS ($6'930.000) M/CTE</t>
  </si>
  <si>
    <t>Hasta el veintiuno (21) de diciembre de 2018, contado a partir del perfeccionamiento del mismo y registro presupuesta!.</t>
  </si>
  <si>
    <t>Función Pública pagará el valor del contrato en un (1) único pago, previa entrega de las claves y/u order id por parte del proveedor, para acceder a la activación del soporte para las once (11) suscripciones Linux Red Hat,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</si>
  <si>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 xml:space="preserve">El plazo de ejecución del Contrato será el siguiente: Para el equipo Hitachi AMS 2100 hasta el EOSL (End-of-Service-Life-Fin de Vida Útil) esto es el treinta (30) de septiembre de 2018, y para el equipo Hitachi HUS 110 y los Switch un (1) año contado a partir del perfeccionamiento del contrato, registro presupuestal y aprobación de pólizas. </t>
  </si>
  <si>
    <t>Función Publica pagará el valor del contrato en un (1) único pago, previa entrega de los quince (15) certificados digitales SllF Nación, previa presentación de la factura y expedición del certificado de recibido a satisfacción por el Supervisor del Contrato.</t>
  </si>
  <si>
    <t>230-2018</t>
  </si>
  <si>
    <t>Un (1) año, contado a partir del perfeccionamiento del mismo, registro presupuestal y aprobacion de poliza y al vencimiento de la suscripcion del Licenciamiento de Office esto es a partir 7 del  de agiosto de 2018.</t>
  </si>
  <si>
    <t>Un (1) año o hasta el agotamiento de la bolsa de correo masivo, lo que primero ocurra, contado a partir del perfeccionamiento del mismo, registro presupuestal y aprobación de pólizas.</t>
  </si>
  <si>
    <t xml:space="preserve">Cuatro (4) meses, contado a partir del perfeccionamiento del mismo y registro presupuestal </t>
  </si>
  <si>
    <t>La Función Pública pagará el valor del Contrato, de conformidad con las condiciones que estipuladas por Colombia Compra Eficiente en el Acuerdo Marco de Precios, para la adquisición de elementos de papelería , útiles de escritorio y oficina, y demás insumos, previa presentac ión de la respectiva factura y expedición del certificado de recibido a satisfacción por parte del Supervisor del Contrato, sin que el monto total de los servic ios suministrados pueda exceder la cuantía total del contrato.</t>
  </si>
  <si>
    <t>Función Pública cancelará el valor total del contrato en un (1) pago de acuerdo con lo efectivamente ejecutado y facturado , pago que estará supeditado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</si>
  <si>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La Función Pública pagará el valor del contrato en  un (1) solo pago, por un valor estimado  de   DOS  MILLONES   OCHENTA   Y   DOS  MIL  QUINIENTOS   PESOS ($2'082.500,00)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</si>
  <si>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 en todo caso el Contratista deberá entregar al Departamento Admin istrativo de la Función Pública, los bienes a más tardar dentro de los treinta (30) días hábiles siguientes, a la fecha de la colocación de la Orden de Compra en la Tienda Virtual del Estado Colombiano.</t>
  </si>
  <si>
    <t xml:space="preserve">Dos (2) meses contados a partir de la expedición del registro presupuesta!. </t>
  </si>
  <si>
    <t>271-2018</t>
  </si>
  <si>
    <t>CENCOSUD COLOMBIA S.A.</t>
  </si>
  <si>
    <t>Adquisición de sillas universitarias con brazo abatible para Función Pública, conforme las condiciones técnicas establecidas en el presente documento.</t>
  </si>
  <si>
    <t>Un (1) solo pago, por un valor estimado   de:  DIECINUEVE   MILLONES  SEISCIENTOS  MIL  CATORCE   PESOS
($19'600.014,00)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</si>
  <si>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hábiles contado a partir de la expedición del registro presupuesta!.</t>
  </si>
  <si>
    <t>272-2018</t>
  </si>
  <si>
    <t>Adquisición de mesas plegables para la Función Pública, conforme las condiciones técnicas establecidas en el presente documento.</t>
  </si>
  <si>
    <t>Un (1) solo pago, por un valor estimado de CINCO MILLONES DE PESOS ($5'000.000) M/CTE, incluido IVA y demás gastos asociados a la ejecución del contrato, dentro de los tre inta (30) días siguientes a la presentación de la factura y a la expedición del certificado de recibido a satisfacción por parte del Supervisor del Contrato, sin que el monto total de los servicios prestados pueda exceder la cuantía total del mismo.</t>
  </si>
  <si>
    <t>Prestar servicios para apoyar a la DIRECCION GENERAL de Función Pública</t>
  </si>
  <si>
    <t>2,5 MESES</t>
  </si>
  <si>
    <t>Prestar servicios profesionales para apoyar a la DIRECCION JURÍDICA de Función Pública</t>
  </si>
  <si>
    <t>CLAUDIA PATRICIA HERNÁNDEZ LEÓN EXT. 740 chernandez@funcionpublica.gov.co</t>
  </si>
  <si>
    <t>273-2018</t>
  </si>
  <si>
    <t>Adquirir la Póliza de Responsabilidad Civil de vehículos para la protección de los automóviles pertenecientes al parque automotor de la Función Pública, de conformidad con el plan de adquisiciones para la vigencia 2018 y lo señalado por el Acuerdo Marco de Precios de Colombia Compra Eficiente.</t>
  </si>
  <si>
    <t>La Función Pública pagará el valor del Contrato de conformidad con las condiciones estipuladas en el Acuerdo Marco Nº CCE-325-1 AMP-2016 , para la adquisición de las Pólizas de Responsabilidad Civil para automóviles, previa  presentación de la respectiva factura y expedición del Certificado de Recibido a Satisfacción por parte del Supervisor del Contrato , sin que el monto total de los servicios suministrados pueda exceder la cuantía total del contrato.</t>
  </si>
  <si>
    <t>Un (1) año contado a partir de las cero (00:00) horas del día diecisiete (17) de Octubre de 2018, previo perfeccionamiento del mismo y registro presupuesta!.</t>
  </si>
  <si>
    <t>274-2018</t>
  </si>
  <si>
    <t>JUAN MANUEL MENDOZA VARGAS</t>
  </si>
  <si>
    <t>275-2018</t>
  </si>
  <si>
    <t>JOSE FERNANDO BERRIO BERRIO</t>
  </si>
  <si>
    <t>Prestar los Servicios de Apoyo a la Gestión en la Dirección General de Función Pública, en la interlocución permanente y oportuna con las entidades públicas y al interior de la Entidad, entre las dependencias y la Dirección General.</t>
  </si>
  <si>
    <t>Prestar los Servicios Profesionales en la Dirección General  de  Función  Pública, para apoyar la gestión de las reformas organizacionales y sectoriales que sean promovidas por el Gobierno Nacional.</t>
  </si>
  <si>
    <t>Dos (2) mensualidades vencidas , cada una por valor de DOS MILLONES DE PESOS ($2'000.000) M/CTE</t>
  </si>
  <si>
    <t>Tres pagos, así: a) dos (2) mensualidades vencidas , cada una por valor de DIEZ MILLONES DE PESOS ($10'000.000) M/CTE., incluido IVA y demás gastos asociados a la ejecución del contrato, previa presentación del informe de ejecución correspondiente y del certificado de cumplimiento y evaluación del contratista  firmado  por el supervisor, y; b) un último pago, a la finalización del contrato, por valor de CINCO MILLONES DE PESOS ($5'000.000) M/CTE.</t>
  </si>
  <si>
    <t>Hasta el veintiuno (21) de diciembre de 2018 , contado a partir del perfeccionamiento del mismo y registro presupuestal.</t>
  </si>
  <si>
    <t>SANTIAGO ARANGO CORRALES</t>
  </si>
  <si>
    <t>277-2018</t>
  </si>
  <si>
    <t>Adquirir cinco (5) impresoras multifuncionales monocromáticas para Función Pública, de conformidad con las especificaciones técnicas que se anexan al presente, dentro de los lineamientos establecidos en la Tienda Virtual del Estado Colombiano - Grandes Superficies</t>
  </si>
  <si>
    <t>Un (1) solo pago, por un valor estimado de  VEINTE   MILLONES CUATROCIENTOS   TREINTA  Y  OCHO  MIL  DOSCIENTOS CINCUENTA PESOS ($20'438 .250,00) M/CTE</t>
  </si>
  <si>
    <t>Será hasta el quince (15) de diciembre del 2018. En todo caso el Contratista deberá entregar al Departamento Administrativo de la Función Pública, los bienes a más tardar el treinta (30) de noviembre del 2018.</t>
  </si>
  <si>
    <t>278-2018</t>
  </si>
  <si>
    <t>Abastecer gasolina corriente para el normal funcionamiento de los vehículos del Departamento Admin istrativo de la Función Pública, de conformidad con los lineamientos establecidos en el Acuerdo Marco de Precios para el suministro de combustible, con sistema de control EDS de Colombia Compra Eficiente.</t>
  </si>
  <si>
    <t>Función Pública pagará el valor del Contrato de conformidad con las condiciones que se encuentren establecidas dentro del Acuerdo Marco de Precios suscrito por Colombia Compra Eficiente y los Proveedores ,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</si>
  <si>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 previo registro presupuesta! y demás condiciones establecidas en el Acuerdo Marco de Precios suscrito por Colombia Compra Eficiente.</t>
  </si>
  <si>
    <t>279-2018</t>
  </si>
  <si>
    <t>AUGUSTO HERNANDEZ BECERRA</t>
  </si>
  <si>
    <t>Prestar los Servicios Profesionales en la Dirección Jurídica de Función Pública, para apoyar en la elaboración de una estrategia de defensa jurídica de los procesos de selección adelantados, a través de las convocatorias para proveer cargos de carrera administrativa, suspendidos provisionalmente por el Consejo de Estado.</t>
  </si>
  <si>
    <t>Función Pública cancelará el valor total del contrato en tres pagos, así: a) dos (2) mensualidades vencidas, cada una por valor de DIEZ MILLONES DE PESOS ($10'000.000) M/CTE., incluido IVA y demás gastos asociados a la ejecución  del contrato, previa presentación del informe de ejecución correspondiente y del certificado de cumplimiento y evaluación del contratista firmado por el supervisor. y;
b) un (1) último pago, a la finalización del contrato, por valor de CINCO MILLONES DE PESOS ($5'000.000) M/CTE</t>
  </si>
  <si>
    <t>CLAUDIA PATRICIA HERNANDEZ LEON</t>
  </si>
  <si>
    <t>JULIAN MAURICIO MARTINEZ ALVARADO
COORDINADOR GRUPO GESTIÓN ADMINISTRATIVA</t>
  </si>
  <si>
    <t>Prestar servicios de apoyo a la Secretaría General - Grupo de Gestión Administrativa de Función Pública</t>
  </si>
  <si>
    <t>SECRETARÍA GENERAL - GRUPO GESTIÓN ADMINISTRATIVA</t>
  </si>
  <si>
    <t xml:space="preserve">Adquirir elementos para la carnetización del personal de la entidad </t>
  </si>
  <si>
    <t xml:space="preserve">Servicio de impresión de carnet´s para el personal de la entidad </t>
  </si>
  <si>
    <t>1,5 MESES</t>
  </si>
  <si>
    <t>1,5  MESES</t>
  </si>
  <si>
    <t xml:space="preserve">14111815
 82121500
 82121503
</t>
  </si>
  <si>
    <t>Prestar servicios profesionales en la Dirección de Desarrollo Organizacional para apoyar la implementación de la Estrategia de Gestión Territorial, a través de la ejecución de los Planes de Acción Técnicos (PAT), en las entidades territoriales asignadas en temas de la Dirección de Desarrollo Organizacional.</t>
  </si>
  <si>
    <t>JUAN PABLO REMOLINA  Ext. 820 jremolina@funcionpublica.gov.co</t>
  </si>
  <si>
    <t>Prestar servicios profesionales en la Dirección de Desarrollo Organizacional para apoyar la implementación del MIPG en los Planes de Acción Técnicos (PAT), con énfasis en la política de gestión del conocimiento, en las entidades asignadas.</t>
  </si>
  <si>
    <t>Prestar servicios profesionales en la Dirección de Desarrollo Organizacional para apoyar la implementación de la Estrategia de Gestión Territorial, a través de la ejecución de los Planes de Acción Técnicos (PAT), con énfasis en la política y dimensión de control interno del MIPG, en las entidades asignadas.</t>
  </si>
  <si>
    <t>Prestar servicios profesionales en la Dirección de Desarrollo Organizacional para apoyar la ejecución de la Estrategia de Gestión Territorial, a través de la implementación del Modelo Integral de Planeación y Gestión - MIPG en las entidades asignadas.</t>
  </si>
  <si>
    <t>Prestar servicios profesionales en la Dirección de Desarrollo Organizacional para apoyar la identificación, revisión, validación, ajuste y documentación de las buenas prácticas de la implementación del MIPG y de las Direcciones Técnicas de Función Pública.</t>
  </si>
  <si>
    <t>Prestar los servicios profesionales en la Dirección de Participación, Transparencia y Servicio al Ciudadano de la Función Pública para apoyar a las entidades de la rama ejecutiva del orden nacional en la revisión técnica de los trámites y procesos asociados a los mismos que sean objeto de mejora.</t>
  </si>
  <si>
    <t>FERNANDO AUGUSTO SEGURA  Ext. 630 jremolina@funcionpublica.gov.co</t>
  </si>
  <si>
    <t xml:space="preserve">OFICINA DE LAS TECNOLOGIAS DE INFORMACIÓN
Y LAS COMUNICACIONES
</t>
  </si>
  <si>
    <t xml:space="preserve">Prestar servicios profesionales en la Dirección de Desarrollo Organizacional para apoyar la revisión de la Estrategia Territorial y aportar el proceso interinstitucional para formación de nuevas autoridades territoriales. </t>
  </si>
  <si>
    <t>Prestar servicios profesionales en la Dirección de Empleo Público para apoyar la recolección, revisión de la información y la definición de una propuesta tipo conjunta sobre estructura organizacional, funciones de las dependencias, procesos propios de las áreas y los denominados transversales, procedimientos propios de las áreas y los denominados transversales, planta de empleos y manuales de funciones de los municipios</t>
  </si>
  <si>
    <t>FRANCISCO CAMARGO  Ext. 700 fcamargo@funcionpublica.gov.co</t>
  </si>
  <si>
    <t>Prestar servicios profesionales en la Dirección de Desarrollo Organizacional para apoyar la revisión de las preguntas contenidas en la herramienta de autodiagnósticos y en el FURAG para aplicar mejoras en la próxima medición</t>
  </si>
  <si>
    <t>Prestar servicios profesionales en la Dirección de Participación, Transparencia y Servicio al Ciudadano para apoyar la revisión jurídica de los trámites a ser estandarizados y posteriormente registrados en el Sistema Único de Información de Trámites - SUIT.</t>
  </si>
  <si>
    <t xml:space="preserve">Adquisición nuevo ODA </t>
  </si>
  <si>
    <t>Actualización ODA actual</t>
  </si>
  <si>
    <t>para vehículos adición actual contrato</t>
  </si>
  <si>
    <t>Equipos de cómputo - escritorio para las áreas de la Entidad.</t>
  </si>
  <si>
    <t>45 DÍAS</t>
  </si>
  <si>
    <t>Prestar servicios de apoyo a la gestión, en la Dirección de Desarrollo Organizacional en la organización documental de los soportes de la estrategia territorial de acuerdo con los parámetros legales.</t>
  </si>
  <si>
    <t>RUBROS PRESUPUESTALES - TOTA LTRASLADOS</t>
  </si>
  <si>
    <t>saldo en nómina.</t>
  </si>
  <si>
    <t>GRANDDES SUPERFICIES</t>
  </si>
  <si>
    <t>SOFTWARE SISTEMA BIOMETRICO</t>
  </si>
  <si>
    <t>EXTINTORES DE INCENDIO MUTIPROPÓSITO DE 20 LIBRAS</t>
  </si>
  <si>
    <t>52141502 - 52141501 - 42192210</t>
  </si>
  <si>
    <t>ADQUISICIÓN DE BIENES PARA EL BIENESTAR DE LOS SERVIDORES PÚBLICOS DE LA ENTIDAD: MICROONDAS INDUSTRIAL Y NEVERA PARA ZONA DE CAFETERÍA, SILLA DE RUEDAS ESTÁNDAR., ESTERILIZADOR DE FRASCOS PARA EL AREA DE MATERNAS.</t>
  </si>
  <si>
    <t>RUBROS PRESUPUESTALES - TOTA TRASLADOS</t>
  </si>
  <si>
    <t>TRASLADOS ENTRE SUBRUBROS</t>
  </si>
  <si>
    <t>TRASLADOS ENTRE RUBROS</t>
  </si>
  <si>
    <r>
      <t xml:space="preserve">3580266+ </t>
    </r>
    <r>
      <rPr>
        <sz val="18"/>
        <color rgb="FFFF0000"/>
        <rFont val="Calibri"/>
        <family val="2"/>
      </rPr>
      <t>1635000</t>
    </r>
  </si>
  <si>
    <r>
      <t>2271000+</t>
    </r>
    <r>
      <rPr>
        <sz val="22"/>
        <color rgb="FFFF0000"/>
        <rFont val="Calibri"/>
        <family val="2"/>
        <scheme val="minor"/>
      </rPr>
      <t>1729000</t>
    </r>
  </si>
  <si>
    <t>SALDO PARA COMPROMETER EN EL PAA</t>
  </si>
  <si>
    <t>1  MES</t>
  </si>
  <si>
    <t>Adquirir 2000 pines de acceso a pruebas psicotécnicas especializadas en la evaluación de Integridad y Rectitud laboral.</t>
  </si>
  <si>
    <t>MAGDALENA FORERO
EXT. 920 mforero@funcionpublica.gov.co</t>
  </si>
  <si>
    <t>Prestar servicios profesionales en la Dirección Jurídica</t>
  </si>
  <si>
    <t>ARMANDO LÓPEZ
EXT. 740 alopez@funcionpublica.gov.co</t>
  </si>
  <si>
    <t>Prestar servicios profesionales en la Dirección de Participación, Transparencia y Servicio al Ciudadano</t>
  </si>
  <si>
    <t>FERNANDO SEGURA
EXT. 630 fsegura@funcionpublica.gov.co</t>
  </si>
  <si>
    <t>CLAUDIA HERNÁNDEZ
EXT. 911 chernandez@funcionpublica.gov.co</t>
  </si>
  <si>
    <t>NATALIA ASTRID CARDONA RAMIREZ
SECRETARIA GENERAL €</t>
  </si>
  <si>
    <t>71151100
14111500</t>
  </si>
  <si>
    <t>Cintas de Back up para almacenamiento</t>
  </si>
  <si>
    <t>JULIO CESAR RIVERA  Ext 500
jrivera@funcionpublica.gov.co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</si>
</sst>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64" formatCode="_-* #,##0_-;\-* #,##0_-;_-* &quot;-&quot;_-;_-@_-"/>
    <numFmt numFmtId="165" formatCode="_-&quot;$&quot;\ * #,##0.00_-;\-&quot;$&quot;\ * #,##0.00_-;_-&quot;$&quot;\ * &quot;-&quot;??_-;_-@_-"/>
    <numFmt numFmtId="166" formatCode="_(&quot;$&quot;\ * #,##0.00_);_(&quot;$&quot;\ * \(#,##0.00\);_(&quot;$&quot;\ * &quot;-&quot;??_);_(@_)"/>
    <numFmt numFmtId="167" formatCode="_(* #,##0.00_);_(* \(#,##0.00\);_(* &quot;-&quot;??_);_(@_)"/>
    <numFmt numFmtId="168" formatCode="&quot;$&quot;#,##0.00;[Red]\-&quot;$&quot;#,##0.00"/>
    <numFmt numFmtId="169" formatCode="_-&quot;$&quot;* #,##0_-;\-&quot;$&quot;* #,##0_-;_-&quot;$&quot;* &quot;-&quot;_-;_-@_-"/>
    <numFmt numFmtId="170" formatCode="_-&quot;$&quot;* #,##0.00_-;\-&quot;$&quot;* #,##0.00_-;_-&quot;$&quot;* &quot;-&quot;??_-;_-@_-"/>
    <numFmt numFmtId="171" formatCode="_ * #,##0.00_ ;_ * \-#,##0.00_ ;_ * &quot;-&quot;??_ ;_ @_ "/>
    <numFmt numFmtId="172" formatCode="_(&quot;$&quot;\ * #,##0_);_(&quot;$&quot;\ * \(#,##0\);_(&quot;$&quot;\ * &quot;-&quot;??_);_(@_)"/>
    <numFmt numFmtId="173" formatCode="_([$$-240A]\ * #,##0.00_);_([$$-240A]\ * \(#,##0.00\);_([$$-240A]\ * &quot;-&quot;??_);_(@_)"/>
    <numFmt numFmtId="174" formatCode="#,###\ &quot;MESES&quot;"/>
    <numFmt numFmtId="175" formatCode="&quot;$&quot;\ #,##0.00"/>
    <numFmt numFmtId="176" formatCode="_ &quot;$&quot;\ * #,##0.00_ ;_ &quot;$&quot;\ * \-#,##0.00_ ;_ &quot;$&quot;\ * &quot;-&quot;??_ ;_ @_ "/>
    <numFmt numFmtId="177" formatCode="_-&quot;$&quot;* #,##0.00_-;\-&quot;$&quot;* #,##0.00_-;_-&quot;$&quot;* &quot;-&quot;_-;_-@_-"/>
    <numFmt numFmtId="178" formatCode="#,##0.00_ ;\-#,##0.00\ "/>
    <numFmt numFmtId="179" formatCode="_-[$$-240A]* #,##0.00_-;\-[$$-240A]* #,##0.00_-;_-[$$-240A]* &quot;-&quot;??_-;_-@_-"/>
    <numFmt numFmtId="180" formatCode="[$-1240A]&quot;$&quot;\ #,##0.00;\(&quot;$&quot;\ #,##0.00\)"/>
    <numFmt numFmtId="181" formatCode="0.000%"/>
    <numFmt numFmtId="182" formatCode="#,###.0\ &quot;MESES&quot;"/>
    <numFmt numFmtId="183" formatCode="&quot;$&quot;\ #,##0"/>
    <numFmt numFmtId="184" formatCode="[$-1240A]&quot;$&quot;\ #,##0;\(&quot;$&quot;\ #,##0\)"/>
    <numFmt numFmtId="185" formatCode="#,###.00\ &quot;MESES&quot;"/>
  </numFmts>
  <fonts count="150" x14ac:knownFonts="1">
    <font>
      <sz val="11"/>
      <color theme="1"/>
      <name val="Calibri"/>
      <family val="2"/>
      <scheme val="minor"/>
    </font>
    <font>
      <sz val="16"/>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sz val="14"/>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8"/>
      <name val="Arial"/>
      <family val="2"/>
    </font>
    <font>
      <sz val="22"/>
      <name val="Calibri"/>
      <family val="2"/>
    </font>
    <font>
      <b/>
      <sz val="12"/>
      <name val="Arial"/>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b/>
      <sz val="14"/>
      <color rgb="FFFF0000"/>
      <name val="Calibri"/>
      <family val="2"/>
      <scheme val="minor"/>
    </font>
    <font>
      <b/>
      <sz val="16"/>
      <color rgb="FF002060"/>
      <name val="Arial Narrow"/>
      <family val="2"/>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b/>
      <sz val="14"/>
      <color theme="0"/>
      <name val="Arial"/>
      <family val="2"/>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sz val="20"/>
      <color theme="1"/>
      <name val="Arial"/>
      <family val="2"/>
    </font>
    <font>
      <b/>
      <sz val="11"/>
      <color theme="0"/>
      <name val="Calibri"/>
      <family val="2"/>
      <scheme val="minor"/>
    </font>
    <font>
      <sz val="14"/>
      <name val="Calibri"/>
      <family val="2"/>
    </font>
    <font>
      <b/>
      <sz val="12"/>
      <color rgb="FFFF0000"/>
      <name val="Calibri"/>
      <family val="2"/>
    </font>
    <font>
      <b/>
      <sz val="11"/>
      <color theme="0"/>
      <name val="Calibri"/>
      <family val="2"/>
    </font>
    <font>
      <b/>
      <sz val="11"/>
      <color rgb="FF002060"/>
      <name val="Arial"/>
      <family val="2"/>
    </font>
    <font>
      <b/>
      <sz val="11"/>
      <color rgb="FF002060"/>
      <name val="Calibri"/>
      <family val="2"/>
    </font>
    <font>
      <sz val="11"/>
      <color theme="0"/>
      <name val="Calibri"/>
      <family val="2"/>
    </font>
    <font>
      <b/>
      <sz val="16"/>
      <color theme="0"/>
      <name val="Calibri"/>
      <family val="2"/>
      <scheme val="minor"/>
    </font>
    <font>
      <b/>
      <sz val="18"/>
      <name val="Calibri"/>
      <family val="2"/>
    </font>
    <font>
      <b/>
      <sz val="20"/>
      <color theme="0"/>
      <name val="Calibri"/>
      <family val="2"/>
    </font>
    <font>
      <b/>
      <sz val="11"/>
      <color rgb="FFFF0000"/>
      <name val="Calibri"/>
      <family val="2"/>
    </font>
    <font>
      <b/>
      <sz val="18"/>
      <color theme="0"/>
      <name val="Calibri"/>
      <family val="2"/>
    </font>
    <font>
      <b/>
      <sz val="16"/>
      <color theme="0"/>
      <name val="Calibri"/>
      <family val="2"/>
    </font>
    <font>
      <b/>
      <sz val="14"/>
      <name val="Calibri"/>
      <family val="2"/>
      <scheme val="minor"/>
    </font>
    <font>
      <b/>
      <sz val="14"/>
      <color theme="5" tint="-0.499984740745262"/>
      <name val="Arial"/>
      <family val="2"/>
    </font>
    <font>
      <sz val="16"/>
      <name val="Calibri"/>
      <family val="2"/>
    </font>
    <font>
      <sz val="20"/>
      <color theme="1"/>
      <name val="Calibri"/>
      <family val="2"/>
    </font>
    <font>
      <sz val="16"/>
      <color rgb="FF000000"/>
      <name val="Times New Roman"/>
      <family val="1"/>
    </font>
    <font>
      <sz val="14"/>
      <color theme="0"/>
      <name val="Arial"/>
      <family val="2"/>
    </font>
    <font>
      <b/>
      <sz val="9"/>
      <name val="Arial"/>
      <family val="2"/>
    </font>
    <font>
      <b/>
      <sz val="9"/>
      <color theme="0"/>
      <name val="Arial"/>
      <family val="2"/>
    </font>
    <font>
      <sz val="18"/>
      <color theme="0"/>
      <name val="Calibri"/>
      <family val="2"/>
    </font>
    <font>
      <b/>
      <sz val="14"/>
      <name val="Arial"/>
      <family val="2"/>
    </font>
    <font>
      <sz val="18"/>
      <name val="Calibri"/>
      <family val="2"/>
      <scheme val="minor"/>
    </font>
    <font>
      <sz val="14"/>
      <color theme="0"/>
      <name val="Calibri"/>
      <family val="2"/>
    </font>
    <font>
      <b/>
      <sz val="18"/>
      <color rgb="FFC00000"/>
      <name val="Arial"/>
      <family val="2"/>
    </font>
    <font>
      <sz val="18"/>
      <color theme="1"/>
      <name val="Arial"/>
      <family val="2"/>
    </font>
    <font>
      <sz val="18"/>
      <color theme="1"/>
      <name val="Calibri"/>
      <family val="2"/>
    </font>
    <font>
      <sz val="20"/>
      <color rgb="FF1F4E79"/>
      <name val="Calibri"/>
      <family val="2"/>
      <scheme val="minor"/>
    </font>
    <font>
      <sz val="18"/>
      <color rgb="FF000000"/>
      <name val="Times New Roman"/>
      <family val="1"/>
    </font>
    <font>
      <sz val="20"/>
      <name val="Arial Narrow"/>
      <family val="2"/>
    </font>
    <font>
      <sz val="18"/>
      <color theme="0"/>
      <name val="Times New Roman"/>
      <family val="1"/>
    </font>
    <font>
      <b/>
      <sz val="20"/>
      <name val="Arial Narrow"/>
      <family val="2"/>
    </font>
    <font>
      <b/>
      <sz val="20"/>
      <color rgb="FFFF0000"/>
      <name val="Calibri"/>
      <family val="2"/>
    </font>
    <font>
      <b/>
      <sz val="9"/>
      <name val="Calibri"/>
      <family val="2"/>
    </font>
    <font>
      <b/>
      <sz val="14"/>
      <name val="Calibri"/>
      <family val="2"/>
    </font>
    <font>
      <b/>
      <sz val="20"/>
      <name val="Calibri"/>
      <family val="2"/>
    </font>
    <font>
      <sz val="20"/>
      <color theme="0"/>
      <name val="Calibri"/>
      <family val="2"/>
    </font>
    <font>
      <b/>
      <sz val="8"/>
      <name val="Arial"/>
      <family val="2"/>
    </font>
    <font>
      <sz val="12"/>
      <name val="Calibri"/>
      <family val="2"/>
    </font>
    <font>
      <b/>
      <sz val="10"/>
      <name val="Arial"/>
      <family val="2"/>
    </font>
    <font>
      <sz val="8"/>
      <name val="Calibri"/>
      <family val="2"/>
    </font>
    <font>
      <sz val="8"/>
      <name val="Times New Roman"/>
      <family val="1"/>
    </font>
    <font>
      <b/>
      <sz val="8"/>
      <name val="Calibri"/>
      <family val="2"/>
    </font>
    <font>
      <b/>
      <sz val="22"/>
      <name val="Calibri"/>
      <family val="2"/>
    </font>
    <font>
      <b/>
      <sz val="11"/>
      <name val="Calibri"/>
      <family val="2"/>
      <scheme val="minor"/>
    </font>
    <font>
      <b/>
      <sz val="16"/>
      <name val="Calibri"/>
      <family val="2"/>
      <scheme val="minor"/>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b/>
      <sz val="12"/>
      <color theme="0"/>
      <name val="Times New Roman"/>
      <family val="1"/>
    </font>
    <font>
      <sz val="20"/>
      <name val="Calibri"/>
      <family val="2"/>
      <scheme val="minor"/>
    </font>
    <font>
      <b/>
      <sz val="22"/>
      <color theme="1"/>
      <name val="Calibri"/>
      <family val="2"/>
      <scheme val="minor"/>
    </font>
    <font>
      <sz val="14"/>
      <color rgb="FFFF0000"/>
      <name val="Arial"/>
      <family val="2"/>
    </font>
    <font>
      <b/>
      <sz val="14"/>
      <color rgb="FFFF0000"/>
      <name val="Arial"/>
      <family val="2"/>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b/>
      <sz val="24"/>
      <color rgb="FFC00000"/>
      <name val="Arial"/>
      <family val="2"/>
    </font>
    <font>
      <b/>
      <sz val="14"/>
      <color theme="1"/>
      <name val="Calibri"/>
      <family val="2"/>
      <scheme val="minor"/>
    </font>
    <font>
      <sz val="11"/>
      <color rgb="FFFF0000"/>
      <name val="Calibri"/>
      <family val="2"/>
    </font>
    <font>
      <b/>
      <sz val="15"/>
      <color theme="1"/>
      <name val="Arial"/>
      <family val="2"/>
    </font>
    <font>
      <b/>
      <sz val="15"/>
      <color rgb="FFFF0000"/>
      <name val="Arial"/>
      <family val="2"/>
    </font>
    <font>
      <strike/>
      <sz val="11"/>
      <color theme="1"/>
      <name val="Calibri"/>
      <family val="2"/>
      <scheme val="minor"/>
    </font>
    <font>
      <b/>
      <strike/>
      <sz val="15"/>
      <name val="Arial"/>
      <family val="2"/>
    </font>
    <font>
      <sz val="22"/>
      <color theme="1"/>
      <name val="Calibri"/>
      <family val="2"/>
      <scheme val="minor"/>
    </font>
    <font>
      <sz val="28"/>
      <color theme="1"/>
      <name val="Calibri"/>
      <family val="2"/>
      <scheme val="minor"/>
    </font>
    <font>
      <sz val="18"/>
      <color rgb="FFFF0000"/>
      <name val="Calibri"/>
      <family val="2"/>
    </font>
    <font>
      <sz val="22"/>
      <color rgb="FFFF0000"/>
      <name val="Calibri"/>
      <family val="2"/>
      <scheme val="minor"/>
    </font>
  </fonts>
  <fills count="33">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8"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9">
    <xf numFmtId="0" fontId="0" fillId="0" borderId="0"/>
    <xf numFmtId="0" fontId="27" fillId="2" borderId="0" applyNumberFormat="0" applyBorder="0" applyAlignment="0" applyProtection="0"/>
    <xf numFmtId="0" fontId="28" fillId="0" borderId="0" applyNumberFormat="0" applyFill="0" applyBorder="0" applyAlignment="0" applyProtection="0"/>
    <xf numFmtId="164" fontId="26" fillId="0" borderId="0" applyFont="0" applyFill="0" applyBorder="0" applyAlignment="0" applyProtection="0"/>
    <xf numFmtId="167" fontId="29" fillId="0" borderId="0" applyFont="0" applyFill="0" applyBorder="0" applyAlignment="0" applyProtection="0"/>
    <xf numFmtId="171" fontId="5" fillId="0" borderId="0" applyFont="0" applyFill="0" applyBorder="0" applyAlignment="0" applyProtection="0"/>
    <xf numFmtId="167" fontId="26" fillId="0" borderId="0" applyFont="0" applyFill="0" applyBorder="0" applyAlignment="0" applyProtection="0"/>
    <xf numFmtId="169" fontId="26" fillId="0" borderId="0" applyFont="0" applyFill="0" applyBorder="0" applyAlignment="0" applyProtection="0"/>
    <xf numFmtId="169" fontId="29" fillId="0" borderId="0" applyFont="0" applyFill="0" applyBorder="0" applyAlignment="0" applyProtection="0"/>
    <xf numFmtId="169" fontId="26" fillId="0" borderId="0" applyFont="0" applyFill="0" applyBorder="0" applyAlignment="0" applyProtection="0"/>
    <xf numFmtId="176" fontId="5" fillId="0" borderId="0" applyFont="0" applyFill="0" applyBorder="0" applyAlignment="0" applyProtection="0"/>
    <xf numFmtId="166" fontId="26" fillId="0" borderId="0" applyFont="0" applyFill="0" applyBorder="0" applyAlignment="0" applyProtection="0"/>
    <xf numFmtId="170" fontId="29" fillId="0" borderId="0" applyFont="0" applyFill="0" applyBorder="0" applyAlignment="0" applyProtection="0"/>
    <xf numFmtId="166" fontId="29" fillId="0" borderId="0" applyFont="0" applyFill="0" applyBorder="0" applyAlignment="0" applyProtection="0"/>
    <xf numFmtId="0" fontId="29" fillId="0" borderId="0"/>
    <xf numFmtId="0" fontId="5" fillId="0" borderId="0"/>
    <xf numFmtId="0" fontId="5" fillId="0" borderId="0"/>
    <xf numFmtId="9" fontId="26" fillId="0" borderId="0" applyFont="0" applyFill="0" applyBorder="0" applyAlignment="0" applyProtection="0"/>
    <xf numFmtId="166" fontId="26" fillId="0" borderId="0" applyFont="0" applyFill="0" applyBorder="0" applyAlignment="0" applyProtection="0"/>
  </cellStyleXfs>
  <cellXfs count="914">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2"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7" fillId="0" borderId="0" xfId="14" applyFont="1" applyFill="1" applyBorder="1"/>
    <xf numFmtId="0" fontId="0" fillId="0" borderId="0" xfId="0" quotePrefix="1" applyFont="1" applyBorder="1" applyAlignment="1">
      <alignment horizontal="center" vertical="center" wrapText="1"/>
    </xf>
    <xf numFmtId="0" fontId="28" fillId="0" borderId="0" xfId="2" quotePrefix="1" applyFont="1" applyBorder="1" applyAlignment="1">
      <alignment horizontal="center" vertical="center" wrapText="1"/>
    </xf>
    <xf numFmtId="172" fontId="0" fillId="0" borderId="0" xfId="0" applyNumberFormat="1" applyFont="1" applyFill="1" applyBorder="1" applyAlignment="1">
      <alignment horizontal="center" vertical="center" wrapText="1"/>
    </xf>
    <xf numFmtId="175" fontId="0" fillId="0" borderId="0" xfId="0" applyNumberFormat="1" applyFont="1" applyFill="1" applyBorder="1" applyAlignment="1">
      <alignment horizontal="center" vertical="center" wrapText="1"/>
    </xf>
    <xf numFmtId="175" fontId="0" fillId="0" borderId="0" xfId="0" applyNumberFormat="1" applyFont="1"/>
    <xf numFmtId="175" fontId="0" fillId="0" borderId="0" xfId="0" applyNumberFormat="1" applyFont="1" applyAlignment="1">
      <alignment horizontal="center" vertical="center" wrapText="1"/>
    </xf>
    <xf numFmtId="0" fontId="34" fillId="0" borderId="0" xfId="0" applyFont="1" applyBorder="1" applyAlignment="1">
      <alignment vertical="center" wrapText="1"/>
    </xf>
    <xf numFmtId="0" fontId="0" fillId="0" borderId="3" xfId="0" applyFont="1" applyBorder="1"/>
    <xf numFmtId="0" fontId="34" fillId="0" borderId="0" xfId="0" applyFont="1" applyBorder="1" applyAlignment="1">
      <alignment horizontal="left" vertical="center" wrapText="1"/>
    </xf>
    <xf numFmtId="14" fontId="34" fillId="0" borderId="0" xfId="0" applyNumberFormat="1" applyFont="1" applyBorder="1" applyAlignment="1">
      <alignment horizontal="center" vertical="center" wrapText="1"/>
    </xf>
    <xf numFmtId="0" fontId="35" fillId="0" borderId="0" xfId="0" applyFont="1" applyBorder="1" applyAlignment="1">
      <alignment horizontal="left" vertical="center" wrapText="1"/>
    </xf>
    <xf numFmtId="0" fontId="7" fillId="0" borderId="0" xfId="14" applyFont="1" applyFill="1" applyBorder="1" applyAlignment="1"/>
    <xf numFmtId="0" fontId="14" fillId="0" borderId="0" xfId="14" applyNumberFormat="1" applyFont="1" applyFill="1" applyBorder="1" applyAlignment="1">
      <alignment horizontal="center" vertical="center" wrapText="1" readingOrder="1"/>
    </xf>
    <xf numFmtId="0" fontId="12" fillId="0" borderId="1" xfId="14" applyNumberFormat="1" applyFont="1" applyFill="1" applyBorder="1" applyAlignment="1">
      <alignment horizontal="center" vertical="center" wrapText="1" readingOrder="1"/>
    </xf>
    <xf numFmtId="0" fontId="9" fillId="3" borderId="1" xfId="14" applyNumberFormat="1" applyFont="1" applyFill="1" applyBorder="1" applyAlignment="1">
      <alignment vertical="center" wrapText="1" readingOrder="1"/>
    </xf>
    <xf numFmtId="0" fontId="9" fillId="6" borderId="1" xfId="14" applyNumberFormat="1" applyFont="1" applyFill="1" applyBorder="1" applyAlignment="1">
      <alignment horizontal="center" vertical="center" wrapText="1" readingOrder="1"/>
    </xf>
    <xf numFmtId="0" fontId="9" fillId="6" borderId="21" xfId="14" applyNumberFormat="1" applyFont="1" applyFill="1" applyBorder="1" applyAlignment="1">
      <alignment horizontal="center" vertical="center" wrapText="1" readingOrder="1"/>
    </xf>
    <xf numFmtId="0" fontId="16" fillId="0" borderId="0" xfId="14" applyFont="1" applyFill="1" applyBorder="1"/>
    <xf numFmtId="0" fontId="16" fillId="6" borderId="0" xfId="14" applyFont="1" applyFill="1" applyBorder="1"/>
    <xf numFmtId="0" fontId="9" fillId="7" borderId="21" xfId="14" applyNumberFormat="1" applyFont="1" applyFill="1" applyBorder="1" applyAlignment="1">
      <alignment horizontal="center" vertical="center" wrapText="1" readingOrder="1"/>
    </xf>
    <xf numFmtId="0" fontId="36" fillId="5" borderId="21" xfId="14" applyNumberFormat="1" applyFont="1" applyFill="1" applyBorder="1" applyAlignment="1">
      <alignment horizontal="center" vertical="center" wrapText="1" readingOrder="1"/>
    </xf>
    <xf numFmtId="0" fontId="36" fillId="5" borderId="1" xfId="14" applyNumberFormat="1" applyFont="1" applyFill="1" applyBorder="1" applyAlignment="1">
      <alignment horizontal="center" vertical="center" wrapText="1" readingOrder="1"/>
    </xf>
    <xf numFmtId="0" fontId="36" fillId="5" borderId="1" xfId="14" applyNumberFormat="1" applyFont="1" applyFill="1" applyBorder="1" applyAlignment="1">
      <alignment vertical="center" wrapText="1" readingOrder="1"/>
    </xf>
    <xf numFmtId="0" fontId="37" fillId="5" borderId="0" xfId="14" applyFont="1" applyFill="1" applyBorder="1"/>
    <xf numFmtId="0" fontId="39" fillId="5" borderId="1" xfId="14" applyNumberFormat="1" applyFont="1" applyFill="1" applyBorder="1" applyAlignment="1">
      <alignment horizontal="left" vertical="center" wrapText="1" readingOrder="1"/>
    </xf>
    <xf numFmtId="0" fontId="11" fillId="3" borderId="1" xfId="14" applyNumberFormat="1" applyFont="1" applyFill="1" applyBorder="1" applyAlignment="1">
      <alignment horizontal="left" vertical="center" wrapText="1" readingOrder="1"/>
    </xf>
    <xf numFmtId="0" fontId="11" fillId="8" borderId="6" xfId="14" applyNumberFormat="1" applyFont="1" applyFill="1" applyBorder="1" applyAlignment="1">
      <alignment horizontal="center" vertical="center" wrapText="1" readingOrder="1"/>
    </xf>
    <xf numFmtId="0" fontId="9" fillId="3" borderId="1" xfId="14" applyNumberFormat="1" applyFont="1" applyFill="1" applyBorder="1" applyAlignment="1">
      <alignment horizontal="center" vertical="center" wrapText="1" readingOrder="1"/>
    </xf>
    <xf numFmtId="39" fontId="40" fillId="5" borderId="1" xfId="14" applyNumberFormat="1" applyFont="1" applyFill="1" applyBorder="1" applyAlignment="1">
      <alignment horizontal="right" vertical="center" wrapText="1" readingOrder="1"/>
    </xf>
    <xf numFmtId="0" fontId="31"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1" fillId="3" borderId="1" xfId="14" applyNumberFormat="1" applyFont="1" applyFill="1" applyBorder="1" applyAlignment="1">
      <alignment horizontal="left" vertical="center" wrapText="1" readingOrder="1"/>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39" fontId="21" fillId="3" borderId="1" xfId="14" applyNumberFormat="1" applyFont="1" applyFill="1" applyBorder="1" applyAlignment="1">
      <alignment horizontal="right" vertical="center" wrapText="1" readingOrder="1"/>
    </xf>
    <xf numFmtId="39" fontId="21" fillId="3" borderId="1" xfId="14" applyNumberFormat="1" applyFont="1" applyFill="1" applyBorder="1" applyAlignment="1">
      <alignment vertical="center" wrapText="1" readingOrder="1"/>
    </xf>
    <xf numFmtId="39" fontId="45" fillId="3" borderId="1" xfId="14" applyNumberFormat="1" applyFont="1" applyFill="1" applyBorder="1" applyAlignment="1">
      <alignment horizontal="right" vertical="center" wrapText="1" readingOrder="1"/>
    </xf>
    <xf numFmtId="39" fontId="46" fillId="3" borderId="1" xfId="14" applyNumberFormat="1" applyFont="1" applyFill="1" applyBorder="1" applyAlignment="1">
      <alignment horizontal="right" vertical="center" wrapText="1" readingOrder="1"/>
    </xf>
    <xf numFmtId="39" fontId="43" fillId="10" borderId="1" xfId="14" applyNumberFormat="1" applyFont="1" applyFill="1" applyBorder="1" applyAlignment="1">
      <alignment horizontal="right" vertical="center" wrapText="1" readingOrder="1"/>
    </xf>
    <xf numFmtId="0" fontId="21" fillId="3" borderId="1" xfId="14" applyNumberFormat="1" applyFont="1" applyFill="1" applyBorder="1" applyAlignment="1">
      <alignment vertical="center" wrapText="1" readingOrder="1"/>
    </xf>
    <xf numFmtId="166" fontId="0" fillId="0" borderId="0" xfId="0" applyNumberFormat="1" applyFont="1"/>
    <xf numFmtId="177" fontId="19" fillId="3" borderId="1" xfId="7" applyNumberFormat="1" applyFont="1" applyFill="1" applyBorder="1" applyAlignment="1">
      <alignment horizontal="center" vertical="center"/>
    </xf>
    <xf numFmtId="0" fontId="42" fillId="3" borderId="0" xfId="0" applyFont="1" applyFill="1" applyBorder="1" applyAlignment="1">
      <alignment horizontal="center" vertical="center" wrapText="1"/>
    </xf>
    <xf numFmtId="0" fontId="32" fillId="0" borderId="0" xfId="0" applyFont="1" applyAlignment="1">
      <alignment horizontal="center" vertical="center"/>
    </xf>
    <xf numFmtId="175" fontId="32" fillId="0" borderId="0" xfId="0" applyNumberFormat="1" applyFont="1" applyAlignment="1">
      <alignment horizontal="center" vertical="center"/>
    </xf>
    <xf numFmtId="0" fontId="11" fillId="0" borderId="1" xfId="14" applyNumberFormat="1" applyFont="1" applyFill="1" applyBorder="1" applyAlignment="1">
      <alignment horizontal="left" vertical="center" wrapText="1" readingOrder="1"/>
    </xf>
    <xf numFmtId="0" fontId="47" fillId="12" borderId="0" xfId="14" applyNumberFormat="1" applyFont="1" applyFill="1" applyBorder="1" applyAlignment="1">
      <alignment horizontal="center" vertical="center" wrapText="1" readingOrder="1"/>
    </xf>
    <xf numFmtId="0" fontId="48" fillId="12" borderId="12" xfId="14" applyNumberFormat="1" applyFont="1" applyFill="1" applyBorder="1" applyAlignment="1">
      <alignment horizontal="center" vertical="center" wrapText="1" readingOrder="1"/>
    </xf>
    <xf numFmtId="0" fontId="38" fillId="12" borderId="6" xfId="14" applyNumberFormat="1" applyFont="1" applyFill="1" applyBorder="1" applyAlignment="1">
      <alignment horizontal="center" vertical="center" wrapText="1" readingOrder="1"/>
    </xf>
    <xf numFmtId="39" fontId="50" fillId="0" borderId="0" xfId="14" applyNumberFormat="1" applyFont="1" applyFill="1" applyBorder="1" applyAlignment="1"/>
    <xf numFmtId="0" fontId="49" fillId="12" borderId="6" xfId="14" applyNumberFormat="1" applyFont="1" applyFill="1" applyBorder="1" applyAlignment="1">
      <alignment horizontal="center" vertical="center" wrapText="1" readingOrder="1"/>
    </xf>
    <xf numFmtId="39" fontId="9" fillId="3" borderId="1" xfId="14" applyNumberFormat="1" applyFont="1" applyFill="1" applyBorder="1" applyAlignment="1">
      <alignment horizontal="right" vertical="center" wrapText="1" readingOrder="1"/>
    </xf>
    <xf numFmtId="39" fontId="22" fillId="3" borderId="1" xfId="14" applyNumberFormat="1" applyFont="1" applyFill="1" applyBorder="1" applyAlignment="1">
      <alignment horizontal="right" vertical="center" wrapText="1" readingOrder="1"/>
    </xf>
    <xf numFmtId="0" fontId="22" fillId="3" borderId="1" xfId="14" applyNumberFormat="1" applyFont="1" applyFill="1" applyBorder="1" applyAlignment="1">
      <alignment vertical="center" wrapText="1" readingOrder="1"/>
    </xf>
    <xf numFmtId="39" fontId="22" fillId="3" borderId="1" xfId="14" applyNumberFormat="1" applyFont="1" applyFill="1" applyBorder="1" applyAlignment="1">
      <alignment horizontal="center" vertical="center" wrapText="1" readingOrder="1"/>
    </xf>
    <xf numFmtId="39" fontId="22" fillId="3" borderId="1" xfId="14" applyNumberFormat="1" applyFont="1" applyFill="1" applyBorder="1" applyAlignment="1">
      <alignment vertical="center" wrapText="1" readingOrder="1"/>
    </xf>
    <xf numFmtId="39" fontId="21" fillId="3" borderId="1" xfId="14" applyNumberFormat="1" applyFont="1" applyFill="1" applyBorder="1" applyAlignment="1">
      <alignment horizontal="right" vertical="center" readingOrder="1"/>
    </xf>
    <xf numFmtId="39" fontId="46" fillId="3" borderId="1" xfId="14" applyNumberFormat="1" applyFont="1" applyFill="1" applyBorder="1" applyAlignment="1">
      <alignment vertical="center" wrapText="1" readingOrder="1"/>
    </xf>
    <xf numFmtId="0" fontId="11" fillId="8" borderId="14" xfId="14" applyNumberFormat="1" applyFont="1" applyFill="1" applyBorder="1" applyAlignment="1">
      <alignment horizontal="center" vertical="center" wrapText="1" readingOrder="1"/>
    </xf>
    <xf numFmtId="39" fontId="51" fillId="3" borderId="1" xfId="14" applyNumberFormat="1" applyFont="1" applyFill="1" applyBorder="1" applyAlignment="1">
      <alignment horizontal="right" vertical="center" wrapText="1" readingOrder="1"/>
    </xf>
    <xf numFmtId="169" fontId="23" fillId="4" borderId="0" xfId="7" applyFont="1" applyFill="1" applyBorder="1" applyAlignment="1"/>
    <xf numFmtId="164" fontId="26" fillId="0" borderId="0" xfId="3" applyFont="1" applyBorder="1" applyAlignment="1">
      <alignment horizontal="right" vertical="center" wrapText="1"/>
    </xf>
    <xf numFmtId="164" fontId="26" fillId="0" borderId="0" xfId="3" applyFont="1" applyFill="1" applyAlignment="1">
      <alignment horizontal="right" vertical="center" wrapText="1"/>
    </xf>
    <xf numFmtId="164" fontId="26" fillId="0" borderId="0" xfId="3" applyFont="1" applyFill="1" applyBorder="1" applyAlignment="1">
      <alignment horizontal="right" vertical="center" wrapText="1"/>
    </xf>
    <xf numFmtId="166" fontId="52"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177" fontId="18" fillId="3" borderId="1" xfId="7" applyNumberFormat="1" applyFont="1" applyFill="1" applyBorder="1" applyAlignment="1">
      <alignment horizontal="center" vertical="center"/>
    </xf>
    <xf numFmtId="0" fontId="42" fillId="0" borderId="1" xfId="0" applyFont="1" applyBorder="1" applyAlignment="1">
      <alignment horizontal="center" vertical="center" wrapText="1"/>
    </xf>
    <xf numFmtId="166" fontId="0" fillId="0" borderId="0" xfId="0" applyNumberFormat="1" applyFont="1" applyAlignment="1">
      <alignment horizontal="center" vertical="center" wrapText="1"/>
    </xf>
    <xf numFmtId="0" fontId="0" fillId="11" borderId="0" xfId="0" applyFill="1"/>
    <xf numFmtId="0" fontId="42" fillId="3" borderId="0" xfId="0" applyFont="1" applyFill="1" applyAlignment="1">
      <alignment horizontal="center" vertical="center" wrapText="1"/>
    </xf>
    <xf numFmtId="166" fontId="27" fillId="3" borderId="0" xfId="0" applyNumberFormat="1" applyFont="1" applyFill="1"/>
    <xf numFmtId="164" fontId="56" fillId="0" borderId="0" xfId="3" applyFont="1" applyFill="1" applyAlignment="1">
      <alignment horizontal="center" vertical="center" wrapText="1"/>
    </xf>
    <xf numFmtId="175" fontId="56" fillId="0" borderId="0" xfId="0" applyNumberFormat="1" applyFont="1" applyFill="1" applyAlignment="1">
      <alignment horizontal="center" vertical="center" wrapText="1"/>
    </xf>
    <xf numFmtId="166" fontId="58" fillId="0" borderId="0" xfId="11" applyFont="1" applyFill="1" applyAlignment="1">
      <alignment horizontal="right" vertical="center" wrapText="1"/>
    </xf>
    <xf numFmtId="166" fontId="56" fillId="0" borderId="0" xfId="0" applyNumberFormat="1" applyFont="1" applyFill="1" applyAlignment="1">
      <alignment horizontal="center" vertical="center"/>
    </xf>
    <xf numFmtId="0" fontId="57" fillId="3" borderId="0" xfId="0" applyFont="1" applyFill="1" applyAlignment="1">
      <alignment horizontal="center"/>
    </xf>
    <xf numFmtId="173" fontId="0" fillId="0" borderId="0" xfId="0" applyNumberFormat="1" applyFont="1" applyFill="1" applyBorder="1" applyAlignment="1">
      <alignment horizontal="center" vertical="center" wrapText="1"/>
    </xf>
    <xf numFmtId="14" fontId="33" fillId="3" borderId="0" xfId="0" applyNumberFormat="1" applyFont="1" applyFill="1" applyBorder="1" applyAlignment="1">
      <alignment horizontal="center" vertical="center" wrapText="1"/>
    </xf>
    <xf numFmtId="0" fontId="66" fillId="0" borderId="0" xfId="3" applyNumberFormat="1" applyFont="1" applyAlignment="1">
      <alignment horizontal="left" wrapText="1"/>
    </xf>
    <xf numFmtId="0" fontId="67" fillId="0" borderId="0" xfId="0" applyFont="1" applyFill="1" applyBorder="1" applyAlignment="1">
      <alignment horizontal="center" vertical="center" wrapText="1"/>
    </xf>
    <xf numFmtId="0" fontId="67" fillId="0" borderId="0" xfId="0" applyFont="1" applyFill="1" applyAlignment="1">
      <alignment horizontal="center"/>
    </xf>
    <xf numFmtId="0" fontId="67" fillId="0" borderId="0" xfId="0" applyFont="1" applyFill="1" applyAlignment="1">
      <alignment horizontal="center" vertical="center" wrapText="1"/>
    </xf>
    <xf numFmtId="169" fontId="24" fillId="3" borderId="1" xfId="7" applyFont="1" applyFill="1" applyBorder="1" applyAlignment="1">
      <alignment horizontal="center" vertical="center" wrapText="1" readingOrder="1"/>
    </xf>
    <xf numFmtId="0" fontId="30" fillId="11" borderId="0" xfId="0" applyFont="1" applyFill="1" applyBorder="1" applyAlignment="1">
      <alignment vertical="center"/>
    </xf>
    <xf numFmtId="0" fontId="59" fillId="11" borderId="0" xfId="0" applyFont="1" applyFill="1" applyBorder="1" applyAlignment="1">
      <alignment horizontal="center" vertical="center"/>
    </xf>
    <xf numFmtId="0" fontId="30" fillId="11" borderId="0" xfId="0" applyFont="1" applyFill="1" applyAlignment="1">
      <alignment vertical="center"/>
    </xf>
    <xf numFmtId="166" fontId="30" fillId="11" borderId="0" xfId="0" applyNumberFormat="1" applyFont="1" applyFill="1" applyAlignment="1">
      <alignment vertical="center"/>
    </xf>
    <xf numFmtId="175" fontId="30" fillId="11" borderId="0" xfId="0" applyNumberFormat="1" applyFont="1" applyFill="1" applyAlignment="1">
      <alignment vertical="center"/>
    </xf>
    <xf numFmtId="169" fontId="24" fillId="3" borderId="1" xfId="7" applyFont="1" applyFill="1" applyBorder="1" applyAlignment="1">
      <alignment horizontal="center" vertical="center" wrapText="1"/>
    </xf>
    <xf numFmtId="169" fontId="55" fillId="0" borderId="1" xfId="7" applyFont="1" applyBorder="1" applyAlignment="1">
      <alignment horizontal="center" vertical="center"/>
    </xf>
    <xf numFmtId="169" fontId="0" fillId="0" borderId="1" xfId="7" applyFont="1" applyBorder="1" applyAlignment="1">
      <alignment horizontal="center" vertical="center"/>
    </xf>
    <xf numFmtId="169" fontId="42" fillId="3" borderId="0" xfId="7" applyFont="1" applyFill="1" applyAlignment="1">
      <alignment horizontal="center"/>
    </xf>
    <xf numFmtId="169" fontId="10" fillId="3" borderId="1" xfId="7" applyFont="1" applyFill="1" applyBorder="1" applyAlignment="1">
      <alignment horizontal="center" vertical="center" wrapText="1"/>
    </xf>
    <xf numFmtId="177" fontId="68" fillId="3" borderId="1" xfId="7" applyNumberFormat="1" applyFont="1" applyFill="1" applyBorder="1" applyAlignment="1">
      <alignment horizontal="center" vertical="center" wrapText="1"/>
    </xf>
    <xf numFmtId="178" fontId="7" fillId="0" borderId="0" xfId="14" applyNumberFormat="1" applyFont="1" applyFill="1" applyBorder="1"/>
    <xf numFmtId="0" fontId="16" fillId="3" borderId="0" xfId="14" applyFont="1" applyFill="1" applyBorder="1"/>
    <xf numFmtId="0" fontId="7" fillId="0" borderId="0" xfId="14" applyFont="1" applyFill="1" applyBorder="1" applyAlignment="1">
      <alignment horizontal="center" vertical="center"/>
    </xf>
    <xf numFmtId="0" fontId="7" fillId="0" borderId="1" xfId="14" applyFont="1" applyFill="1" applyBorder="1" applyAlignment="1">
      <alignment horizontal="center" vertical="center" wrapText="1"/>
    </xf>
    <xf numFmtId="0" fontId="7" fillId="3" borderId="0" xfId="14" applyFont="1" applyFill="1" applyBorder="1" applyAlignment="1">
      <alignment horizontal="center" vertical="center"/>
    </xf>
    <xf numFmtId="177" fontId="18" fillId="0" borderId="0" xfId="7" applyNumberFormat="1" applyFont="1" applyFill="1" applyBorder="1" applyAlignment="1">
      <alignment horizontal="center" vertical="center"/>
    </xf>
    <xf numFmtId="0" fontId="18" fillId="0" borderId="0" xfId="14" applyFont="1" applyFill="1" applyBorder="1"/>
    <xf numFmtId="0" fontId="70" fillId="0" borderId="0" xfId="14" applyFont="1" applyFill="1" applyBorder="1" applyAlignment="1">
      <alignment horizontal="center" vertical="center"/>
    </xf>
    <xf numFmtId="178" fontId="16" fillId="3" borderId="0" xfId="14" applyNumberFormat="1" applyFont="1" applyFill="1" applyBorder="1"/>
    <xf numFmtId="39" fontId="71" fillId="0" borderId="0" xfId="14" applyNumberFormat="1" applyFont="1" applyFill="1" applyBorder="1" applyAlignment="1"/>
    <xf numFmtId="179" fontId="7" fillId="0" borderId="0" xfId="14" applyNumberFormat="1" applyFont="1" applyFill="1" applyBorder="1" applyAlignment="1"/>
    <xf numFmtId="0" fontId="7" fillId="4" borderId="0" xfId="14" applyFont="1" applyFill="1" applyBorder="1" applyAlignment="1"/>
    <xf numFmtId="0" fontId="7" fillId="0" borderId="0" xfId="14" applyFont="1" applyFill="1" applyBorder="1" applyAlignment="1">
      <alignment horizontal="center"/>
    </xf>
    <xf numFmtId="178" fontId="7" fillId="3" borderId="0" xfId="14" applyNumberFormat="1" applyFont="1" applyFill="1" applyBorder="1" applyAlignment="1">
      <alignment horizontal="center" vertical="center"/>
    </xf>
    <xf numFmtId="0" fontId="48" fillId="12" borderId="0" xfId="14" applyNumberFormat="1" applyFont="1" applyFill="1" applyBorder="1" applyAlignment="1">
      <alignment horizontal="center" vertical="center" wrapText="1" readingOrder="1"/>
    </xf>
    <xf numFmtId="0" fontId="38" fillId="12" borderId="7" xfId="14" applyNumberFormat="1" applyFont="1" applyFill="1" applyBorder="1" applyAlignment="1">
      <alignment vertical="center" wrapText="1" readingOrder="1"/>
    </xf>
    <xf numFmtId="0" fontId="11" fillId="4" borderId="7" xfId="14" applyNumberFormat="1" applyFont="1" applyFill="1" applyBorder="1" applyAlignment="1">
      <alignment vertical="center" wrapText="1" readingOrder="1"/>
    </xf>
    <xf numFmtId="0" fontId="72" fillId="4" borderId="0" xfId="14" applyFont="1" applyFill="1" applyBorder="1" applyAlignment="1">
      <alignment vertical="center" wrapText="1"/>
    </xf>
    <xf numFmtId="0" fontId="72" fillId="12" borderId="0" xfId="14" applyFont="1" applyFill="1" applyBorder="1" applyAlignment="1">
      <alignment vertical="center" wrapText="1"/>
    </xf>
    <xf numFmtId="0" fontId="38" fillId="12" borderId="12" xfId="14" applyNumberFormat="1" applyFont="1" applyFill="1" applyBorder="1" applyAlignment="1">
      <alignment vertical="center" wrapText="1" readingOrder="1"/>
    </xf>
    <xf numFmtId="0" fontId="74" fillId="13" borderId="0" xfId="14" applyFont="1" applyFill="1" applyBorder="1"/>
    <xf numFmtId="0" fontId="72" fillId="12" borderId="0" xfId="14" applyFont="1" applyFill="1" applyBorder="1"/>
    <xf numFmtId="0" fontId="72" fillId="12" borderId="0" xfId="14" applyFont="1" applyFill="1" applyBorder="1" applyAlignment="1">
      <alignment horizontal="center" vertical="center"/>
    </xf>
    <xf numFmtId="0" fontId="75" fillId="12" borderId="0" xfId="14" applyFont="1" applyFill="1" applyBorder="1"/>
    <xf numFmtId="0" fontId="75" fillId="12" borderId="1" xfId="14" applyFont="1" applyFill="1" applyBorder="1" applyAlignment="1">
      <alignment horizontal="center" vertical="center" wrapText="1"/>
    </xf>
    <xf numFmtId="177" fontId="77" fillId="4" borderId="0" xfId="7" applyNumberFormat="1" applyFont="1" applyFill="1" applyBorder="1" applyAlignment="1">
      <alignment horizontal="center" vertical="center"/>
    </xf>
    <xf numFmtId="177" fontId="78" fillId="11" borderId="0" xfId="14" applyNumberFormat="1" applyFont="1" applyFill="1" applyBorder="1"/>
    <xf numFmtId="0" fontId="78" fillId="11" borderId="0" xfId="14" applyFont="1" applyFill="1" applyBorder="1"/>
    <xf numFmtId="0" fontId="38" fillId="12" borderId="13" xfId="14" applyNumberFormat="1" applyFont="1" applyFill="1" applyBorder="1" applyAlignment="1">
      <alignment horizontal="center" vertical="center" wrapText="1" readingOrder="1"/>
    </xf>
    <xf numFmtId="0" fontId="79" fillId="4" borderId="1" xfId="14" applyFont="1" applyFill="1" applyBorder="1" applyAlignment="1">
      <alignment vertical="center" wrapText="1"/>
    </xf>
    <xf numFmtId="0" fontId="72" fillId="12" borderId="1" xfId="14" applyFont="1" applyFill="1" applyBorder="1" applyAlignment="1">
      <alignment vertical="center" wrapText="1"/>
    </xf>
    <xf numFmtId="0" fontId="73" fillId="13" borderId="6" xfId="14" applyNumberFormat="1" applyFont="1" applyFill="1" applyBorder="1" applyAlignment="1">
      <alignment horizontal="center" vertical="center" wrapText="1" readingOrder="1"/>
    </xf>
    <xf numFmtId="0" fontId="73" fillId="13" borderId="13" xfId="14" applyNumberFormat="1" applyFont="1" applyFill="1" applyBorder="1" applyAlignment="1">
      <alignment horizontal="center" vertical="center" wrapText="1" readingOrder="1"/>
    </xf>
    <xf numFmtId="0" fontId="74" fillId="13" borderId="13" xfId="14" applyFont="1" applyFill="1" applyBorder="1" applyAlignment="1">
      <alignment horizontal="center" vertical="center" wrapText="1"/>
    </xf>
    <xf numFmtId="0" fontId="74" fillId="8" borderId="13" xfId="14" applyFont="1" applyFill="1" applyBorder="1" applyAlignment="1">
      <alignment horizontal="center" vertical="center" wrapText="1"/>
    </xf>
    <xf numFmtId="0" fontId="80" fillId="12" borderId="1" xfId="14" applyFont="1" applyFill="1" applyBorder="1" applyAlignment="1">
      <alignment horizontal="center" vertical="center" wrapText="1"/>
    </xf>
    <xf numFmtId="0" fontId="69" fillId="12" borderId="6" xfId="0" applyFont="1" applyFill="1" applyBorder="1" applyAlignment="1">
      <alignment horizontal="center" vertical="center" wrapText="1"/>
    </xf>
    <xf numFmtId="0" fontId="69" fillId="12" borderId="1" xfId="0" applyFont="1" applyFill="1" applyBorder="1" applyAlignment="1">
      <alignment horizontal="center" vertical="center" wrapText="1"/>
    </xf>
    <xf numFmtId="0" fontId="81" fillId="12" borderId="0" xfId="14" applyFont="1" applyFill="1" applyBorder="1" applyAlignment="1">
      <alignment horizontal="center" vertical="center"/>
    </xf>
    <xf numFmtId="0" fontId="82" fillId="3" borderId="6" xfId="0" applyFont="1" applyFill="1" applyBorder="1" applyAlignment="1">
      <alignment horizontal="center" vertical="center" wrapText="1"/>
    </xf>
    <xf numFmtId="0" fontId="8" fillId="4" borderId="1" xfId="14" applyFont="1" applyFill="1" applyBorder="1" applyAlignment="1">
      <alignment horizontal="center" vertical="center" wrapText="1"/>
    </xf>
    <xf numFmtId="0" fontId="12" fillId="6" borderId="21" xfId="14" applyNumberFormat="1" applyFont="1" applyFill="1" applyBorder="1" applyAlignment="1">
      <alignment horizontal="center" vertical="center" wrapText="1" readingOrder="1"/>
    </xf>
    <xf numFmtId="0" fontId="12" fillId="3" borderId="1" xfId="14" applyNumberFormat="1" applyFont="1" applyFill="1" applyBorder="1" applyAlignment="1">
      <alignment horizontal="center" vertical="center" wrapText="1" readingOrder="1"/>
    </xf>
    <xf numFmtId="0" fontId="41" fillId="3" borderId="1" xfId="14" applyNumberFormat="1" applyFont="1" applyFill="1" applyBorder="1" applyAlignment="1">
      <alignment vertical="center" wrapText="1" readingOrder="1"/>
    </xf>
    <xf numFmtId="39" fontId="21" fillId="3" borderId="1" xfId="14" applyNumberFormat="1" applyFont="1" applyFill="1" applyBorder="1" applyAlignment="1">
      <alignment horizontal="right" vertical="top" wrapText="1" readingOrder="1"/>
    </xf>
    <xf numFmtId="39" fontId="21" fillId="3" borderId="1" xfId="14" applyNumberFormat="1" applyFont="1" applyFill="1" applyBorder="1" applyAlignment="1">
      <alignment horizontal="center" vertical="center" wrapText="1" readingOrder="1"/>
    </xf>
    <xf numFmtId="39" fontId="21" fillId="4" borderId="1" xfId="14" applyNumberFormat="1" applyFont="1" applyFill="1" applyBorder="1" applyAlignment="1">
      <alignment horizontal="right" vertical="center"/>
    </xf>
    <xf numFmtId="39" fontId="10" fillId="3" borderId="1" xfId="14" applyNumberFormat="1" applyFont="1" applyFill="1" applyBorder="1" applyAlignment="1">
      <alignment horizontal="right" vertical="center"/>
    </xf>
    <xf numFmtId="39" fontId="10" fillId="3" borderId="1" xfId="14" applyNumberFormat="1" applyFont="1" applyFill="1" applyBorder="1" applyAlignment="1">
      <alignment horizontal="right" vertical="center" wrapText="1" readingOrder="1"/>
    </xf>
    <xf numFmtId="39" fontId="10" fillId="3" borderId="1" xfId="14" applyNumberFormat="1" applyFont="1" applyFill="1" applyBorder="1" applyAlignment="1">
      <alignment horizontal="center" vertical="center" wrapText="1" readingOrder="1"/>
    </xf>
    <xf numFmtId="39" fontId="83" fillId="3" borderId="1" xfId="14" applyNumberFormat="1" applyFont="1" applyFill="1" applyBorder="1" applyAlignment="1">
      <alignment horizontal="right" vertical="center"/>
    </xf>
    <xf numFmtId="10" fontId="21" fillId="3" borderId="1" xfId="17" applyNumberFormat="1" applyFont="1" applyFill="1" applyBorder="1" applyAlignment="1">
      <alignment horizontal="center" vertical="center"/>
    </xf>
    <xf numFmtId="39" fontId="21" fillId="16" borderId="1" xfId="14" applyNumberFormat="1" applyFont="1" applyFill="1" applyBorder="1" applyAlignment="1">
      <alignment horizontal="right" vertical="center"/>
    </xf>
    <xf numFmtId="39" fontId="21" fillId="16" borderId="1" xfId="14" applyNumberFormat="1" applyFont="1" applyFill="1" applyBorder="1" applyAlignment="1">
      <alignment horizontal="center" vertical="center" wrapText="1"/>
    </xf>
    <xf numFmtId="39" fontId="21" fillId="3" borderId="5" xfId="14" applyNumberFormat="1" applyFont="1" applyFill="1" applyBorder="1" applyAlignment="1">
      <alignment horizontal="right" vertical="center"/>
    </xf>
    <xf numFmtId="10" fontId="21" fillId="0" borderId="1" xfId="14" applyNumberFormat="1" applyFont="1" applyFill="1" applyBorder="1" applyAlignment="1">
      <alignment horizontal="center" vertical="center"/>
    </xf>
    <xf numFmtId="10" fontId="18" fillId="3" borderId="0" xfId="14" applyNumberFormat="1" applyFont="1" applyFill="1" applyBorder="1" applyAlignment="1">
      <alignment horizontal="center" vertical="center"/>
    </xf>
    <xf numFmtId="0" fontId="84" fillId="3" borderId="1" xfId="14" applyFont="1" applyFill="1" applyBorder="1"/>
    <xf numFmtId="177" fontId="85" fillId="3" borderId="8" xfId="7" applyNumberFormat="1" applyFont="1" applyFill="1" applyBorder="1" applyAlignment="1">
      <alignment horizontal="center" vertical="center"/>
    </xf>
    <xf numFmtId="0" fontId="9" fillId="3" borderId="21" xfId="14" applyNumberFormat="1" applyFont="1" applyFill="1" applyBorder="1" applyAlignment="1">
      <alignment horizontal="center" vertical="center" wrapText="1" readingOrder="1"/>
    </xf>
    <xf numFmtId="10" fontId="17" fillId="3" borderId="1" xfId="17" applyNumberFormat="1" applyFont="1" applyFill="1" applyBorder="1" applyAlignment="1">
      <alignment horizontal="center" vertical="center"/>
    </xf>
    <xf numFmtId="10" fontId="18" fillId="3" borderId="0" xfId="17" applyNumberFormat="1" applyFont="1" applyFill="1" applyBorder="1" applyAlignment="1">
      <alignment horizontal="center" vertical="center"/>
    </xf>
    <xf numFmtId="180" fontId="86" fillId="3" borderId="1" xfId="14" applyNumberFormat="1" applyFont="1" applyFill="1" applyBorder="1" applyAlignment="1">
      <alignment horizontal="right" vertical="center" wrapText="1" readingOrder="1"/>
    </xf>
    <xf numFmtId="10" fontId="16" fillId="3" borderId="1" xfId="17" applyNumberFormat="1" applyFont="1" applyFill="1" applyBorder="1" applyAlignment="1">
      <alignment horizontal="center" vertical="center" wrapText="1"/>
    </xf>
    <xf numFmtId="0" fontId="18" fillId="3" borderId="0" xfId="14" applyFont="1" applyFill="1" applyBorder="1"/>
    <xf numFmtId="0" fontId="70" fillId="3" borderId="0" xfId="14" applyFont="1" applyFill="1" applyBorder="1" applyAlignment="1">
      <alignment horizontal="center" vertical="center"/>
    </xf>
    <xf numFmtId="0" fontId="36" fillId="17" borderId="1" xfId="14" applyNumberFormat="1" applyFont="1" applyFill="1" applyBorder="1" applyAlignment="1">
      <alignment horizontal="center" vertical="center" wrapText="1" readingOrder="1"/>
    </xf>
    <xf numFmtId="0" fontId="38" fillId="17" borderId="1" xfId="14" applyNumberFormat="1" applyFont="1" applyFill="1" applyBorder="1" applyAlignment="1">
      <alignment horizontal="left" vertical="center" wrapText="1" readingOrder="1"/>
    </xf>
    <xf numFmtId="39" fontId="36" fillId="17" borderId="1" xfId="14" applyNumberFormat="1" applyFont="1" applyFill="1" applyBorder="1" applyAlignment="1">
      <alignment horizontal="right" vertical="center" wrapText="1" readingOrder="1"/>
    </xf>
    <xf numFmtId="39" fontId="43" fillId="17" borderId="1" xfId="14" applyNumberFormat="1" applyFont="1" applyFill="1" applyBorder="1" applyAlignment="1">
      <alignment horizontal="right" vertical="center" wrapText="1" readingOrder="1"/>
    </xf>
    <xf numFmtId="39" fontId="43" fillId="17" borderId="1" xfId="14" applyNumberFormat="1" applyFont="1" applyFill="1" applyBorder="1" applyAlignment="1">
      <alignment horizontal="right" vertical="top" wrapText="1" readingOrder="1"/>
    </xf>
    <xf numFmtId="39" fontId="21" fillId="4" borderId="1" xfId="14" applyNumberFormat="1" applyFont="1" applyFill="1" applyBorder="1" applyAlignment="1">
      <alignment horizontal="right" vertical="center" wrapText="1" readingOrder="1"/>
    </xf>
    <xf numFmtId="39" fontId="87" fillId="17" borderId="1" xfId="14" applyNumberFormat="1" applyFont="1" applyFill="1" applyBorder="1" applyAlignment="1">
      <alignment horizontal="right" vertical="center" wrapText="1" readingOrder="1"/>
    </xf>
    <xf numFmtId="10" fontId="43" fillId="18" borderId="1" xfId="17" applyNumberFormat="1" applyFont="1" applyFill="1" applyBorder="1" applyAlignment="1">
      <alignment horizontal="center" vertical="center"/>
    </xf>
    <xf numFmtId="39" fontId="43" fillId="18" borderId="1" xfId="14" applyNumberFormat="1" applyFont="1" applyFill="1" applyBorder="1" applyAlignment="1">
      <alignment horizontal="right" vertical="center"/>
    </xf>
    <xf numFmtId="39" fontId="43" fillId="18" borderId="1" xfId="14" applyNumberFormat="1" applyFont="1" applyFill="1" applyBorder="1" applyAlignment="1">
      <alignment horizontal="center" vertical="center" wrapText="1"/>
    </xf>
    <xf numFmtId="39" fontId="43" fillId="18" borderId="5" xfId="14" applyNumberFormat="1" applyFont="1" applyFill="1" applyBorder="1" applyAlignment="1">
      <alignment horizontal="right" vertical="center"/>
    </xf>
    <xf numFmtId="10" fontId="43" fillId="18" borderId="1" xfId="14" applyNumberFormat="1" applyFont="1" applyFill="1" applyBorder="1" applyAlignment="1">
      <alignment horizontal="center" vertical="center"/>
    </xf>
    <xf numFmtId="10" fontId="80" fillId="3" borderId="0" xfId="14" applyNumberFormat="1" applyFont="1" applyFill="1" applyBorder="1" applyAlignment="1">
      <alignment horizontal="center" vertical="center"/>
    </xf>
    <xf numFmtId="0" fontId="84" fillId="18" borderId="1" xfId="14" applyFont="1" applyFill="1" applyBorder="1"/>
    <xf numFmtId="10" fontId="16" fillId="18" borderId="1" xfId="17" applyNumberFormat="1" applyFont="1" applyFill="1" applyBorder="1" applyAlignment="1">
      <alignment horizontal="center" vertical="center" wrapText="1"/>
    </xf>
    <xf numFmtId="177" fontId="19" fillId="18" borderId="1" xfId="7" applyNumberFormat="1" applyFont="1" applyFill="1" applyBorder="1" applyAlignment="1">
      <alignment horizontal="center" vertical="center"/>
    </xf>
    <xf numFmtId="0" fontId="88" fillId="3" borderId="21" xfId="14" applyNumberFormat="1" applyFont="1" applyFill="1" applyBorder="1" applyAlignment="1">
      <alignment horizontal="center" vertical="center" wrapText="1" readingOrder="1"/>
    </xf>
    <xf numFmtId="0" fontId="89" fillId="17" borderId="1" xfId="14" applyNumberFormat="1" applyFont="1" applyFill="1" applyBorder="1" applyAlignment="1">
      <alignment horizontal="center" vertical="center" wrapText="1" readingOrder="1"/>
    </xf>
    <xf numFmtId="39" fontId="89" fillId="17" borderId="1" xfId="14" applyNumberFormat="1" applyFont="1" applyFill="1" applyBorder="1" applyAlignment="1">
      <alignment horizontal="right" vertical="center" wrapText="1" readingOrder="1"/>
    </xf>
    <xf numFmtId="39" fontId="87" fillId="17" borderId="1" xfId="14" applyNumberFormat="1" applyFont="1" applyFill="1" applyBorder="1" applyAlignment="1">
      <alignment horizontal="right" vertical="center"/>
    </xf>
    <xf numFmtId="39" fontId="43" fillId="17" borderId="1" xfId="14" applyNumberFormat="1" applyFont="1" applyFill="1" applyBorder="1" applyAlignment="1">
      <alignment horizontal="right" vertical="center"/>
    </xf>
    <xf numFmtId="10" fontId="90" fillId="3" borderId="0" xfId="14" applyNumberFormat="1" applyFont="1" applyFill="1" applyBorder="1" applyAlignment="1">
      <alignment horizontal="center" vertical="center"/>
    </xf>
    <xf numFmtId="0" fontId="9" fillId="0" borderId="21" xfId="14" applyNumberFormat="1" applyFont="1" applyFill="1" applyBorder="1" applyAlignment="1">
      <alignment horizontal="center" vertical="center" wrapText="1" readingOrder="1"/>
    </xf>
    <xf numFmtId="0" fontId="9" fillId="0" borderId="1" xfId="14" applyNumberFormat="1" applyFont="1" applyFill="1" applyBorder="1" applyAlignment="1">
      <alignment horizontal="center" vertical="center" wrapText="1" readingOrder="1"/>
    </xf>
    <xf numFmtId="49" fontId="9" fillId="0" borderId="1" xfId="14" applyNumberFormat="1" applyFont="1" applyFill="1" applyBorder="1" applyAlignment="1">
      <alignment horizontal="center" vertical="center" wrapText="1" readingOrder="1"/>
    </xf>
    <xf numFmtId="39" fontId="9" fillId="19" borderId="1" xfId="14" applyNumberFormat="1" applyFont="1" applyFill="1" applyBorder="1" applyAlignment="1">
      <alignment horizontal="right" vertical="center" wrapText="1" readingOrder="1"/>
    </xf>
    <xf numFmtId="39" fontId="21" fillId="0" borderId="1" xfId="14" applyNumberFormat="1" applyFont="1" applyFill="1" applyBorder="1" applyAlignment="1">
      <alignment horizontal="right" vertical="center" wrapText="1" readingOrder="1"/>
    </xf>
    <xf numFmtId="0" fontId="10" fillId="3" borderId="1" xfId="14" applyNumberFormat="1" applyFont="1" applyFill="1" applyBorder="1" applyAlignment="1">
      <alignment horizontal="right" vertical="center" wrapText="1" readingOrder="1"/>
    </xf>
    <xf numFmtId="177" fontId="85" fillId="3" borderId="1" xfId="7" applyNumberFormat="1" applyFont="1" applyFill="1" applyBorder="1" applyAlignment="1">
      <alignment horizontal="center" vertical="center"/>
    </xf>
    <xf numFmtId="49" fontId="36" fillId="17" borderId="1" xfId="14" applyNumberFormat="1" applyFont="1" applyFill="1" applyBorder="1" applyAlignment="1">
      <alignment horizontal="center" vertical="center" wrapText="1" readingOrder="1"/>
    </xf>
    <xf numFmtId="39" fontId="87" fillId="4" borderId="1" xfId="14" applyNumberFormat="1" applyFont="1" applyFill="1" applyBorder="1" applyAlignment="1">
      <alignment horizontal="right" vertical="center" wrapText="1" readingOrder="1"/>
    </xf>
    <xf numFmtId="0" fontId="87" fillId="17" borderId="1" xfId="14" applyNumberFormat="1" applyFont="1" applyFill="1" applyBorder="1" applyAlignment="1">
      <alignment horizontal="right" vertical="center" wrapText="1" readingOrder="1"/>
    </xf>
    <xf numFmtId="10" fontId="43" fillId="17" borderId="1" xfId="17" applyNumberFormat="1" applyFont="1" applyFill="1" applyBorder="1" applyAlignment="1">
      <alignment horizontal="center" vertical="center"/>
    </xf>
    <xf numFmtId="39" fontId="44" fillId="17" borderId="12" xfId="14" applyNumberFormat="1" applyFont="1" applyFill="1" applyBorder="1" applyAlignment="1">
      <alignment horizontal="right" vertical="center"/>
    </xf>
    <xf numFmtId="39" fontId="44" fillId="17" borderId="1" xfId="14" applyNumberFormat="1" applyFont="1" applyFill="1" applyBorder="1" applyAlignment="1">
      <alignment horizontal="center" vertical="center" wrapText="1"/>
    </xf>
    <xf numFmtId="39" fontId="43" fillId="17" borderId="0" xfId="14" applyNumberFormat="1" applyFont="1" applyFill="1" applyBorder="1" applyAlignment="1">
      <alignment horizontal="right" vertical="center"/>
    </xf>
    <xf numFmtId="0" fontId="37" fillId="18" borderId="1" xfId="14" applyFont="1" applyFill="1" applyBorder="1" applyAlignment="1">
      <alignment horizontal="center" vertical="center" wrapText="1"/>
    </xf>
    <xf numFmtId="0" fontId="4" fillId="0" borderId="1" xfId="14" applyNumberFormat="1" applyFont="1" applyFill="1" applyBorder="1" applyAlignment="1">
      <alignment horizontal="left" vertical="center" wrapText="1" readingOrder="1"/>
    </xf>
    <xf numFmtId="39" fontId="21" fillId="3" borderId="1" xfId="14" applyNumberFormat="1" applyFont="1" applyFill="1" applyBorder="1" applyAlignment="1">
      <alignment horizontal="center" vertical="center"/>
    </xf>
    <xf numFmtId="39" fontId="17" fillId="3" borderId="13" xfId="14" applyNumberFormat="1" applyFont="1" applyFill="1" applyBorder="1" applyAlignment="1">
      <alignment horizontal="right" vertical="center"/>
    </xf>
    <xf numFmtId="39" fontId="17" fillId="6" borderId="1" xfId="14" applyNumberFormat="1" applyFont="1" applyFill="1" applyBorder="1" applyAlignment="1">
      <alignment horizontal="center" vertical="center" wrapText="1"/>
    </xf>
    <xf numFmtId="39" fontId="21" fillId="3" borderId="0" xfId="14" applyNumberFormat="1" applyFont="1" applyFill="1" applyBorder="1" applyAlignment="1">
      <alignment horizontal="right" vertical="center"/>
    </xf>
    <xf numFmtId="0" fontId="21" fillId="0" borderId="1" xfId="14" applyFont="1" applyFill="1" applyBorder="1" applyAlignment="1">
      <alignment horizontal="center" vertical="center"/>
    </xf>
    <xf numFmtId="0" fontId="18" fillId="3" borderId="0" xfId="14" applyFont="1" applyFill="1" applyBorder="1" applyAlignment="1">
      <alignment horizontal="center" vertical="center"/>
    </xf>
    <xf numFmtId="0" fontId="84" fillId="0" borderId="1" xfId="14" applyFont="1" applyFill="1" applyBorder="1"/>
    <xf numFmtId="0" fontId="16" fillId="3" borderId="1" xfId="14" applyFont="1" applyFill="1" applyBorder="1" applyAlignment="1">
      <alignment horizontal="center" vertical="center" wrapText="1"/>
    </xf>
    <xf numFmtId="0" fontId="12" fillId="5" borderId="22" xfId="14" applyNumberFormat="1" applyFont="1" applyFill="1" applyBorder="1" applyAlignment="1">
      <alignment horizontal="center" vertical="center" wrapText="1" readingOrder="1"/>
    </xf>
    <xf numFmtId="0" fontId="12" fillId="5" borderId="23" xfId="14" applyNumberFormat="1" applyFont="1" applyFill="1" applyBorder="1" applyAlignment="1">
      <alignment horizontal="center" vertical="center" wrapText="1" readingOrder="1"/>
    </xf>
    <xf numFmtId="0" fontId="4" fillId="5" borderId="23" xfId="14" applyNumberFormat="1" applyFont="1" applyFill="1" applyBorder="1" applyAlignment="1">
      <alignment horizontal="left" vertical="center" wrapText="1" readingOrder="1"/>
    </xf>
    <xf numFmtId="39" fontId="9" fillId="5" borderId="23" xfId="14" applyNumberFormat="1" applyFont="1" applyFill="1" applyBorder="1" applyAlignment="1">
      <alignment horizontal="right" vertical="center" wrapText="1" readingOrder="1"/>
    </xf>
    <xf numFmtId="39" fontId="9" fillId="5" borderId="24" xfId="14" applyNumberFormat="1" applyFont="1" applyFill="1" applyBorder="1" applyAlignment="1">
      <alignment horizontal="right" vertical="center" wrapText="1" readingOrder="1"/>
    </xf>
    <xf numFmtId="39" fontId="17" fillId="5" borderId="23" xfId="14" applyNumberFormat="1" applyFont="1" applyFill="1" applyBorder="1" applyAlignment="1">
      <alignment horizontal="right" vertical="center" wrapText="1" readingOrder="1"/>
    </xf>
    <xf numFmtId="39" fontId="17" fillId="5" borderId="25" xfId="14" applyNumberFormat="1" applyFont="1" applyFill="1" applyBorder="1" applyAlignment="1">
      <alignment horizontal="right" vertical="center" wrapText="1" readingOrder="1"/>
    </xf>
    <xf numFmtId="39" fontId="17" fillId="4" borderId="25" xfId="14" applyNumberFormat="1" applyFont="1" applyFill="1" applyBorder="1" applyAlignment="1">
      <alignment horizontal="right" vertical="center" wrapText="1" readingOrder="1"/>
    </xf>
    <xf numFmtId="39" fontId="91" fillId="5" borderId="25" xfId="14" applyNumberFormat="1" applyFont="1" applyFill="1" applyBorder="1" applyAlignment="1">
      <alignment horizontal="right" vertical="center" wrapText="1" readingOrder="1"/>
    </xf>
    <xf numFmtId="39" fontId="17" fillId="17" borderId="26" xfId="14" applyNumberFormat="1" applyFont="1" applyFill="1" applyBorder="1" applyAlignment="1">
      <alignment horizontal="right" vertical="center" wrapText="1" readingOrder="1"/>
    </xf>
    <xf numFmtId="39" fontId="17" fillId="5" borderId="25" xfId="14" applyNumberFormat="1" applyFont="1" applyFill="1" applyBorder="1" applyAlignment="1">
      <alignment horizontal="center" vertical="center" wrapText="1"/>
    </xf>
    <xf numFmtId="39" fontId="17" fillId="5" borderId="27" xfId="14" applyNumberFormat="1" applyFont="1" applyFill="1" applyBorder="1" applyAlignment="1">
      <alignment horizontal="right" vertical="center" wrapText="1" readingOrder="1"/>
    </xf>
    <xf numFmtId="39" fontId="17" fillId="5" borderId="28" xfId="14" applyNumberFormat="1" applyFont="1" applyFill="1" applyBorder="1" applyAlignment="1">
      <alignment horizontal="right" vertical="center" wrapText="1" readingOrder="1"/>
    </xf>
    <xf numFmtId="39" fontId="20" fillId="3" borderId="0" xfId="14" applyNumberFormat="1" applyFont="1" applyFill="1" applyBorder="1" applyAlignment="1">
      <alignment horizontal="center" vertical="center" wrapText="1"/>
    </xf>
    <xf numFmtId="0" fontId="7" fillId="18" borderId="1" xfId="14" applyFont="1" applyFill="1" applyBorder="1" applyAlignment="1">
      <alignment horizontal="center" vertical="center" wrapText="1"/>
    </xf>
    <xf numFmtId="0" fontId="12" fillId="5" borderId="29" xfId="14" applyNumberFormat="1" applyFont="1" applyFill="1" applyBorder="1" applyAlignment="1">
      <alignment horizontal="center" vertical="center" wrapText="1" readingOrder="1"/>
    </xf>
    <xf numFmtId="0" fontId="4" fillId="5" borderId="29" xfId="14" applyNumberFormat="1" applyFont="1" applyFill="1" applyBorder="1" applyAlignment="1">
      <alignment horizontal="left" vertical="center" wrapText="1" readingOrder="1"/>
    </xf>
    <xf numFmtId="39" fontId="9" fillId="5" borderId="29" xfId="14" applyNumberFormat="1" applyFont="1" applyFill="1" applyBorder="1" applyAlignment="1">
      <alignment horizontal="right" vertical="center" wrapText="1" readingOrder="1"/>
    </xf>
    <xf numFmtId="39" fontId="9" fillId="5" borderId="30" xfId="14" applyNumberFormat="1" applyFont="1" applyFill="1" applyBorder="1" applyAlignment="1">
      <alignment horizontal="right" vertical="center" wrapText="1" readingOrder="1"/>
    </xf>
    <xf numFmtId="39" fontId="17" fillId="5" borderId="29" xfId="14" applyNumberFormat="1" applyFont="1" applyFill="1" applyBorder="1" applyAlignment="1">
      <alignment horizontal="right" vertical="center" wrapText="1" readingOrder="1"/>
    </xf>
    <xf numFmtId="39" fontId="17" fillId="5" borderId="31" xfId="14" applyNumberFormat="1" applyFont="1" applyFill="1" applyBorder="1" applyAlignment="1">
      <alignment horizontal="right" vertical="center" wrapText="1" readingOrder="1"/>
    </xf>
    <xf numFmtId="39" fontId="17" fillId="4" borderId="31" xfId="14" applyNumberFormat="1" applyFont="1" applyFill="1" applyBorder="1" applyAlignment="1">
      <alignment horizontal="right" vertical="center" wrapText="1" readingOrder="1"/>
    </xf>
    <xf numFmtId="39" fontId="91" fillId="5" borderId="31" xfId="14" applyNumberFormat="1" applyFont="1" applyFill="1" applyBorder="1" applyAlignment="1">
      <alignment horizontal="right" vertical="center" wrapText="1" readingOrder="1"/>
    </xf>
    <xf numFmtId="39" fontId="17" fillId="5" borderId="31" xfId="14" applyNumberFormat="1" applyFont="1" applyFill="1" applyBorder="1" applyAlignment="1">
      <alignment horizontal="center" vertical="center" wrapText="1"/>
    </xf>
    <xf numFmtId="39" fontId="17" fillId="5" borderId="32" xfId="14" applyNumberFormat="1" applyFont="1" applyFill="1" applyBorder="1" applyAlignment="1">
      <alignment horizontal="right" vertical="center" wrapText="1" readingOrder="1"/>
    </xf>
    <xf numFmtId="39" fontId="22" fillId="4" borderId="1" xfId="14" applyNumberFormat="1" applyFont="1" applyFill="1" applyBorder="1" applyAlignment="1">
      <alignment horizontal="right" vertical="center"/>
    </xf>
    <xf numFmtId="0" fontId="22" fillId="3" borderId="1" xfId="14" applyNumberFormat="1" applyFont="1" applyFill="1" applyBorder="1" applyAlignment="1">
      <alignment horizontal="right" vertical="center" wrapText="1" readingOrder="1"/>
    </xf>
    <xf numFmtId="39" fontId="22" fillId="3" borderId="5" xfId="14" applyNumberFormat="1" applyFont="1" applyFill="1" applyBorder="1" applyAlignment="1">
      <alignment vertical="center" wrapText="1" readingOrder="1"/>
    </xf>
    <xf numFmtId="0" fontId="22" fillId="3" borderId="1" xfId="14" applyFont="1" applyFill="1" applyBorder="1" applyAlignment="1">
      <alignment horizontal="center" vertical="center"/>
    </xf>
    <xf numFmtId="0" fontId="18" fillId="3" borderId="1" xfId="14" applyFont="1" applyFill="1" applyBorder="1"/>
    <xf numFmtId="0" fontId="18" fillId="3" borderId="1" xfId="14" applyFont="1" applyFill="1" applyBorder="1" applyAlignment="1">
      <alignment horizontal="center" vertical="center" wrapText="1"/>
    </xf>
    <xf numFmtId="0" fontId="18" fillId="6" borderId="0" xfId="14" applyFont="1" applyFill="1" applyBorder="1"/>
    <xf numFmtId="0" fontId="70" fillId="6" borderId="0" xfId="14" applyFont="1" applyFill="1" applyBorder="1" applyAlignment="1">
      <alignment horizontal="center" vertical="center"/>
    </xf>
    <xf numFmtId="0" fontId="9" fillId="0" borderId="2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center" vertical="center" wrapText="1" readingOrder="1"/>
    </xf>
    <xf numFmtId="39" fontId="21" fillId="20" borderId="1" xfId="14" applyNumberFormat="1" applyFont="1" applyFill="1" applyBorder="1" applyAlignment="1">
      <alignment horizontal="right" vertical="center" wrapText="1" readingOrder="1"/>
    </xf>
    <xf numFmtId="39" fontId="21" fillId="20" borderId="1" xfId="14" applyNumberFormat="1" applyFont="1" applyFill="1" applyBorder="1" applyAlignment="1">
      <alignment horizontal="right" vertical="top" wrapText="1" readingOrder="1"/>
    </xf>
    <xf numFmtId="39" fontId="22" fillId="3" borderId="1" xfId="14" applyNumberFormat="1" applyFont="1" applyFill="1" applyBorder="1" applyAlignment="1">
      <alignment horizontal="right" vertical="center"/>
    </xf>
    <xf numFmtId="10" fontId="22" fillId="3" borderId="1" xfId="17" applyNumberFormat="1" applyFont="1" applyFill="1" applyBorder="1" applyAlignment="1">
      <alignment horizontal="center" vertical="center"/>
    </xf>
    <xf numFmtId="39" fontId="22" fillId="16" borderId="1" xfId="14" applyNumberFormat="1" applyFont="1" applyFill="1" applyBorder="1" applyAlignment="1">
      <alignment horizontal="right" vertical="center"/>
    </xf>
    <xf numFmtId="39" fontId="22" fillId="16" borderId="1" xfId="14" applyNumberFormat="1" applyFont="1" applyFill="1" applyBorder="1" applyAlignment="1">
      <alignment horizontal="center" vertical="center" wrapText="1"/>
    </xf>
    <xf numFmtId="39" fontId="22" fillId="3" borderId="5" xfId="14" applyNumberFormat="1" applyFont="1" applyFill="1" applyBorder="1" applyAlignment="1">
      <alignment horizontal="right" vertical="center"/>
    </xf>
    <xf numFmtId="10" fontId="22" fillId="0" borderId="1" xfId="14" applyNumberFormat="1" applyFont="1" applyFill="1" applyBorder="1" applyAlignment="1">
      <alignment horizontal="center" vertical="center"/>
    </xf>
    <xf numFmtId="10" fontId="18" fillId="3" borderId="1" xfId="14" applyNumberFormat="1" applyFont="1" applyFill="1" applyBorder="1" applyAlignment="1">
      <alignment horizontal="center" vertical="center" wrapText="1"/>
    </xf>
    <xf numFmtId="0" fontId="18" fillId="3" borderId="1" xfId="14" applyFont="1" applyFill="1" applyBorder="1" applyAlignment="1">
      <alignment wrapText="1"/>
    </xf>
    <xf numFmtId="177" fontId="18" fillId="6" borderId="0" xfId="14" applyNumberFormat="1" applyFont="1" applyFill="1" applyBorder="1"/>
    <xf numFmtId="39" fontId="36" fillId="5" borderId="1" xfId="14" applyNumberFormat="1" applyFont="1" applyFill="1" applyBorder="1" applyAlignment="1">
      <alignment horizontal="right" vertical="center" wrapText="1" readingOrder="1"/>
    </xf>
    <xf numFmtId="39" fontId="43" fillId="5" borderId="1" xfId="14" applyNumberFormat="1" applyFont="1" applyFill="1" applyBorder="1" applyAlignment="1">
      <alignment horizontal="right" vertical="center" wrapText="1" readingOrder="1"/>
    </xf>
    <xf numFmtId="39" fontId="40" fillId="4" borderId="1" xfId="14" applyNumberFormat="1" applyFont="1" applyFill="1" applyBorder="1" applyAlignment="1">
      <alignment horizontal="right" vertical="center" wrapText="1" readingOrder="1"/>
    </xf>
    <xf numFmtId="39" fontId="40" fillId="17" borderId="1" xfId="14" applyNumberFormat="1" applyFont="1" applyFill="1" applyBorder="1" applyAlignment="1">
      <alignment horizontal="right" vertical="center"/>
    </xf>
    <xf numFmtId="10" fontId="40" fillId="17" borderId="1" xfId="17" applyNumberFormat="1" applyFont="1" applyFill="1" applyBorder="1" applyAlignment="1">
      <alignment horizontal="center" vertical="center"/>
    </xf>
    <xf numFmtId="39" fontId="40" fillId="5" borderId="1" xfId="14" applyNumberFormat="1" applyFont="1" applyFill="1" applyBorder="1" applyAlignment="1">
      <alignment horizontal="right" vertical="center"/>
    </xf>
    <xf numFmtId="39" fontId="40" fillId="3" borderId="5" xfId="14" applyNumberFormat="1" applyFont="1" applyFill="1" applyBorder="1" applyAlignment="1">
      <alignment horizontal="right" vertical="center"/>
    </xf>
    <xf numFmtId="10" fontId="40" fillId="18" borderId="1" xfId="14" applyNumberFormat="1" applyFont="1" applyFill="1" applyBorder="1" applyAlignment="1">
      <alignment horizontal="center" vertical="center"/>
    </xf>
    <xf numFmtId="0" fontId="90" fillId="5" borderId="1" xfId="14" applyFont="1" applyFill="1" applyBorder="1"/>
    <xf numFmtId="0" fontId="90" fillId="5" borderId="1" xfId="14" applyFont="1" applyFill="1" applyBorder="1" applyAlignment="1">
      <alignment horizontal="center" vertical="center" wrapText="1"/>
    </xf>
    <xf numFmtId="177" fontId="90" fillId="5" borderId="1" xfId="7" applyNumberFormat="1" applyFont="1" applyFill="1" applyBorder="1" applyAlignment="1">
      <alignment horizontal="center" vertical="center"/>
    </xf>
    <xf numFmtId="0" fontId="90" fillId="5" borderId="0" xfId="14" applyFont="1" applyFill="1" applyBorder="1"/>
    <xf numFmtId="0" fontId="93" fillId="5" borderId="0" xfId="14" applyFont="1" applyFill="1" applyBorder="1" applyAlignment="1">
      <alignment horizontal="center" vertical="center"/>
    </xf>
    <xf numFmtId="0" fontId="18" fillId="6" borderId="1" xfId="14" applyFont="1" applyFill="1" applyBorder="1"/>
    <xf numFmtId="10" fontId="18" fillId="0" borderId="1" xfId="14" applyNumberFormat="1" applyFont="1" applyFill="1" applyBorder="1" applyAlignment="1">
      <alignment horizontal="center" vertical="center" wrapText="1"/>
    </xf>
    <xf numFmtId="10" fontId="40" fillId="21" borderId="1" xfId="17" applyNumberFormat="1" applyFont="1" applyFill="1" applyBorder="1" applyAlignment="1">
      <alignment horizontal="center" vertical="center"/>
    </xf>
    <xf numFmtId="0" fontId="21" fillId="16" borderId="1" xfId="14" applyNumberFormat="1" applyFont="1" applyFill="1" applyBorder="1" applyAlignment="1">
      <alignment vertical="center" wrapText="1" readingOrder="1"/>
    </xf>
    <xf numFmtId="0" fontId="22" fillId="4" borderId="1" xfId="14" applyNumberFormat="1" applyFont="1" applyFill="1" applyBorder="1" applyAlignment="1">
      <alignment vertical="center" wrapText="1" readingOrder="1"/>
    </xf>
    <xf numFmtId="0" fontId="22" fillId="16" borderId="1" xfId="14" applyNumberFormat="1" applyFont="1" applyFill="1" applyBorder="1" applyAlignment="1">
      <alignment vertical="center" wrapText="1" readingOrder="1"/>
    </xf>
    <xf numFmtId="0" fontId="22" fillId="6" borderId="1" xfId="14" applyFont="1" applyFill="1" applyBorder="1" applyAlignment="1">
      <alignment horizontal="center" vertical="center"/>
    </xf>
    <xf numFmtId="0" fontId="9" fillId="16" borderId="21" xfId="14" applyNumberFormat="1" applyFont="1" applyFill="1" applyBorder="1" applyAlignment="1">
      <alignment horizontal="center" vertical="center" wrapText="1" readingOrder="1"/>
    </xf>
    <xf numFmtId="169" fontId="22" fillId="3" borderId="1" xfId="7" applyFont="1" applyFill="1" applyBorder="1" applyAlignment="1">
      <alignment horizontal="right" vertical="center"/>
    </xf>
    <xf numFmtId="0" fontId="18" fillId="16" borderId="0" xfId="14" applyFont="1" applyFill="1" applyBorder="1"/>
    <xf numFmtId="0" fontId="16" fillId="16" borderId="0" xfId="14" applyFont="1" applyFill="1" applyBorder="1"/>
    <xf numFmtId="0" fontId="70" fillId="16" borderId="0" xfId="14" applyFont="1" applyFill="1" applyBorder="1" applyAlignment="1">
      <alignment horizontal="center" vertical="center"/>
    </xf>
    <xf numFmtId="39" fontId="94" fillId="3" borderId="1" xfId="14" applyNumberFormat="1" applyFont="1" applyFill="1" applyBorder="1" applyAlignment="1">
      <alignment horizontal="right" vertical="center"/>
    </xf>
    <xf numFmtId="0" fontId="77" fillId="6" borderId="0" xfId="14" applyFont="1" applyFill="1" applyBorder="1"/>
    <xf numFmtId="170" fontId="18" fillId="6" borderId="0" xfId="14" applyNumberFormat="1" applyFont="1" applyFill="1" applyBorder="1"/>
    <xf numFmtId="39" fontId="46" fillId="20" borderId="1" xfId="14" applyNumberFormat="1" applyFont="1" applyFill="1" applyBorder="1" applyAlignment="1">
      <alignment horizontal="right" vertical="center" wrapText="1" readingOrder="1"/>
    </xf>
    <xf numFmtId="39" fontId="20" fillId="3" borderId="1" xfId="14" applyNumberFormat="1" applyFont="1" applyFill="1" applyBorder="1" applyAlignment="1">
      <alignment horizontal="right" vertical="center"/>
    </xf>
    <xf numFmtId="177" fontId="96" fillId="3" borderId="1" xfId="7" applyNumberFormat="1" applyFont="1" applyFill="1" applyBorder="1" applyAlignment="1">
      <alignment horizontal="center" vertical="center"/>
    </xf>
    <xf numFmtId="177" fontId="16" fillId="6" borderId="0" xfId="14" applyNumberFormat="1" applyFont="1" applyFill="1" applyBorder="1"/>
    <xf numFmtId="39" fontId="9" fillId="3" borderId="1" xfId="14" applyNumberFormat="1" applyFont="1" applyFill="1" applyBorder="1" applyAlignment="1">
      <alignment horizontal="center" vertical="center" wrapText="1" readingOrder="1"/>
    </xf>
    <xf numFmtId="10" fontId="40" fillId="5" borderId="1" xfId="17" applyNumberFormat="1" applyFont="1" applyFill="1" applyBorder="1" applyAlignment="1">
      <alignment horizontal="center" vertical="center"/>
    </xf>
    <xf numFmtId="10" fontId="77" fillId="3" borderId="0" xfId="14" applyNumberFormat="1" applyFont="1" applyFill="1" applyBorder="1" applyAlignment="1">
      <alignment horizontal="center" vertical="center"/>
    </xf>
    <xf numFmtId="0" fontId="22" fillId="16" borderId="1" xfId="14" applyNumberFormat="1" applyFont="1" applyFill="1" applyBorder="1" applyAlignment="1">
      <alignment horizontal="left" vertical="center" wrapText="1" readingOrder="1"/>
    </xf>
    <xf numFmtId="0" fontId="22" fillId="0" borderId="1" xfId="14" applyFont="1" applyFill="1" applyBorder="1" applyAlignment="1">
      <alignment horizontal="center" vertical="center"/>
    </xf>
    <xf numFmtId="178" fontId="18" fillId="0" borderId="0" xfId="14" applyNumberFormat="1" applyFont="1" applyFill="1" applyBorder="1"/>
    <xf numFmtId="39" fontId="70" fillId="3" borderId="1" xfId="14" applyNumberFormat="1" applyFont="1" applyFill="1" applyBorder="1" applyAlignment="1">
      <alignment horizontal="right" vertical="center"/>
    </xf>
    <xf numFmtId="39" fontId="70" fillId="3" borderId="1" xfId="14" applyNumberFormat="1" applyFont="1" applyFill="1" applyBorder="1" applyAlignment="1">
      <alignment horizontal="center" vertical="center"/>
    </xf>
    <xf numFmtId="39" fontId="21" fillId="20" borderId="1" xfId="14" applyNumberFormat="1" applyFont="1" applyFill="1" applyBorder="1" applyAlignment="1">
      <alignment horizontal="right" vertical="center" readingOrder="1"/>
    </xf>
    <xf numFmtId="39" fontId="46" fillId="20" borderId="1" xfId="14" applyNumberFormat="1" applyFont="1" applyFill="1" applyBorder="1" applyAlignment="1">
      <alignment vertical="center" wrapText="1" readingOrder="1"/>
    </xf>
    <xf numFmtId="170" fontId="18" fillId="0" borderId="0" xfId="14" applyNumberFormat="1" applyFont="1" applyFill="1" applyBorder="1"/>
    <xf numFmtId="39" fontId="9" fillId="3" borderId="1" xfId="14" applyNumberFormat="1" applyFont="1" applyFill="1" applyBorder="1" applyAlignment="1">
      <alignment vertical="center" wrapText="1" readingOrder="1"/>
    </xf>
    <xf numFmtId="168" fontId="97" fillId="0" borderId="0" xfId="0" applyNumberFormat="1" applyFont="1" applyAlignment="1">
      <alignment vertical="center"/>
    </xf>
    <xf numFmtId="39" fontId="40" fillId="5" borderId="1" xfId="14" applyNumberFormat="1" applyFont="1" applyFill="1" applyBorder="1" applyAlignment="1">
      <alignment horizontal="left" vertical="center" wrapText="1" readingOrder="1"/>
    </xf>
    <xf numFmtId="10" fontId="18" fillId="3" borderId="0" xfId="14" applyNumberFormat="1" applyFont="1" applyFill="1" applyBorder="1" applyAlignment="1">
      <alignment horizontal="center" vertical="center" wrapText="1"/>
    </xf>
    <xf numFmtId="0" fontId="22" fillId="3" borderId="1" xfId="14" applyFont="1" applyFill="1" applyBorder="1"/>
    <xf numFmtId="39" fontId="22" fillId="23" borderId="1" xfId="14" applyNumberFormat="1" applyFont="1" applyFill="1" applyBorder="1" applyAlignment="1">
      <alignment horizontal="right" vertical="center"/>
    </xf>
    <xf numFmtId="0" fontId="19" fillId="0" borderId="0" xfId="14" applyFont="1" applyFill="1" applyBorder="1"/>
    <xf numFmtId="0" fontId="18" fillId="0" borderId="0" xfId="14" applyFont="1" applyFill="1" applyBorder="1" applyAlignment="1">
      <alignment horizontal="center" vertical="center"/>
    </xf>
    <xf numFmtId="0" fontId="11" fillId="24" borderId="1" xfId="14" applyNumberFormat="1" applyFont="1" applyFill="1" applyBorder="1" applyAlignment="1">
      <alignment horizontal="left" vertical="center" wrapText="1" readingOrder="1"/>
    </xf>
    <xf numFmtId="180" fontId="98" fillId="3" borderId="1" xfId="14" applyNumberFormat="1" applyFont="1" applyFill="1" applyBorder="1" applyAlignment="1">
      <alignment horizontal="right" vertical="center" wrapText="1" readingOrder="1"/>
    </xf>
    <xf numFmtId="10" fontId="22" fillId="3" borderId="1" xfId="17" applyNumberFormat="1" applyFont="1" applyFill="1" applyBorder="1" applyAlignment="1">
      <alignment horizontal="center" vertical="center" wrapText="1"/>
    </xf>
    <xf numFmtId="178" fontId="99" fillId="0" borderId="0" xfId="14" applyNumberFormat="1" applyFont="1" applyFill="1" applyBorder="1" applyAlignment="1">
      <alignment horizontal="right" vertical="center"/>
    </xf>
    <xf numFmtId="0" fontId="99" fillId="0" borderId="0" xfId="14" applyFont="1" applyFill="1" applyBorder="1"/>
    <xf numFmtId="170" fontId="19" fillId="0" borderId="0" xfId="14" applyNumberFormat="1" applyFont="1" applyFill="1" applyBorder="1" applyAlignment="1">
      <alignment horizontal="center" vertical="center"/>
    </xf>
    <xf numFmtId="177" fontId="90" fillId="3" borderId="1" xfId="7" applyNumberFormat="1" applyFont="1" applyFill="1" applyBorder="1" applyAlignment="1">
      <alignment horizontal="center" vertical="center"/>
    </xf>
    <xf numFmtId="39" fontId="22" fillId="4" borderId="1" xfId="14" applyNumberFormat="1" applyFont="1" applyFill="1" applyBorder="1" applyAlignment="1">
      <alignment horizontal="right" vertical="center" wrapText="1" readingOrder="1"/>
    </xf>
    <xf numFmtId="10" fontId="90" fillId="3" borderId="0" xfId="17" applyNumberFormat="1" applyFont="1" applyFill="1" applyBorder="1" applyAlignment="1">
      <alignment horizontal="center" vertical="center"/>
    </xf>
    <xf numFmtId="180" fontId="100" fillId="17" borderId="1" xfId="14" applyNumberFormat="1" applyFont="1" applyFill="1" applyBorder="1" applyAlignment="1">
      <alignment horizontal="right" vertical="center" wrapText="1" readingOrder="1"/>
    </xf>
    <xf numFmtId="178" fontId="101" fillId="0" borderId="0" xfId="14" applyNumberFormat="1" applyFont="1" applyFill="1" applyBorder="1"/>
    <xf numFmtId="0" fontId="101" fillId="0" borderId="0" xfId="14" applyFont="1" applyFill="1" applyBorder="1"/>
    <xf numFmtId="169" fontId="101" fillId="0" borderId="0" xfId="7" applyFont="1" applyFill="1" applyBorder="1" applyAlignment="1">
      <alignment horizontal="center" vertical="center"/>
    </xf>
    <xf numFmtId="170" fontId="102" fillId="0" borderId="0" xfId="14" applyNumberFormat="1" applyFont="1" applyFill="1" applyBorder="1" applyAlignment="1">
      <alignment horizontal="center" vertical="center"/>
    </xf>
    <xf numFmtId="0" fontId="77" fillId="0" borderId="0" xfId="14" applyFont="1" applyFill="1" applyBorder="1"/>
    <xf numFmtId="0" fontId="103" fillId="0" borderId="0" xfId="14" applyFont="1" applyFill="1" applyBorder="1"/>
    <xf numFmtId="0" fontId="103" fillId="0" borderId="0" xfId="14" applyFont="1" applyFill="1" applyBorder="1" applyAlignment="1">
      <alignment horizontal="center" vertical="center"/>
    </xf>
    <xf numFmtId="0" fontId="104" fillId="0" borderId="0" xfId="14" applyFont="1" applyFill="1" applyBorder="1" applyAlignment="1">
      <alignment horizontal="center" vertical="center"/>
    </xf>
    <xf numFmtId="170" fontId="105" fillId="0" borderId="0" xfId="14" applyNumberFormat="1" applyFont="1" applyFill="1" applyBorder="1" applyAlignment="1">
      <alignment horizontal="center" vertical="center"/>
    </xf>
    <xf numFmtId="39" fontId="20" fillId="3" borderId="1" xfId="14" applyNumberFormat="1" applyFont="1" applyFill="1" applyBorder="1" applyAlignment="1">
      <alignment horizontal="right" vertical="center" wrapText="1" readingOrder="1"/>
    </xf>
    <xf numFmtId="39" fontId="20" fillId="3" borderId="1" xfId="14" applyNumberFormat="1" applyFont="1" applyFill="1" applyBorder="1" applyAlignment="1">
      <alignment vertical="center" wrapText="1" readingOrder="1"/>
    </xf>
    <xf numFmtId="177" fontId="18" fillId="0" borderId="0" xfId="14" applyNumberFormat="1" applyFont="1" applyFill="1" applyBorder="1"/>
    <xf numFmtId="39" fontId="43" fillId="20" borderId="1" xfId="14" applyNumberFormat="1" applyFont="1" applyFill="1" applyBorder="1" applyAlignment="1">
      <alignment horizontal="right" vertical="center" wrapText="1" readingOrder="1"/>
    </xf>
    <xf numFmtId="39" fontId="40" fillId="5" borderId="1" xfId="14" applyNumberFormat="1" applyFont="1" applyFill="1" applyBorder="1" applyAlignment="1">
      <alignment horizontal="center" vertical="center" wrapText="1" readingOrder="1"/>
    </xf>
    <xf numFmtId="0" fontId="17" fillId="3" borderId="5" xfId="14" applyNumberFormat="1" applyFont="1" applyFill="1" applyBorder="1" applyAlignment="1">
      <alignment vertical="center" wrapText="1" readingOrder="1"/>
    </xf>
    <xf numFmtId="178" fontId="22" fillId="3" borderId="1" xfId="14" applyNumberFormat="1" applyFont="1" applyFill="1" applyBorder="1" applyAlignment="1">
      <alignment vertical="center" wrapText="1" readingOrder="1"/>
    </xf>
    <xf numFmtId="10" fontId="18" fillId="3" borderId="1" xfId="17" applyNumberFormat="1" applyFont="1" applyFill="1" applyBorder="1" applyAlignment="1">
      <alignment horizontal="center" vertical="center" wrapText="1"/>
    </xf>
    <xf numFmtId="180" fontId="90" fillId="5" borderId="1" xfId="14" applyNumberFormat="1" applyFont="1" applyFill="1" applyBorder="1"/>
    <xf numFmtId="0" fontId="22" fillId="3" borderId="1" xfId="14" applyNumberFormat="1" applyFont="1" applyFill="1" applyBorder="1" applyAlignment="1">
      <alignment horizontal="left" vertical="center" wrapText="1" readingOrder="1"/>
    </xf>
    <xf numFmtId="39" fontId="22" fillId="3" borderId="1" xfId="14" applyNumberFormat="1" applyFont="1" applyFill="1" applyBorder="1" applyAlignment="1">
      <alignment horizontal="center" vertical="center" wrapText="1"/>
    </xf>
    <xf numFmtId="0" fontId="18" fillId="3" borderId="1" xfId="14" applyFont="1" applyFill="1" applyBorder="1" applyAlignment="1">
      <alignment vertical="center" wrapText="1"/>
    </xf>
    <xf numFmtId="39" fontId="21" fillId="8" borderId="1" xfId="14" applyNumberFormat="1" applyFont="1" applyFill="1" applyBorder="1" applyAlignment="1">
      <alignment horizontal="right" vertical="center" wrapText="1" readingOrder="1"/>
    </xf>
    <xf numFmtId="39" fontId="45" fillId="8" borderId="1" xfId="14" applyNumberFormat="1" applyFont="1" applyFill="1" applyBorder="1" applyAlignment="1">
      <alignment horizontal="right" vertical="center" wrapText="1" readingOrder="1"/>
    </xf>
    <xf numFmtId="39" fontId="46" fillId="8" borderId="1" xfId="14" applyNumberFormat="1" applyFont="1" applyFill="1" applyBorder="1" applyAlignment="1">
      <alignment horizontal="right" vertical="center" wrapText="1" readingOrder="1"/>
    </xf>
    <xf numFmtId="39" fontId="40" fillId="17" borderId="1" xfId="14" applyNumberFormat="1" applyFont="1" applyFill="1" applyBorder="1" applyAlignment="1">
      <alignment horizontal="right" vertical="center" wrapText="1" readingOrder="1"/>
    </xf>
    <xf numFmtId="39" fontId="22" fillId="4" borderId="1" xfId="14" applyNumberFormat="1" applyFont="1" applyFill="1" applyBorder="1" applyAlignment="1">
      <alignment horizontal="right" vertical="center" wrapText="1"/>
    </xf>
    <xf numFmtId="39" fontId="22" fillId="3" borderId="1" xfId="14" applyNumberFormat="1" applyFont="1" applyFill="1" applyBorder="1" applyAlignment="1">
      <alignment horizontal="right" vertical="center" wrapText="1"/>
    </xf>
    <xf numFmtId="0" fontId="17" fillId="3" borderId="0" xfId="14" applyNumberFormat="1" applyFont="1" applyFill="1" applyBorder="1" applyAlignment="1">
      <alignment horizontal="center" vertical="center" wrapText="1" readingOrder="1"/>
    </xf>
    <xf numFmtId="180" fontId="98" fillId="3" borderId="1" xfId="14" applyNumberFormat="1" applyFont="1" applyFill="1" applyBorder="1" applyAlignment="1">
      <alignment horizontal="center" vertical="center" wrapText="1" readingOrder="1"/>
    </xf>
    <xf numFmtId="39" fontId="39" fillId="5" borderId="1" xfId="14" applyNumberFormat="1" applyFont="1" applyFill="1" applyBorder="1" applyAlignment="1">
      <alignment horizontal="right" vertical="center" wrapText="1" readingOrder="1"/>
    </xf>
    <xf numFmtId="39" fontId="39" fillId="20" borderId="1" xfId="14" applyNumberFormat="1" applyFont="1" applyFill="1" applyBorder="1" applyAlignment="1">
      <alignment horizontal="right" vertical="center" wrapText="1" readingOrder="1"/>
    </xf>
    <xf numFmtId="10" fontId="90" fillId="21" borderId="1" xfId="17" applyNumberFormat="1" applyFont="1" applyFill="1" applyBorder="1" applyAlignment="1">
      <alignment horizontal="center" vertical="center"/>
    </xf>
    <xf numFmtId="39" fontId="90" fillId="3" borderId="5" xfId="14" applyNumberFormat="1" applyFont="1" applyFill="1" applyBorder="1" applyAlignment="1">
      <alignment horizontal="right" vertical="center"/>
    </xf>
    <xf numFmtId="10" fontId="90" fillId="18" borderId="1" xfId="14" applyNumberFormat="1" applyFont="1" applyFill="1" applyBorder="1" applyAlignment="1">
      <alignment horizontal="center" vertical="center"/>
    </xf>
    <xf numFmtId="39" fontId="88" fillId="3" borderId="1" xfId="14" applyNumberFormat="1" applyFont="1" applyFill="1" applyBorder="1" applyAlignment="1">
      <alignment horizontal="right" vertical="center" wrapText="1" readingOrder="1"/>
    </xf>
    <xf numFmtId="39" fontId="11" fillId="3" borderId="1" xfId="14" applyNumberFormat="1" applyFont="1" applyFill="1" applyBorder="1" applyAlignment="1">
      <alignment horizontal="right" vertical="center" wrapText="1" readingOrder="1"/>
    </xf>
    <xf numFmtId="39" fontId="4" fillId="20" borderId="1" xfId="14" applyNumberFormat="1" applyFont="1" applyFill="1" applyBorder="1" applyAlignment="1">
      <alignment horizontal="right" vertical="center" wrapText="1" readingOrder="1"/>
    </xf>
    <xf numFmtId="39" fontId="20" fillId="4" borderId="1" xfId="14" applyNumberFormat="1" applyFont="1" applyFill="1" applyBorder="1" applyAlignment="1">
      <alignment horizontal="right" vertical="center" wrapText="1" readingOrder="1"/>
    </xf>
    <xf numFmtId="10" fontId="18" fillId="3" borderId="1" xfId="17" applyNumberFormat="1" applyFont="1" applyFill="1" applyBorder="1" applyAlignment="1">
      <alignment horizontal="center" vertical="center"/>
    </xf>
    <xf numFmtId="39" fontId="18" fillId="16" borderId="1" xfId="14" applyNumberFormat="1" applyFont="1" applyFill="1" applyBorder="1" applyAlignment="1">
      <alignment horizontal="right" vertical="center"/>
    </xf>
    <xf numFmtId="39" fontId="18" fillId="16" borderId="1" xfId="14" applyNumberFormat="1" applyFont="1" applyFill="1" applyBorder="1" applyAlignment="1">
      <alignment horizontal="center" vertical="center" wrapText="1"/>
    </xf>
    <xf numFmtId="39" fontId="18" fillId="3" borderId="5" xfId="14" applyNumberFormat="1" applyFont="1" applyFill="1" applyBorder="1" applyAlignment="1">
      <alignment horizontal="right" vertical="center"/>
    </xf>
    <xf numFmtId="10" fontId="18" fillId="0" borderId="1" xfId="14" applyNumberFormat="1" applyFont="1" applyFill="1" applyBorder="1" applyAlignment="1">
      <alignment horizontal="center" vertical="center"/>
    </xf>
    <xf numFmtId="10" fontId="96" fillId="3" borderId="0" xfId="14" applyNumberFormat="1" applyFont="1" applyFill="1" applyBorder="1" applyAlignment="1">
      <alignment horizontal="center" vertical="center"/>
    </xf>
    <xf numFmtId="0" fontId="9" fillId="5" borderId="21" xfId="14" applyNumberFormat="1" applyFont="1" applyFill="1" applyBorder="1" applyAlignment="1">
      <alignment horizontal="center" vertical="center" wrapText="1" readingOrder="1"/>
    </xf>
    <xf numFmtId="39" fontId="38" fillId="21" borderId="1" xfId="14" applyNumberFormat="1" applyFont="1" applyFill="1" applyBorder="1" applyAlignment="1">
      <alignment horizontal="right" vertical="center" wrapText="1" readingOrder="1"/>
    </xf>
    <xf numFmtId="39" fontId="4" fillId="5" borderId="1" xfId="14" applyNumberFormat="1" applyFont="1" applyFill="1" applyBorder="1" applyAlignment="1">
      <alignment horizontal="right" vertical="center" wrapText="1" readingOrder="1"/>
    </xf>
    <xf numFmtId="39" fontId="7" fillId="4" borderId="1" xfId="14" applyNumberFormat="1" applyFont="1" applyFill="1" applyBorder="1" applyAlignment="1">
      <alignment horizontal="right"/>
    </xf>
    <xf numFmtId="39" fontId="93" fillId="5" borderId="1" xfId="14" applyNumberFormat="1" applyFont="1" applyFill="1" applyBorder="1" applyAlignment="1">
      <alignment horizontal="right"/>
    </xf>
    <xf numFmtId="39" fontId="87" fillId="5" borderId="1" xfId="14" applyNumberFormat="1" applyFont="1" applyFill="1" applyBorder="1" applyAlignment="1">
      <alignment horizontal="right" vertical="center" wrapText="1" readingOrder="1"/>
    </xf>
    <xf numFmtId="39" fontId="10" fillId="5" borderId="1" xfId="14" applyNumberFormat="1" applyFont="1" applyFill="1" applyBorder="1" applyAlignment="1">
      <alignment horizontal="right" vertical="center" wrapText="1" readingOrder="1"/>
    </xf>
    <xf numFmtId="39" fontId="16" fillId="17" borderId="1" xfId="14" applyNumberFormat="1" applyFont="1" applyFill="1" applyBorder="1" applyAlignment="1">
      <alignment horizontal="right"/>
    </xf>
    <xf numFmtId="39" fontId="7" fillId="5" borderId="1" xfId="14" applyNumberFormat="1" applyFont="1" applyFill="1" applyBorder="1" applyAlignment="1">
      <alignment horizontal="center" vertical="center"/>
    </xf>
    <xf numFmtId="39" fontId="16" fillId="5" borderId="1" xfId="14" applyNumberFormat="1" applyFont="1" applyFill="1" applyBorder="1" applyAlignment="1">
      <alignment horizontal="right"/>
    </xf>
    <xf numFmtId="0" fontId="16" fillId="5" borderId="1" xfId="14" applyFont="1" applyFill="1" applyBorder="1" applyAlignment="1">
      <alignment horizontal="center" vertical="center" wrapText="1"/>
    </xf>
    <xf numFmtId="39" fontId="16" fillId="3" borderId="5" xfId="14" applyNumberFormat="1" applyFont="1" applyFill="1" applyBorder="1" applyAlignment="1">
      <alignment horizontal="right" vertical="center"/>
    </xf>
    <xf numFmtId="0" fontId="84" fillId="5" borderId="1" xfId="14" applyFont="1" applyFill="1" applyBorder="1"/>
    <xf numFmtId="39" fontId="16" fillId="5" borderId="1" xfId="14" applyNumberFormat="1" applyFont="1" applyFill="1" applyBorder="1" applyAlignment="1">
      <alignment horizontal="center" vertical="center" wrapText="1"/>
    </xf>
    <xf numFmtId="177" fontId="106" fillId="5" borderId="1" xfId="7" applyNumberFormat="1" applyFont="1" applyFill="1" applyBorder="1" applyAlignment="1">
      <alignment horizontal="center" vertical="center"/>
    </xf>
    <xf numFmtId="177" fontId="19" fillId="5" borderId="1" xfId="7" applyNumberFormat="1" applyFont="1" applyFill="1" applyBorder="1" applyAlignment="1">
      <alignment horizontal="center" vertical="center"/>
    </xf>
    <xf numFmtId="0" fontId="7" fillId="4" borderId="1" xfId="14" applyFont="1" applyFill="1" applyBorder="1" applyAlignment="1">
      <alignment horizontal="right"/>
    </xf>
    <xf numFmtId="0" fontId="93" fillId="5" borderId="1" xfId="14" applyFont="1" applyFill="1" applyBorder="1" applyAlignment="1">
      <alignment horizontal="right"/>
    </xf>
    <xf numFmtId="178" fontId="93" fillId="5" borderId="1" xfId="14" applyNumberFormat="1" applyFont="1" applyFill="1" applyBorder="1" applyAlignment="1">
      <alignment horizontal="right"/>
    </xf>
    <xf numFmtId="0" fontId="16" fillId="17" borderId="1" xfId="14" applyFont="1" applyFill="1" applyBorder="1" applyAlignment="1">
      <alignment horizontal="right"/>
    </xf>
    <xf numFmtId="0" fontId="7" fillId="5" borderId="1" xfId="14" applyFont="1" applyFill="1" applyBorder="1" applyAlignment="1">
      <alignment horizontal="center" vertical="center"/>
    </xf>
    <xf numFmtId="0" fontId="16" fillId="5" borderId="1" xfId="14" applyFont="1" applyFill="1" applyBorder="1" applyAlignment="1">
      <alignment horizontal="right"/>
    </xf>
    <xf numFmtId="0" fontId="16" fillId="5" borderId="1" xfId="14" applyFont="1" applyFill="1" applyBorder="1" applyAlignment="1">
      <alignment horizontal="center" vertical="center"/>
    </xf>
    <xf numFmtId="0" fontId="16" fillId="3" borderId="0" xfId="14" applyFont="1" applyFill="1" applyBorder="1" applyAlignment="1">
      <alignment horizontal="center" vertical="center"/>
    </xf>
    <xf numFmtId="0" fontId="107" fillId="25" borderId="21" xfId="14" applyNumberFormat="1" applyFont="1" applyFill="1" applyBorder="1" applyAlignment="1">
      <alignment horizontal="center" vertical="center" wrapText="1" readingOrder="1"/>
    </xf>
    <xf numFmtId="0" fontId="107" fillId="25" borderId="1" xfId="14" applyNumberFormat="1" applyFont="1" applyFill="1" applyBorder="1" applyAlignment="1">
      <alignment horizontal="center" vertical="center" wrapText="1" readingOrder="1"/>
    </xf>
    <xf numFmtId="0" fontId="11" fillId="25" borderId="1" xfId="14" applyNumberFormat="1" applyFont="1" applyFill="1" applyBorder="1" applyAlignment="1">
      <alignment horizontal="left" vertical="center" wrapText="1" readingOrder="1"/>
    </xf>
    <xf numFmtId="39" fontId="88" fillId="25" borderId="1" xfId="14" applyNumberFormat="1" applyFont="1" applyFill="1" applyBorder="1" applyAlignment="1">
      <alignment horizontal="right" vertical="center" wrapText="1" readingOrder="1"/>
    </xf>
    <xf numFmtId="39" fontId="11" fillId="25" borderId="1" xfId="14" applyNumberFormat="1" applyFont="1" applyFill="1" applyBorder="1" applyAlignment="1">
      <alignment horizontal="right" vertical="center" wrapText="1" readingOrder="1"/>
    </xf>
    <xf numFmtId="39" fontId="11" fillId="4" borderId="1" xfId="14" applyNumberFormat="1" applyFont="1" applyFill="1" applyBorder="1" applyAlignment="1">
      <alignment horizontal="right" vertical="center" wrapText="1" readingOrder="1"/>
    </xf>
    <xf numFmtId="39" fontId="91" fillId="25" borderId="1" xfId="14" applyNumberFormat="1" applyFont="1" applyFill="1" applyBorder="1" applyAlignment="1">
      <alignment horizontal="right" vertical="center" wrapText="1" readingOrder="1"/>
    </xf>
    <xf numFmtId="39" fontId="91" fillId="25" borderId="1" xfId="14" applyNumberFormat="1" applyFont="1" applyFill="1" applyBorder="1" applyAlignment="1">
      <alignment horizontal="right" vertical="center" wrapText="1"/>
    </xf>
    <xf numFmtId="39" fontId="88" fillId="3" borderId="1" xfId="14" applyNumberFormat="1" applyFont="1" applyFill="1" applyBorder="1" applyAlignment="1">
      <alignment horizontal="right" vertical="center" wrapText="1"/>
    </xf>
    <xf numFmtId="10" fontId="18" fillId="25" borderId="1" xfId="17" applyNumberFormat="1" applyFont="1" applyFill="1" applyBorder="1" applyAlignment="1">
      <alignment horizontal="center" vertical="center"/>
    </xf>
    <xf numFmtId="39" fontId="18" fillId="25" borderId="1" xfId="14" applyNumberFormat="1" applyFont="1" applyFill="1" applyBorder="1" applyAlignment="1">
      <alignment horizontal="right" vertical="center"/>
    </xf>
    <xf numFmtId="39" fontId="18" fillId="25" borderId="1" xfId="14" applyNumberFormat="1" applyFont="1" applyFill="1" applyBorder="1" applyAlignment="1">
      <alignment horizontal="center" vertical="center" wrapText="1"/>
    </xf>
    <xf numFmtId="39" fontId="18" fillId="25" borderId="5" xfId="14" applyNumberFormat="1" applyFont="1" applyFill="1" applyBorder="1" applyAlignment="1">
      <alignment horizontal="right" vertical="center"/>
    </xf>
    <xf numFmtId="10" fontId="18" fillId="25" borderId="1" xfId="14" applyNumberFormat="1" applyFont="1" applyFill="1" applyBorder="1" applyAlignment="1">
      <alignment horizontal="center" vertical="center"/>
    </xf>
    <xf numFmtId="0" fontId="84" fillId="25" borderId="1" xfId="14" applyFont="1" applyFill="1" applyBorder="1"/>
    <xf numFmtId="0" fontId="7" fillId="25" borderId="1" xfId="14" applyFont="1" applyFill="1" applyBorder="1" applyAlignment="1">
      <alignment horizontal="center" vertical="center" wrapText="1"/>
    </xf>
    <xf numFmtId="177" fontId="19" fillId="25" borderId="1" xfId="7" applyNumberFormat="1" applyFont="1" applyFill="1" applyBorder="1" applyAlignment="1">
      <alignment horizontal="center" vertical="center"/>
    </xf>
    <xf numFmtId="169" fontId="18" fillId="25" borderId="0" xfId="14" applyNumberFormat="1" applyFont="1" applyFill="1" applyBorder="1"/>
    <xf numFmtId="0" fontId="7" fillId="25" borderId="0" xfId="14" applyFont="1" applyFill="1" applyBorder="1"/>
    <xf numFmtId="0" fontId="70" fillId="25" borderId="0" xfId="14" applyFont="1" applyFill="1" applyBorder="1" applyAlignment="1">
      <alignment horizontal="center" vertical="center"/>
    </xf>
    <xf numFmtId="0" fontId="107" fillId="3" borderId="21" xfId="14" applyNumberFormat="1" applyFont="1" applyFill="1" applyBorder="1" applyAlignment="1">
      <alignment horizontal="center" vertical="center" wrapText="1" readingOrder="1"/>
    </xf>
    <xf numFmtId="39" fontId="11" fillId="4" borderId="1" xfId="14" applyNumberFormat="1" applyFont="1" applyFill="1" applyBorder="1" applyAlignment="1">
      <alignment horizontal="right" vertical="center" wrapText="1"/>
    </xf>
    <xf numFmtId="39" fontId="91" fillId="3" borderId="1" xfId="14" applyNumberFormat="1" applyFont="1" applyFill="1" applyBorder="1" applyAlignment="1">
      <alignment horizontal="right" vertical="center" wrapText="1"/>
    </xf>
    <xf numFmtId="39" fontId="91" fillId="3" borderId="1" xfId="14" applyNumberFormat="1" applyFont="1" applyFill="1" applyBorder="1" applyAlignment="1">
      <alignment horizontal="right" vertical="center" wrapText="1" readingOrder="1"/>
    </xf>
    <xf numFmtId="39" fontId="11" fillId="3" borderId="1" xfId="14" applyNumberFormat="1" applyFont="1" applyFill="1" applyBorder="1" applyAlignment="1">
      <alignment horizontal="center" vertical="center" wrapText="1"/>
    </xf>
    <xf numFmtId="39" fontId="11" fillId="3" borderId="1" xfId="14" applyNumberFormat="1" applyFont="1" applyFill="1" applyBorder="1" applyAlignment="1">
      <alignment horizontal="right" vertical="center" wrapText="1"/>
    </xf>
    <xf numFmtId="39" fontId="8" fillId="3" borderId="1" xfId="14" applyNumberFormat="1" applyFont="1" applyFill="1" applyBorder="1" applyAlignment="1">
      <alignment horizontal="center" vertical="center" wrapText="1"/>
    </xf>
    <xf numFmtId="39" fontId="108" fillId="3" borderId="5" xfId="14" applyNumberFormat="1" applyFont="1" applyFill="1" applyBorder="1" applyAlignment="1">
      <alignment horizontal="right" vertical="center"/>
    </xf>
    <xf numFmtId="0" fontId="7" fillId="3" borderId="1" xfId="14" applyFont="1" applyFill="1" applyBorder="1" applyAlignment="1">
      <alignment horizontal="center" vertical="center"/>
    </xf>
    <xf numFmtId="0" fontId="7" fillId="3" borderId="1" xfId="14" applyFont="1" applyFill="1" applyBorder="1" applyAlignment="1">
      <alignment horizontal="center" vertical="center" wrapText="1"/>
    </xf>
    <xf numFmtId="0" fontId="7" fillId="3" borderId="0" xfId="14" applyFont="1" applyFill="1" applyBorder="1"/>
    <xf numFmtId="0" fontId="12" fillId="0" borderId="21" xfId="14" applyNumberFormat="1" applyFont="1" applyFill="1" applyBorder="1" applyAlignment="1">
      <alignment horizontal="center" vertical="center" wrapText="1" readingOrder="1"/>
    </xf>
    <xf numFmtId="39" fontId="9" fillId="0" borderId="1" xfId="14" applyNumberFormat="1" applyFont="1" applyFill="1" applyBorder="1" applyAlignment="1">
      <alignment horizontal="right" vertical="center" wrapText="1" readingOrder="1"/>
    </xf>
    <xf numFmtId="39" fontId="11" fillId="0" borderId="1" xfId="14" applyNumberFormat="1" applyFont="1" applyFill="1" applyBorder="1" applyAlignment="1">
      <alignment horizontal="right" vertical="center" wrapText="1" readingOrder="1"/>
    </xf>
    <xf numFmtId="0" fontId="8" fillId="0" borderId="1" xfId="14" applyFont="1" applyFill="1" applyBorder="1" applyAlignment="1">
      <alignment horizontal="center" vertical="center" wrapText="1"/>
    </xf>
    <xf numFmtId="0" fontId="7" fillId="0" borderId="1" xfId="14" applyFont="1" applyFill="1" applyBorder="1" applyAlignment="1">
      <alignment horizontal="center" vertical="center"/>
    </xf>
    <xf numFmtId="177" fontId="19" fillId="0" borderId="1" xfId="7" applyNumberFormat="1" applyFont="1" applyFill="1" applyBorder="1" applyAlignment="1">
      <alignment horizontal="center" vertical="center"/>
    </xf>
    <xf numFmtId="173" fontId="107" fillId="25" borderId="1" xfId="14" applyNumberFormat="1" applyFont="1" applyFill="1" applyBorder="1" applyAlignment="1">
      <alignment horizontal="center" vertical="center" wrapText="1" readingOrder="1"/>
    </xf>
    <xf numFmtId="39" fontId="11" fillId="25" borderId="1" xfId="14" applyNumberFormat="1" applyFont="1" applyFill="1" applyBorder="1" applyAlignment="1">
      <alignment horizontal="right" vertical="center" wrapText="1"/>
    </xf>
    <xf numFmtId="39" fontId="88" fillId="25" borderId="1" xfId="14" applyNumberFormat="1" applyFont="1" applyFill="1" applyBorder="1" applyAlignment="1">
      <alignment horizontal="right" vertical="center" wrapText="1"/>
    </xf>
    <xf numFmtId="39" fontId="11" fillId="25" borderId="1" xfId="14" applyNumberFormat="1" applyFont="1" applyFill="1" applyBorder="1" applyAlignment="1">
      <alignment horizontal="center" vertical="center" wrapText="1"/>
    </xf>
    <xf numFmtId="0" fontId="8" fillId="25" borderId="1" xfId="14" applyFont="1" applyFill="1" applyBorder="1" applyAlignment="1">
      <alignment horizontal="center" vertical="center" wrapText="1"/>
    </xf>
    <xf numFmtId="0" fontId="7" fillId="25" borderId="1" xfId="14" applyFont="1" applyFill="1" applyBorder="1" applyAlignment="1">
      <alignment horizontal="center" vertical="center"/>
    </xf>
    <xf numFmtId="0" fontId="18" fillId="25" borderId="0" xfId="14" applyFont="1" applyFill="1" applyBorder="1"/>
    <xf numFmtId="0" fontId="10" fillId="26" borderId="1" xfId="14" applyNumberFormat="1" applyFont="1" applyFill="1" applyBorder="1" applyAlignment="1">
      <alignment horizontal="center" vertical="center" wrapText="1" readingOrder="1"/>
    </xf>
    <xf numFmtId="1" fontId="10" fillId="26" borderId="1" xfId="14" applyNumberFormat="1" applyFont="1" applyFill="1" applyBorder="1" applyAlignment="1">
      <alignment horizontal="center" vertical="center" wrapText="1" readingOrder="1"/>
    </xf>
    <xf numFmtId="39" fontId="88" fillId="26" borderId="1" xfId="14" applyNumberFormat="1" applyFont="1" applyFill="1" applyBorder="1" applyAlignment="1">
      <alignment horizontal="right" vertical="center" wrapText="1" readingOrder="1"/>
    </xf>
    <xf numFmtId="39" fontId="91" fillId="27" borderId="1" xfId="14" applyNumberFormat="1" applyFont="1" applyFill="1" applyBorder="1" applyAlignment="1">
      <alignment horizontal="right" vertical="center" wrapText="1" readingOrder="1"/>
    </xf>
    <xf numFmtId="10" fontId="15" fillId="3" borderId="0" xfId="14" applyNumberFormat="1" applyFont="1" applyFill="1" applyBorder="1" applyAlignment="1">
      <alignment horizontal="center" vertical="center"/>
    </xf>
    <xf numFmtId="10" fontId="7" fillId="3" borderId="1" xfId="14" applyNumberFormat="1" applyFont="1" applyFill="1" applyBorder="1" applyAlignment="1">
      <alignment horizontal="center" vertical="center" wrapText="1"/>
    </xf>
    <xf numFmtId="49" fontId="109" fillId="26" borderId="1" xfId="14" applyNumberFormat="1" applyFont="1" applyFill="1" applyBorder="1" applyAlignment="1">
      <alignment horizontal="center" vertical="center" wrapText="1" readingOrder="1"/>
    </xf>
    <xf numFmtId="0" fontId="109" fillId="26" borderId="1" xfId="14" applyNumberFormat="1" applyFont="1" applyFill="1" applyBorder="1" applyAlignment="1">
      <alignment horizontal="center" vertical="center" wrapText="1" readingOrder="1"/>
    </xf>
    <xf numFmtId="39" fontId="91" fillId="4" borderId="1" xfId="14" applyNumberFormat="1" applyFont="1" applyFill="1" applyBorder="1" applyAlignment="1">
      <alignment horizontal="right" vertical="center" wrapText="1"/>
    </xf>
    <xf numFmtId="39" fontId="18" fillId="9" borderId="1" xfId="14" applyNumberFormat="1" applyFont="1" applyFill="1" applyBorder="1" applyAlignment="1">
      <alignment horizontal="right" vertical="center"/>
    </xf>
    <xf numFmtId="39" fontId="18" fillId="9" borderId="1" xfId="14" applyNumberFormat="1" applyFont="1" applyFill="1" applyBorder="1" applyAlignment="1">
      <alignment horizontal="center" vertical="center" wrapText="1"/>
    </xf>
    <xf numFmtId="39" fontId="18" fillId="9" borderId="5" xfId="14" applyNumberFormat="1" applyFont="1" applyFill="1" applyBorder="1" applyAlignment="1">
      <alignment horizontal="right" vertical="center"/>
    </xf>
    <xf numFmtId="181" fontId="15" fillId="3" borderId="0" xfId="14" applyNumberFormat="1" applyFont="1" applyFill="1" applyBorder="1" applyAlignment="1">
      <alignment horizontal="center" vertical="center"/>
    </xf>
    <xf numFmtId="181" fontId="8" fillId="3" borderId="1" xfId="14" applyNumberFormat="1" applyFont="1" applyFill="1" applyBorder="1" applyAlignment="1">
      <alignment horizontal="center" vertical="center" wrapText="1"/>
    </xf>
    <xf numFmtId="10" fontId="8" fillId="3" borderId="1" xfId="14" applyNumberFormat="1" applyFont="1" applyFill="1" applyBorder="1" applyAlignment="1">
      <alignment horizontal="center" vertical="center" wrapText="1"/>
    </xf>
    <xf numFmtId="0" fontId="110" fillId="25" borderId="1" xfId="14" applyFont="1" applyFill="1" applyBorder="1" applyAlignment="1">
      <alignment horizontal="center" vertical="center" wrapText="1"/>
    </xf>
    <xf numFmtId="0" fontId="110" fillId="25" borderId="0" xfId="14" applyFont="1" applyFill="1" applyBorder="1"/>
    <xf numFmtId="0" fontId="111" fillId="0" borderId="21" xfId="14" applyNumberFormat="1" applyFont="1" applyFill="1" applyBorder="1" applyAlignment="1">
      <alignment horizontal="center" vertical="center" wrapText="1" readingOrder="1"/>
    </xf>
    <xf numFmtId="0" fontId="111" fillId="0" borderId="1" xfId="14" applyNumberFormat="1" applyFont="1" applyFill="1" applyBorder="1" applyAlignment="1">
      <alignment horizontal="center" vertical="center" wrapText="1" readingOrder="1"/>
    </xf>
    <xf numFmtId="4" fontId="11" fillId="0" borderId="1" xfId="14" applyNumberFormat="1" applyFont="1" applyFill="1" applyBorder="1" applyAlignment="1" applyProtection="1">
      <alignment horizontal="center" vertical="center"/>
    </xf>
    <xf numFmtId="39" fontId="8" fillId="0" borderId="1" xfId="14" applyNumberFormat="1" applyFont="1" applyFill="1" applyBorder="1"/>
    <xf numFmtId="39" fontId="8" fillId="4" borderId="1" xfId="14" applyNumberFormat="1" applyFont="1" applyFill="1" applyBorder="1" applyAlignment="1">
      <alignment horizontal="center" vertical="center"/>
    </xf>
    <xf numFmtId="39" fontId="8" fillId="28" borderId="1" xfId="14" applyNumberFormat="1" applyFont="1" applyFill="1" applyBorder="1" applyAlignment="1">
      <alignment horizontal="right"/>
    </xf>
    <xf numFmtId="39" fontId="8" fillId="28" borderId="1" xfId="14" applyNumberFormat="1" applyFont="1" applyFill="1" applyBorder="1"/>
    <xf numFmtId="39" fontId="11" fillId="28" borderId="1" xfId="14" applyNumberFormat="1" applyFont="1" applyFill="1" applyBorder="1" applyAlignment="1">
      <alignment horizontal="right" vertical="center" wrapText="1"/>
    </xf>
    <xf numFmtId="39" fontId="103" fillId="3" borderId="1" xfId="14" applyNumberFormat="1" applyFont="1" applyFill="1" applyBorder="1" applyAlignment="1">
      <alignment horizontal="right"/>
    </xf>
    <xf numFmtId="39" fontId="8" fillId="28" borderId="1" xfId="14" applyNumberFormat="1" applyFont="1" applyFill="1" applyBorder="1" applyAlignment="1">
      <alignment horizontal="center" vertical="center"/>
    </xf>
    <xf numFmtId="39" fontId="112" fillId="28" borderId="1" xfId="14" applyNumberFormat="1" applyFont="1" applyFill="1" applyBorder="1" applyAlignment="1">
      <alignment horizontal="right"/>
    </xf>
    <xf numFmtId="39" fontId="8" fillId="22" borderId="1" xfId="14" applyNumberFormat="1" applyFont="1" applyFill="1" applyBorder="1" applyAlignment="1">
      <alignment wrapText="1"/>
    </xf>
    <xf numFmtId="0" fontId="110" fillId="0" borderId="5" xfId="14" applyFont="1" applyFill="1" applyBorder="1"/>
    <xf numFmtId="0" fontId="110" fillId="0" borderId="1" xfId="14" applyFont="1" applyFill="1" applyBorder="1" applyAlignment="1">
      <alignment horizontal="center" vertical="center"/>
    </xf>
    <xf numFmtId="0" fontId="110" fillId="3" borderId="0" xfId="14" applyFont="1" applyFill="1" applyBorder="1" applyAlignment="1">
      <alignment horizontal="center" vertical="center"/>
    </xf>
    <xf numFmtId="0" fontId="110" fillId="0" borderId="0" xfId="14" applyFont="1" applyFill="1" applyBorder="1"/>
    <xf numFmtId="10" fontId="7" fillId="0" borderId="8" xfId="14" applyNumberFormat="1" applyFont="1" applyFill="1" applyBorder="1" applyAlignment="1">
      <alignment horizontal="center" vertical="center" wrapText="1"/>
    </xf>
    <xf numFmtId="177" fontId="18" fillId="0" borderId="1" xfId="7" applyNumberFormat="1" applyFont="1" applyFill="1" applyBorder="1" applyAlignment="1">
      <alignment horizontal="center" vertical="center"/>
    </xf>
    <xf numFmtId="4" fontId="4" fillId="0" borderId="0" xfId="14" applyNumberFormat="1" applyFont="1" applyFill="1" applyBorder="1" applyAlignment="1" applyProtection="1">
      <alignment horizontal="center"/>
    </xf>
    <xf numFmtId="0" fontId="7" fillId="0" borderId="2" xfId="14" applyFont="1" applyFill="1" applyBorder="1"/>
    <xf numFmtId="0" fontId="8" fillId="0" borderId="0" xfId="14" applyFont="1" applyFill="1" applyBorder="1"/>
    <xf numFmtId="39" fontId="8" fillId="0" borderId="0" xfId="14" applyNumberFormat="1" applyFont="1" applyFill="1" applyBorder="1"/>
    <xf numFmtId="0" fontId="8" fillId="3" borderId="0" xfId="14" applyFont="1" applyFill="1" applyBorder="1"/>
    <xf numFmtId="0" fontId="8" fillId="4" borderId="4" xfId="14" applyFont="1" applyFill="1" applyBorder="1"/>
    <xf numFmtId="0" fontId="8" fillId="0" borderId="4" xfId="14" applyFont="1" applyFill="1" applyBorder="1"/>
    <xf numFmtId="0" fontId="8" fillId="19" borderId="0" xfId="14" applyFont="1" applyFill="1" applyBorder="1"/>
    <xf numFmtId="178" fontId="8" fillId="0" borderId="4" xfId="14" applyNumberFormat="1" applyFont="1" applyFill="1" applyBorder="1"/>
    <xf numFmtId="0" fontId="103" fillId="3" borderId="4" xfId="14" applyFont="1" applyFill="1" applyBorder="1"/>
    <xf numFmtId="0" fontId="8" fillId="0" borderId="4" xfId="14" applyFont="1" applyFill="1" applyBorder="1" applyAlignment="1">
      <alignment horizontal="center" vertical="center"/>
    </xf>
    <xf numFmtId="0" fontId="8" fillId="0" borderId="9" xfId="14" applyFont="1" applyFill="1" applyBorder="1" applyAlignment="1">
      <alignment horizontal="center" vertical="center" wrapText="1"/>
    </xf>
    <xf numFmtId="0" fontId="110" fillId="0" borderId="0" xfId="14" applyFont="1" applyFill="1" applyBorder="1" applyAlignment="1">
      <alignment horizontal="center" vertical="center"/>
    </xf>
    <xf numFmtId="0" fontId="113" fillId="4" borderId="12" xfId="14" applyFont="1" applyFill="1" applyBorder="1" applyAlignment="1">
      <alignment vertical="center"/>
    </xf>
    <xf numFmtId="0" fontId="113" fillId="4" borderId="1" xfId="14" applyFont="1" applyFill="1" applyBorder="1" applyAlignment="1">
      <alignment vertical="center"/>
    </xf>
    <xf numFmtId="4" fontId="4" fillId="3" borderId="0" xfId="14" applyNumberFormat="1" applyFont="1" applyFill="1" applyBorder="1" applyAlignment="1" applyProtection="1">
      <alignment horizontal="center"/>
    </xf>
    <xf numFmtId="39" fontId="8" fillId="3" borderId="0" xfId="14" applyNumberFormat="1" applyFont="1" applyFill="1" applyBorder="1"/>
    <xf numFmtId="39" fontId="8" fillId="4" borderId="9" xfId="14" applyNumberFormat="1" applyFont="1" applyFill="1" applyBorder="1" applyAlignment="1">
      <alignment horizontal="center" vertical="center" wrapText="1"/>
    </xf>
    <xf numFmtId="0" fontId="11" fillId="4" borderId="9" xfId="14" applyNumberFormat="1" applyFont="1" applyFill="1" applyBorder="1" applyAlignment="1">
      <alignment horizontal="center" vertical="center" wrapText="1" readingOrder="1"/>
    </xf>
    <xf numFmtId="0" fontId="11" fillId="4" borderId="4" xfId="14" applyNumberFormat="1" applyFont="1" applyFill="1" applyBorder="1" applyAlignment="1">
      <alignment horizontal="center" vertical="center" wrapText="1" readingOrder="1"/>
    </xf>
    <xf numFmtId="39" fontId="8" fillId="4" borderId="4" xfId="14" applyNumberFormat="1" applyFont="1" applyFill="1" applyBorder="1" applyAlignment="1">
      <alignment horizontal="center" vertical="center" wrapText="1"/>
    </xf>
    <xf numFmtId="0" fontId="8" fillId="4" borderId="4" xfId="14" applyFont="1" applyFill="1" applyBorder="1" applyAlignment="1">
      <alignment horizontal="center" vertical="center" wrapText="1"/>
    </xf>
    <xf numFmtId="0" fontId="114" fillId="4" borderId="6" xfId="0" applyFont="1" applyFill="1" applyBorder="1" applyAlignment="1">
      <alignment horizontal="center" vertical="center" wrapText="1"/>
    </xf>
    <xf numFmtId="4" fontId="11" fillId="3" borderId="0" xfId="14" applyNumberFormat="1" applyFont="1" applyFill="1" applyBorder="1" applyAlignment="1" applyProtection="1">
      <alignment horizontal="center" vertical="center"/>
    </xf>
    <xf numFmtId="0" fontId="103" fillId="4" borderId="0" xfId="14" applyFont="1" applyFill="1" applyBorder="1" applyAlignment="1">
      <alignment horizontal="center" vertical="center"/>
    </xf>
    <xf numFmtId="0" fontId="8" fillId="3" borderId="0" xfId="14" applyFont="1" applyFill="1" applyBorder="1" applyAlignment="1">
      <alignment horizontal="center" vertical="center"/>
    </xf>
    <xf numFmtId="0" fontId="11" fillId="3" borderId="0" xfId="14" applyNumberFormat="1" applyFont="1" applyFill="1" applyBorder="1" applyAlignment="1">
      <alignment horizontal="center" vertical="center" wrapText="1" readingOrder="1"/>
    </xf>
    <xf numFmtId="39" fontId="105" fillId="3" borderId="1" xfId="14" applyNumberFormat="1" applyFont="1" applyFill="1" applyBorder="1" applyAlignment="1">
      <alignment horizontal="center" vertical="center"/>
    </xf>
    <xf numFmtId="10" fontId="20" fillId="29" borderId="1" xfId="17" applyNumberFormat="1" applyFont="1" applyFill="1" applyBorder="1" applyAlignment="1">
      <alignment horizontal="center" vertical="center"/>
    </xf>
    <xf numFmtId="39" fontId="20" fillId="29" borderId="1" xfId="14" applyNumberFormat="1" applyFont="1" applyFill="1" applyBorder="1" applyAlignment="1">
      <alignment horizontal="right" vertical="center"/>
    </xf>
    <xf numFmtId="39" fontId="20" fillId="29" borderId="1" xfId="14" applyNumberFormat="1" applyFont="1" applyFill="1" applyBorder="1" applyAlignment="1">
      <alignment horizontal="center" vertical="center" wrapText="1"/>
    </xf>
    <xf numFmtId="39" fontId="20" fillId="29" borderId="5" xfId="14" applyNumberFormat="1" applyFont="1" applyFill="1" applyBorder="1" applyAlignment="1">
      <alignment horizontal="right" vertical="center"/>
    </xf>
    <xf numFmtId="10" fontId="20" fillId="29" borderId="1" xfId="14" applyNumberFormat="1" applyFont="1" applyFill="1" applyBorder="1" applyAlignment="1">
      <alignment horizontal="center" vertical="center"/>
    </xf>
    <xf numFmtId="10" fontId="8" fillId="3" borderId="0" xfId="14" applyNumberFormat="1" applyFont="1" applyFill="1" applyBorder="1" applyAlignment="1">
      <alignment horizontal="center" vertical="center"/>
    </xf>
    <xf numFmtId="4" fontId="4" fillId="3" borderId="0" xfId="14" applyNumberFormat="1" applyFont="1" applyFill="1" applyBorder="1" applyAlignment="1" applyProtection="1">
      <alignment horizontal="left" vertical="center" wrapText="1"/>
    </xf>
    <xf numFmtId="39" fontId="7" fillId="0" borderId="12" xfId="14" applyNumberFormat="1" applyFont="1" applyFill="1" applyBorder="1"/>
    <xf numFmtId="39" fontId="7" fillId="0" borderId="1" xfId="14" applyNumberFormat="1" applyFont="1" applyFill="1" applyBorder="1"/>
    <xf numFmtId="39" fontId="7" fillId="0" borderId="5" xfId="14" applyNumberFormat="1" applyFont="1" applyFill="1" applyBorder="1"/>
    <xf numFmtId="4" fontId="4" fillId="3" borderId="0" xfId="14" applyNumberFormat="1" applyFont="1" applyFill="1" applyBorder="1" applyAlignment="1" applyProtection="1">
      <alignment horizontal="left" vertical="center"/>
    </xf>
    <xf numFmtId="39" fontId="8" fillId="4" borderId="0" xfId="14" applyNumberFormat="1" applyFont="1" applyFill="1" applyBorder="1"/>
    <xf numFmtId="0" fontId="113" fillId="3" borderId="1" xfId="14" applyFont="1" applyFill="1" applyBorder="1" applyAlignment="1">
      <alignment horizontal="center" vertical="center"/>
    </xf>
    <xf numFmtId="4" fontId="11" fillId="3" borderId="0" xfId="14" applyNumberFormat="1" applyFont="1" applyFill="1" applyBorder="1" applyAlignment="1" applyProtection="1">
      <alignment horizontal="left" vertical="center"/>
    </xf>
    <xf numFmtId="39" fontId="8" fillId="0" borderId="12" xfId="14" applyNumberFormat="1" applyFont="1" applyFill="1" applyBorder="1"/>
    <xf numFmtId="39" fontId="8" fillId="0" borderId="5" xfId="14" applyNumberFormat="1" applyFont="1" applyFill="1" applyBorder="1"/>
    <xf numFmtId="39" fontId="8" fillId="3" borderId="0" xfId="14" applyNumberFormat="1" applyFont="1" applyFill="1" applyBorder="1" applyAlignment="1">
      <alignment vertical="center"/>
    </xf>
    <xf numFmtId="39" fontId="8" fillId="16" borderId="33" xfId="14" applyNumberFormat="1" applyFont="1" applyFill="1" applyBorder="1"/>
    <xf numFmtId="39" fontId="8" fillId="16" borderId="0" xfId="14" applyNumberFormat="1" applyFont="1" applyFill="1" applyBorder="1"/>
    <xf numFmtId="39" fontId="8" fillId="16" borderId="34" xfId="14" applyNumberFormat="1" applyFont="1" applyFill="1" applyBorder="1"/>
    <xf numFmtId="39" fontId="103" fillId="3" borderId="0" xfId="14" applyNumberFormat="1" applyFont="1" applyFill="1" applyBorder="1"/>
    <xf numFmtId="39" fontId="8" fillId="28" borderId="0" xfId="14" applyNumberFormat="1" applyFont="1" applyFill="1" applyBorder="1" applyAlignment="1">
      <alignment horizontal="center" vertical="center"/>
    </xf>
    <xf numFmtId="39" fontId="8" fillId="28" borderId="0" xfId="14" applyNumberFormat="1" applyFont="1" applyFill="1" applyBorder="1"/>
    <xf numFmtId="0" fontId="7" fillId="0" borderId="12" xfId="14" applyFont="1" applyFill="1" applyBorder="1"/>
    <xf numFmtId="0" fontId="7" fillId="0" borderId="1" xfId="14" applyFont="1" applyFill="1" applyBorder="1"/>
    <xf numFmtId="0" fontId="7" fillId="0" borderId="5" xfId="14" applyFont="1" applyFill="1" applyBorder="1"/>
    <xf numFmtId="0" fontId="8" fillId="3" borderId="0" xfId="14" applyFont="1" applyFill="1" applyBorder="1" applyAlignment="1">
      <alignment vertical="center"/>
    </xf>
    <xf numFmtId="0" fontId="8" fillId="4" borderId="0" xfId="14" applyFont="1" applyFill="1" applyBorder="1"/>
    <xf numFmtId="39" fontId="8" fillId="16" borderId="35" xfId="14" applyNumberFormat="1" applyFont="1" applyFill="1" applyBorder="1"/>
    <xf numFmtId="39" fontId="8" fillId="16" borderId="15" xfId="14" applyNumberFormat="1" applyFont="1" applyFill="1" applyBorder="1"/>
    <xf numFmtId="39" fontId="8" fillId="16" borderId="36" xfId="14" applyNumberFormat="1" applyFont="1" applyFill="1" applyBorder="1"/>
    <xf numFmtId="178" fontId="8" fillId="3" borderId="0" xfId="14" applyNumberFormat="1" applyFont="1" applyFill="1" applyBorder="1"/>
    <xf numFmtId="178" fontId="77" fillId="3" borderId="0" xfId="14" applyNumberFormat="1" applyFont="1" applyFill="1" applyBorder="1"/>
    <xf numFmtId="0" fontId="103" fillId="3" borderId="0" xfId="14" applyFont="1" applyFill="1" applyBorder="1"/>
    <xf numFmtId="0" fontId="8" fillId="0" borderId="6" xfId="14" applyFont="1" applyFill="1" applyBorder="1" applyAlignment="1">
      <alignment horizontal="center" vertical="center" wrapText="1"/>
    </xf>
    <xf numFmtId="178" fontId="91" fillId="3" borderId="1" xfId="14" applyNumberFormat="1" applyFont="1" applyFill="1" applyBorder="1" applyAlignment="1">
      <alignment vertical="center" wrapText="1" readingOrder="1"/>
    </xf>
    <xf numFmtId="0" fontId="13" fillId="3" borderId="1" xfId="14" applyNumberFormat="1" applyFont="1" applyFill="1" applyBorder="1" applyAlignment="1">
      <alignment vertical="center" wrapText="1" readingOrder="1"/>
    </xf>
    <xf numFmtId="178" fontId="13" fillId="3" borderId="1" xfId="14" applyNumberFormat="1" applyFont="1" applyFill="1" applyBorder="1" applyAlignment="1">
      <alignment vertical="center" wrapText="1" readingOrder="1"/>
    </xf>
    <xf numFmtId="0" fontId="7" fillId="3" borderId="0" xfId="14" applyFont="1" applyFill="1" applyBorder="1" applyAlignment="1">
      <alignment horizontal="center" vertical="center" wrapText="1"/>
    </xf>
    <xf numFmtId="0" fontId="104" fillId="3" borderId="1" xfId="14" applyFont="1" applyFill="1" applyBorder="1" applyAlignment="1">
      <alignment vertical="center" wrapText="1"/>
    </xf>
    <xf numFmtId="0" fontId="105" fillId="3" borderId="1" xfId="14" applyFont="1" applyFill="1" applyBorder="1" applyAlignment="1">
      <alignment vertical="center" wrapText="1"/>
    </xf>
    <xf numFmtId="0" fontId="103" fillId="3" borderId="0" xfId="14" applyFont="1" applyFill="1" applyBorder="1" applyAlignment="1">
      <alignment horizontal="center" vertical="center" wrapText="1"/>
    </xf>
    <xf numFmtId="0" fontId="114" fillId="3" borderId="0" xfId="0" applyFont="1" applyFill="1" applyBorder="1" applyAlignment="1">
      <alignment horizontal="center" vertical="center" wrapText="1"/>
    </xf>
    <xf numFmtId="0" fontId="15" fillId="3" borderId="0" xfId="14" applyFont="1" applyFill="1" applyBorder="1" applyAlignment="1">
      <alignment horizontal="center" vertical="center"/>
    </xf>
    <xf numFmtId="0" fontId="105" fillId="3" borderId="1" xfId="14" applyFont="1" applyFill="1" applyBorder="1" applyAlignment="1">
      <alignment wrapText="1"/>
    </xf>
    <xf numFmtId="178" fontId="105" fillId="3" borderId="1" xfId="14" applyNumberFormat="1" applyFont="1" applyFill="1" applyBorder="1" applyAlignment="1">
      <alignment wrapText="1"/>
    </xf>
    <xf numFmtId="10" fontId="20" fillId="3" borderId="0" xfId="17" applyNumberFormat="1" applyFont="1" applyFill="1" applyBorder="1" applyAlignment="1">
      <alignment horizontal="center" vertical="center"/>
    </xf>
    <xf numFmtId="39" fontId="20" fillId="3" borderId="0" xfId="14" applyNumberFormat="1" applyFont="1" applyFill="1" applyBorder="1" applyAlignment="1">
      <alignment horizontal="right" vertical="center"/>
    </xf>
    <xf numFmtId="10" fontId="20" fillId="3" borderId="0" xfId="14" applyNumberFormat="1" applyFont="1" applyFill="1" applyBorder="1" applyAlignment="1">
      <alignment horizontal="center" vertical="center"/>
    </xf>
    <xf numFmtId="39" fontId="7" fillId="3" borderId="0" xfId="14" applyNumberFormat="1" applyFont="1" applyFill="1" applyBorder="1"/>
    <xf numFmtId="0" fontId="7" fillId="4" borderId="0" xfId="14" applyFont="1" applyFill="1" applyBorder="1"/>
    <xf numFmtId="0" fontId="8" fillId="3" borderId="1" xfId="14" applyFont="1" applyFill="1" applyBorder="1" applyAlignment="1">
      <alignment wrapText="1"/>
    </xf>
    <xf numFmtId="39" fontId="103" fillId="3" borderId="0" xfId="14" applyNumberFormat="1" applyFont="1" applyFill="1" applyBorder="1" applyAlignment="1">
      <alignment horizontal="right" vertical="center"/>
    </xf>
    <xf numFmtId="39" fontId="7" fillId="0" borderId="0" xfId="14" applyNumberFormat="1" applyFont="1" applyFill="1" applyBorder="1"/>
    <xf numFmtId="39" fontId="8" fillId="3" borderId="0" xfId="14" applyNumberFormat="1" applyFont="1" applyFill="1" applyBorder="1" applyAlignment="1">
      <alignment horizontal="center" vertical="center"/>
    </xf>
    <xf numFmtId="39" fontId="8" fillId="3" borderId="1" xfId="14" applyNumberFormat="1" applyFont="1" applyFill="1" applyBorder="1" applyAlignment="1">
      <alignment horizontal="center" vertical="center"/>
    </xf>
    <xf numFmtId="178" fontId="7" fillId="0" borderId="1" xfId="14" applyNumberFormat="1" applyFont="1" applyFill="1" applyBorder="1"/>
    <xf numFmtId="0" fontId="7" fillId="0" borderId="8" xfId="14" applyFont="1" applyFill="1" applyBorder="1" applyAlignment="1">
      <alignment horizontal="center" vertical="center" wrapText="1"/>
    </xf>
    <xf numFmtId="0" fontId="49" fillId="12" borderId="6" xfId="14" applyNumberFormat="1" applyFont="1" applyFill="1" applyBorder="1" applyAlignment="1">
      <alignment horizontal="center" vertical="center" wrapText="1" readingOrder="1"/>
    </xf>
    <xf numFmtId="39" fontId="9" fillId="3" borderId="1" xfId="14" applyNumberFormat="1" applyFont="1" applyFill="1" applyBorder="1" applyAlignment="1">
      <alignment horizontal="right" vertical="center" wrapText="1" readingOrder="1"/>
    </xf>
    <xf numFmtId="0" fontId="116" fillId="8" borderId="6" xfId="14" applyNumberFormat="1" applyFont="1" applyFill="1" applyBorder="1" applyAlignment="1">
      <alignment horizontal="center" vertical="center" wrapText="1" readingOrder="1"/>
    </xf>
    <xf numFmtId="39" fontId="117" fillId="3" borderId="1" xfId="14" applyNumberFormat="1" applyFont="1" applyFill="1" applyBorder="1" applyAlignment="1">
      <alignment vertical="center" wrapText="1" readingOrder="1"/>
    </xf>
    <xf numFmtId="165" fontId="16" fillId="0" borderId="0" xfId="14" applyNumberFormat="1" applyFont="1" applyFill="1" applyBorder="1"/>
    <xf numFmtId="39" fontId="21" fillId="3" borderId="1" xfId="14" applyNumberFormat="1" applyFont="1" applyFill="1" applyBorder="1" applyAlignment="1">
      <alignment horizontal="right" vertical="center"/>
    </xf>
    <xf numFmtId="0" fontId="49" fillId="12" borderId="6" xfId="14" applyNumberFormat="1" applyFont="1" applyFill="1" applyBorder="1" applyAlignment="1">
      <alignment horizontal="center" vertical="center" wrapText="1" readingOrder="1"/>
    </xf>
    <xf numFmtId="0" fontId="118" fillId="13" borderId="6" xfId="1" applyFont="1" applyFill="1" applyBorder="1" applyAlignment="1">
      <alignment horizontal="center" vertical="center" wrapText="1"/>
    </xf>
    <xf numFmtId="0" fontId="118" fillId="11" borderId="6" xfId="1" applyFont="1" applyFill="1" applyBorder="1" applyAlignment="1">
      <alignment horizontal="center" vertical="center"/>
    </xf>
    <xf numFmtId="0" fontId="91" fillId="13" borderId="6" xfId="0" applyFont="1" applyFill="1" applyBorder="1" applyAlignment="1">
      <alignment horizontal="center" vertical="center" wrapText="1"/>
    </xf>
    <xf numFmtId="14" fontId="91" fillId="13" borderId="6" xfId="0" applyNumberFormat="1" applyFont="1" applyFill="1" applyBorder="1" applyAlignment="1">
      <alignment horizontal="center" vertical="center" wrapText="1"/>
    </xf>
    <xf numFmtId="172" fontId="91" fillId="13" borderId="6" xfId="11" applyNumberFormat="1" applyFont="1" applyFill="1" applyBorder="1" applyAlignment="1">
      <alignment horizontal="center" vertical="center" wrapText="1"/>
    </xf>
    <xf numFmtId="166" fontId="91" fillId="13" borderId="6" xfId="11" applyNumberFormat="1" applyFont="1" applyFill="1" applyBorder="1" applyAlignment="1">
      <alignment horizontal="center" vertical="center" wrapText="1"/>
    </xf>
    <xf numFmtId="0" fontId="91" fillId="13" borderId="16" xfId="0" applyFont="1" applyFill="1" applyBorder="1" applyAlignment="1">
      <alignment horizontal="center" vertical="center" wrapText="1"/>
    </xf>
    <xf numFmtId="0" fontId="1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3" borderId="1" xfId="0" applyFont="1" applyFill="1" applyBorder="1" applyAlignment="1">
      <alignment vertical="center" wrapText="1"/>
    </xf>
    <xf numFmtId="14" fontId="20" fillId="3" borderId="1" xfId="0" applyNumberFormat="1" applyFont="1" applyFill="1" applyBorder="1" applyAlignment="1">
      <alignment horizontal="center" vertical="center" wrapText="1"/>
    </xf>
    <xf numFmtId="174" fontId="20" fillId="3" borderId="1" xfId="0" applyNumberFormat="1" applyFont="1" applyFill="1" applyBorder="1" applyAlignment="1">
      <alignment horizontal="center" vertical="center" wrapText="1"/>
    </xf>
    <xf numFmtId="173" fontId="120" fillId="3" borderId="1" xfId="3" applyNumberFormat="1" applyFont="1" applyFill="1" applyBorder="1" applyAlignment="1">
      <alignment horizontal="right" vertical="center" wrapText="1"/>
    </xf>
    <xf numFmtId="166" fontId="120" fillId="3" borderId="1" xfId="11" applyNumberFormat="1" applyFont="1" applyFill="1" applyBorder="1" applyAlignment="1">
      <alignment horizontal="center" vertical="center" wrapText="1"/>
    </xf>
    <xf numFmtId="0" fontId="20" fillId="4" borderId="12" xfId="0" applyFont="1" applyFill="1" applyBorder="1" applyAlignment="1">
      <alignment horizontal="center" vertical="center" wrapText="1"/>
    </xf>
    <xf numFmtId="0" fontId="0" fillId="0" borderId="1" xfId="0" applyBorder="1"/>
    <xf numFmtId="166" fontId="121" fillId="0" borderId="0" xfId="11" applyFont="1" applyFill="1" applyAlignment="1">
      <alignment horizontal="right" vertical="center" wrapText="1"/>
    </xf>
    <xf numFmtId="164" fontId="122" fillId="13" borderId="6" xfId="3" applyFont="1" applyFill="1" applyBorder="1" applyAlignment="1">
      <alignment horizontal="center" vertical="center" wrapText="1"/>
    </xf>
    <xf numFmtId="0" fontId="122" fillId="13" borderId="6" xfId="1" applyFont="1" applyFill="1" applyBorder="1" applyAlignment="1">
      <alignment horizontal="center" vertical="center" wrapText="1"/>
    </xf>
    <xf numFmtId="39" fontId="123" fillId="3" borderId="1" xfId="14" applyNumberFormat="1" applyFont="1" applyFill="1" applyBorder="1" applyAlignment="1">
      <alignment horizontal="right" vertical="center" wrapText="1" readingOrder="1"/>
    </xf>
    <xf numFmtId="39" fontId="20" fillId="3" borderId="1" xfId="14" applyNumberFormat="1" applyFont="1" applyFill="1" applyBorder="1" applyAlignment="1">
      <alignment horizontal="right" vertical="center" wrapText="1"/>
    </xf>
    <xf numFmtId="0" fontId="30" fillId="29" borderId="0" xfId="0" applyFont="1" applyFill="1" applyBorder="1" applyAlignment="1">
      <alignment vertical="center"/>
    </xf>
    <xf numFmtId="0" fontId="59" fillId="29" borderId="0" xfId="0" applyFont="1" applyFill="1" applyBorder="1" applyAlignment="1">
      <alignment horizontal="center" vertical="center"/>
    </xf>
    <xf numFmtId="0" fontId="30" fillId="29" borderId="0" xfId="0" applyFont="1" applyFill="1" applyAlignment="1">
      <alignment vertical="center"/>
    </xf>
    <xf numFmtId="166" fontId="30" fillId="29" borderId="0" xfId="0" applyNumberFormat="1" applyFont="1" applyFill="1" applyAlignment="1">
      <alignment vertical="center"/>
    </xf>
    <xf numFmtId="175" fontId="30" fillId="29" borderId="0" xfId="0" applyNumberFormat="1" applyFont="1" applyFill="1" applyAlignment="1">
      <alignment vertical="center"/>
    </xf>
    <xf numFmtId="0" fontId="0" fillId="29" borderId="0" xfId="0" applyFill="1"/>
    <xf numFmtId="0" fontId="53" fillId="4" borderId="37" xfId="1" applyFont="1" applyFill="1" applyBorder="1" applyAlignment="1">
      <alignment horizontal="center" vertical="center" wrapText="1"/>
    </xf>
    <xf numFmtId="0" fontId="124" fillId="3" borderId="1" xfId="0" applyFont="1" applyFill="1" applyBorder="1"/>
    <xf numFmtId="0" fontId="30" fillId="3" borderId="1" xfId="0" applyFont="1" applyFill="1" applyBorder="1" applyAlignment="1">
      <alignment vertical="center"/>
    </xf>
    <xf numFmtId="0" fontId="125" fillId="0" borderId="1" xfId="0" applyFont="1" applyFill="1" applyBorder="1" applyAlignment="1">
      <alignment horizontal="center" vertical="center" wrapText="1"/>
    </xf>
    <xf numFmtId="0" fontId="32" fillId="3" borderId="1" xfId="0" applyFont="1" applyFill="1" applyBorder="1"/>
    <xf numFmtId="0" fontId="20" fillId="11" borderId="1" xfId="0" applyFont="1" applyFill="1" applyBorder="1" applyAlignment="1">
      <alignment vertical="center" wrapText="1"/>
    </xf>
    <xf numFmtId="0" fontId="20" fillId="3" borderId="12" xfId="0" applyFont="1" applyFill="1" applyBorder="1" applyAlignment="1">
      <alignment horizontal="center" vertical="center" wrapText="1"/>
    </xf>
    <xf numFmtId="39" fontId="22" fillId="27" borderId="1" xfId="14" applyNumberFormat="1" applyFont="1" applyFill="1" applyBorder="1" applyAlignment="1">
      <alignment horizontal="right" vertical="center" wrapText="1" readingOrder="1"/>
    </xf>
    <xf numFmtId="39" fontId="22" fillId="27" borderId="1" xfId="14" applyNumberFormat="1" applyFont="1" applyFill="1" applyBorder="1" applyAlignment="1">
      <alignment horizontal="right" vertical="center"/>
    </xf>
    <xf numFmtId="10" fontId="22" fillId="27" borderId="1" xfId="17" applyNumberFormat="1" applyFont="1" applyFill="1" applyBorder="1" applyAlignment="1">
      <alignment horizontal="center" vertical="center"/>
    </xf>
    <xf numFmtId="39" fontId="22" fillId="27" borderId="1" xfId="14" applyNumberFormat="1" applyFont="1" applyFill="1" applyBorder="1" applyAlignment="1">
      <alignment horizontal="center" vertical="center" wrapText="1"/>
    </xf>
    <xf numFmtId="39" fontId="22" fillId="27" borderId="5" xfId="14" applyNumberFormat="1" applyFont="1" applyFill="1" applyBorder="1" applyAlignment="1">
      <alignment horizontal="right" vertical="center"/>
    </xf>
    <xf numFmtId="10" fontId="22" fillId="27" borderId="1" xfId="14" applyNumberFormat="1" applyFont="1" applyFill="1" applyBorder="1" applyAlignment="1">
      <alignment horizontal="center" vertical="center"/>
    </xf>
    <xf numFmtId="39" fontId="21" fillId="9" borderId="1" xfId="14" applyNumberFormat="1" applyFont="1" applyFill="1" applyBorder="1" applyAlignment="1">
      <alignment horizontal="right" vertical="center" wrapText="1" readingOrder="1"/>
    </xf>
    <xf numFmtId="39" fontId="21" fillId="9" borderId="1" xfId="14" applyNumberFormat="1" applyFont="1" applyFill="1" applyBorder="1" applyAlignment="1">
      <alignment vertical="center" wrapText="1" readingOrder="1"/>
    </xf>
    <xf numFmtId="173" fontId="120" fillId="4" borderId="1" xfId="3" applyNumberFormat="1" applyFont="1" applyFill="1" applyBorder="1" applyAlignment="1">
      <alignment horizontal="right" vertical="center" wrapText="1"/>
    </xf>
    <xf numFmtId="166" fontId="120" fillId="4" borderId="1" xfId="11" applyNumberFormat="1" applyFont="1" applyFill="1" applyBorder="1" applyAlignment="1">
      <alignment horizontal="center" vertical="center" wrapText="1"/>
    </xf>
    <xf numFmtId="10" fontId="7" fillId="3" borderId="1" xfId="17" applyNumberFormat="1" applyFont="1" applyFill="1" applyBorder="1" applyAlignment="1">
      <alignment horizontal="center" vertical="center" wrapText="1"/>
    </xf>
    <xf numFmtId="0" fontId="0" fillId="4" borderId="0" xfId="0" applyFill="1"/>
    <xf numFmtId="39" fontId="21" fillId="30" borderId="1" xfId="14" applyNumberFormat="1" applyFont="1" applyFill="1" applyBorder="1" applyAlignment="1">
      <alignment horizontal="right" vertical="center"/>
    </xf>
    <xf numFmtId="39" fontId="22" fillId="30" borderId="1" xfId="14" applyNumberFormat="1" applyFont="1" applyFill="1" applyBorder="1" applyAlignment="1">
      <alignment vertical="center" wrapText="1" readingOrder="1"/>
    </xf>
    <xf numFmtId="39" fontId="22" fillId="30" borderId="1" xfId="14" applyNumberFormat="1" applyFont="1" applyFill="1" applyBorder="1" applyAlignment="1">
      <alignment horizontal="right" vertical="center"/>
    </xf>
    <xf numFmtId="0" fontId="22" fillId="30" borderId="1" xfId="14" applyNumberFormat="1" applyFont="1" applyFill="1" applyBorder="1" applyAlignment="1">
      <alignment horizontal="left" vertical="center" wrapText="1" readingOrder="1"/>
    </xf>
    <xf numFmtId="39" fontId="22" fillId="30" borderId="1" xfId="14" applyNumberFormat="1" applyFont="1" applyFill="1" applyBorder="1" applyAlignment="1">
      <alignment horizontal="right" vertical="center" wrapText="1"/>
    </xf>
    <xf numFmtId="39" fontId="18" fillId="30" borderId="1" xfId="14" applyNumberFormat="1" applyFont="1" applyFill="1" applyBorder="1" applyAlignment="1">
      <alignment horizontal="right" vertical="center"/>
    </xf>
    <xf numFmtId="39" fontId="45" fillId="9" borderId="1" xfId="14" applyNumberFormat="1" applyFont="1" applyFill="1" applyBorder="1" applyAlignment="1">
      <alignment horizontal="right" vertical="center" wrapText="1" readingOrder="1"/>
    </xf>
    <xf numFmtId="178" fontId="48" fillId="12" borderId="0" xfId="14" applyNumberFormat="1" applyFont="1" applyFill="1" applyBorder="1" applyAlignment="1">
      <alignment horizontal="center" vertical="center" wrapText="1" readingOrder="1"/>
    </xf>
    <xf numFmtId="175" fontId="126" fillId="12" borderId="0" xfId="7" applyNumberFormat="1" applyFont="1" applyFill="1" applyBorder="1" applyAlignment="1">
      <alignment horizontal="center" vertical="center" wrapText="1" readingOrder="1"/>
    </xf>
    <xf numFmtId="169" fontId="99" fillId="31" borderId="0" xfId="7" applyFont="1" applyFill="1" applyBorder="1" applyAlignment="1">
      <alignment horizontal="center" vertical="center"/>
    </xf>
    <xf numFmtId="0" fontId="129" fillId="26" borderId="1" xfId="14" applyNumberFormat="1" applyFont="1" applyFill="1" applyBorder="1" applyAlignment="1">
      <alignment horizontal="center" vertical="center" wrapText="1" readingOrder="1"/>
    </xf>
    <xf numFmtId="39" fontId="9" fillId="3" borderId="1" xfId="14" applyNumberFormat="1" applyFont="1" applyFill="1" applyBorder="1" applyAlignment="1">
      <alignment horizontal="right" vertical="center" wrapText="1" readingOrder="1"/>
    </xf>
    <xf numFmtId="0" fontId="134" fillId="4" borderId="0" xfId="0" applyFont="1" applyFill="1"/>
    <xf numFmtId="178" fontId="134" fillId="4" borderId="0" xfId="0" applyNumberFormat="1" applyFont="1" applyFill="1"/>
    <xf numFmtId="0" fontId="66" fillId="0" borderId="1" xfId="3" applyNumberFormat="1" applyFont="1" applyBorder="1" applyAlignment="1">
      <alignment horizontal="left" wrapText="1"/>
    </xf>
    <xf numFmtId="0" fontId="55" fillId="0" borderId="1" xfId="0" applyFont="1" applyBorder="1" applyAlignment="1">
      <alignment horizontal="center" vertical="center" wrapText="1"/>
    </xf>
    <xf numFmtId="0" fontId="67" fillId="0" borderId="1" xfId="3" applyNumberFormat="1" applyFont="1" applyBorder="1" applyAlignment="1">
      <alignment horizontal="center" vertical="center" wrapText="1"/>
    </xf>
    <xf numFmtId="177" fontId="137" fillId="0" borderId="1" xfId="7" applyNumberFormat="1" applyFont="1" applyBorder="1" applyAlignment="1">
      <alignment horizontal="left" wrapText="1"/>
    </xf>
    <xf numFmtId="177" fontId="137" fillId="4" borderId="1" xfId="7" applyNumberFormat="1" applyFont="1" applyFill="1" applyBorder="1" applyAlignment="1">
      <alignment horizontal="left" wrapText="1"/>
    </xf>
    <xf numFmtId="177" fontId="128" fillId="0" borderId="1" xfId="7" applyNumberFormat="1" applyFont="1" applyBorder="1" applyAlignment="1">
      <alignment wrapText="1"/>
    </xf>
    <xf numFmtId="0" fontId="20" fillId="0" borderId="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 xfId="0" applyFont="1" applyFill="1" applyBorder="1" applyAlignment="1">
      <alignment vertical="center" wrapText="1"/>
    </xf>
    <xf numFmtId="173" fontId="120" fillId="0" borderId="1" xfId="3" applyNumberFormat="1" applyFont="1" applyFill="1" applyBorder="1" applyAlignment="1">
      <alignment horizontal="right" vertical="center" wrapText="1"/>
    </xf>
    <xf numFmtId="166" fontId="120" fillId="0" borderId="1" xfId="11" applyNumberFormat="1" applyFont="1" applyFill="1" applyBorder="1" applyAlignment="1">
      <alignment horizontal="center" vertical="center" wrapText="1"/>
    </xf>
    <xf numFmtId="0" fontId="138" fillId="0" borderId="1" xfId="0" applyFont="1" applyFill="1" applyBorder="1" applyAlignment="1">
      <alignment horizontal="center" vertical="center" wrapText="1"/>
    </xf>
    <xf numFmtId="0" fontId="119" fillId="0" borderId="1" xfId="0" applyFont="1" applyFill="1" applyBorder="1" applyAlignment="1">
      <alignment horizontal="center" vertical="center" wrapText="1"/>
    </xf>
    <xf numFmtId="0" fontId="131" fillId="0" borderId="1" xfId="0" applyFont="1" applyFill="1" applyBorder="1" applyAlignment="1">
      <alignment horizontal="center" vertical="center" wrapText="1"/>
    </xf>
    <xf numFmtId="0" fontId="132" fillId="0" borderId="1" xfId="0" applyFont="1" applyFill="1" applyBorder="1" applyAlignment="1">
      <alignment horizontal="center" vertical="center" wrapText="1"/>
    </xf>
    <xf numFmtId="0" fontId="132" fillId="0" borderId="12" xfId="0" applyFont="1" applyFill="1" applyBorder="1" applyAlignment="1">
      <alignment horizontal="center" vertical="center" wrapText="1"/>
    </xf>
    <xf numFmtId="0" fontId="132" fillId="0" borderId="1" xfId="0" applyFont="1" applyFill="1" applyBorder="1" applyAlignment="1">
      <alignment vertical="center" wrapText="1"/>
    </xf>
    <xf numFmtId="14" fontId="132" fillId="0" borderId="1" xfId="0" applyNumberFormat="1" applyFont="1" applyFill="1" applyBorder="1" applyAlignment="1">
      <alignment horizontal="center" vertical="center" wrapText="1"/>
    </xf>
    <xf numFmtId="174" fontId="132" fillId="0" borderId="1" xfId="0" applyNumberFormat="1" applyFont="1" applyFill="1" applyBorder="1" applyAlignment="1">
      <alignment horizontal="center" vertical="center" wrapText="1"/>
    </xf>
    <xf numFmtId="173" fontId="133" fillId="0" borderId="1" xfId="3" applyNumberFormat="1" applyFont="1" applyFill="1" applyBorder="1" applyAlignment="1">
      <alignment horizontal="right" vertical="center" wrapText="1"/>
    </xf>
    <xf numFmtId="166" fontId="133" fillId="0" borderId="1" xfId="11" applyNumberFormat="1" applyFont="1" applyFill="1" applyBorder="1" applyAlignment="1">
      <alignment horizontal="center" vertical="center" wrapText="1"/>
    </xf>
    <xf numFmtId="10" fontId="139" fillId="29" borderId="1" xfId="17" applyNumberFormat="1" applyFont="1" applyFill="1" applyBorder="1" applyAlignment="1">
      <alignment horizontal="center" vertical="center"/>
    </xf>
    <xf numFmtId="39" fontId="20" fillId="9" borderId="1" xfId="14" applyNumberFormat="1" applyFont="1" applyFill="1" applyBorder="1" applyAlignment="1">
      <alignment horizontal="right" vertical="center" wrapText="1"/>
    </xf>
    <xf numFmtId="0" fontId="0" fillId="0" borderId="0" xfId="0" applyFill="1"/>
    <xf numFmtId="39" fontId="9" fillId="3" borderId="1" xfId="14" applyNumberFormat="1" applyFont="1" applyFill="1" applyBorder="1" applyAlignment="1">
      <alignment horizontal="right" vertical="center" wrapText="1" readingOrder="1"/>
    </xf>
    <xf numFmtId="0" fontId="49" fillId="12" borderId="6" xfId="14" applyNumberFormat="1" applyFont="1" applyFill="1" applyBorder="1" applyAlignment="1">
      <alignment horizontal="center" vertical="center" wrapText="1" readingOrder="1"/>
    </xf>
    <xf numFmtId="0" fontId="8" fillId="0" borderId="0" xfId="14" applyFont="1" applyFill="1" applyBorder="1" applyAlignment="1">
      <alignment horizontal="center"/>
    </xf>
    <xf numFmtId="14" fontId="138" fillId="0" borderId="1" xfId="0" applyNumberFormat="1" applyFont="1" applyFill="1" applyBorder="1" applyAlignment="1">
      <alignment horizontal="center" vertical="center" wrapText="1"/>
    </xf>
    <xf numFmtId="166" fontId="138" fillId="0" borderId="1" xfId="18" applyFont="1" applyFill="1" applyBorder="1" applyAlignment="1">
      <alignment horizontal="center" vertical="center" wrapText="1"/>
    </xf>
    <xf numFmtId="183" fontId="8" fillId="3" borderId="1" xfId="14" applyNumberFormat="1" applyFont="1" applyFill="1" applyBorder="1" applyAlignment="1">
      <alignment horizontal="center" vertical="center" wrapText="1"/>
    </xf>
    <xf numFmtId="10" fontId="18" fillId="3" borderId="1" xfId="14" applyNumberFormat="1" applyFont="1" applyFill="1" applyBorder="1" applyAlignment="1">
      <alignment horizontal="center" vertical="center"/>
    </xf>
    <xf numFmtId="0" fontId="0" fillId="3" borderId="0" xfId="0" applyFill="1"/>
    <xf numFmtId="0" fontId="3" fillId="3" borderId="0" xfId="0" applyFont="1" applyFill="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3" borderId="0" xfId="0" applyFont="1" applyFill="1" applyBorder="1" applyAlignment="1">
      <alignment horizontal="center" vertical="center" wrapText="1"/>
    </xf>
    <xf numFmtId="39" fontId="51" fillId="3" borderId="1" xfId="14" applyNumberFormat="1" applyFont="1" applyFill="1" applyBorder="1" applyAlignment="1">
      <alignment horizontal="right" vertical="center"/>
    </xf>
    <xf numFmtId="177" fontId="19" fillId="3" borderId="8" xfId="7" applyNumberFormat="1" applyFont="1" applyFill="1" applyBorder="1" applyAlignment="1">
      <alignment horizontal="center" vertical="center"/>
    </xf>
    <xf numFmtId="0" fontId="118" fillId="13" borderId="1" xfId="1" applyFont="1" applyFill="1" applyBorder="1" applyAlignment="1">
      <alignment horizontal="center" vertical="center" wrapText="1"/>
    </xf>
    <xf numFmtId="164" fontId="122" fillId="13" borderId="1" xfId="3" applyFont="1" applyFill="1" applyBorder="1" applyAlignment="1">
      <alignment horizontal="center" vertical="center" wrapText="1"/>
    </xf>
    <xf numFmtId="165" fontId="0" fillId="0" borderId="0" xfId="0" applyNumberFormat="1" applyFont="1"/>
    <xf numFmtId="165" fontId="0" fillId="0" borderId="0" xfId="0" applyNumberFormat="1" applyFont="1" applyAlignment="1">
      <alignment horizontal="center" vertical="center" wrapText="1"/>
    </xf>
    <xf numFmtId="165" fontId="66" fillId="0" borderId="0" xfId="3" applyNumberFormat="1" applyFont="1" applyAlignment="1">
      <alignment horizontal="left" wrapText="1"/>
    </xf>
    <xf numFmtId="39" fontId="20" fillId="11" borderId="1" xfId="14" applyNumberFormat="1" applyFont="1" applyFill="1" applyBorder="1" applyAlignment="1">
      <alignment horizontal="right" vertical="center" wrapText="1"/>
    </xf>
    <xf numFmtId="39" fontId="9" fillId="3" borderId="1" xfId="14" applyNumberFormat="1" applyFont="1" applyFill="1" applyBorder="1" applyAlignment="1">
      <alignment horizontal="right" vertical="center" wrapText="1" readingOrder="1"/>
    </xf>
    <xf numFmtId="39" fontId="13" fillId="3" borderId="1" xfId="14" applyNumberFormat="1" applyFont="1" applyFill="1" applyBorder="1" applyAlignment="1">
      <alignment horizontal="center" vertical="center" wrapText="1"/>
    </xf>
    <xf numFmtId="10" fontId="141" fillId="3" borderId="8" xfId="14" applyNumberFormat="1" applyFont="1" applyFill="1" applyBorder="1" applyAlignment="1">
      <alignment horizontal="center" vertical="center" wrapText="1"/>
    </xf>
    <xf numFmtId="10" fontId="18" fillId="11" borderId="1" xfId="14" applyNumberFormat="1" applyFont="1" applyFill="1" applyBorder="1" applyAlignment="1">
      <alignment horizontal="center" vertical="center" wrapText="1"/>
    </xf>
    <xf numFmtId="39" fontId="91" fillId="26" borderId="1" xfId="14" applyNumberFormat="1" applyFont="1" applyFill="1" applyBorder="1" applyAlignment="1">
      <alignment horizontal="right" vertical="center" wrapText="1" readingOrder="1"/>
    </xf>
    <xf numFmtId="39" fontId="20" fillId="4" borderId="1" xfId="14" applyNumberFormat="1" applyFont="1" applyFill="1" applyBorder="1" applyAlignment="1">
      <alignment horizontal="right" vertical="center" wrapText="1"/>
    </xf>
    <xf numFmtId="0" fontId="91" fillId="3" borderId="1" xfId="14" applyNumberFormat="1" applyFont="1" applyFill="1" applyBorder="1" applyAlignment="1">
      <alignment horizontal="left" vertical="center" wrapText="1" readingOrder="1"/>
    </xf>
    <xf numFmtId="169" fontId="18" fillId="3" borderId="1" xfId="7" applyFont="1" applyFill="1" applyBorder="1" applyAlignment="1">
      <alignment horizontal="center" vertical="center" wrapText="1"/>
    </xf>
    <xf numFmtId="169" fontId="19" fillId="3" borderId="1" xfId="7" applyFont="1" applyFill="1" applyBorder="1" applyAlignment="1">
      <alignment horizontal="center" vertical="center"/>
    </xf>
    <xf numFmtId="169" fontId="60" fillId="3" borderId="5" xfId="7" applyFont="1" applyFill="1" applyBorder="1" applyAlignment="1">
      <alignment horizontal="center" wrapText="1"/>
    </xf>
    <xf numFmtId="169" fontId="60" fillId="3" borderId="1" xfId="7" applyFont="1" applyFill="1" applyBorder="1"/>
    <xf numFmtId="0" fontId="0" fillId="0" borderId="0" xfId="0" applyAlignment="1">
      <alignment horizontal="center" readingOrder="1"/>
    </xf>
    <xf numFmtId="169" fontId="60" fillId="3" borderId="1" xfId="7" applyFont="1" applyFill="1" applyBorder="1" applyAlignment="1">
      <alignment horizontal="center" wrapText="1"/>
    </xf>
    <xf numFmtId="177" fontId="68" fillId="3" borderId="5" xfId="7" applyNumberFormat="1" applyFont="1" applyFill="1" applyBorder="1" applyAlignment="1">
      <alignment horizontal="center" vertical="center" wrapText="1"/>
    </xf>
    <xf numFmtId="169" fontId="55" fillId="3" borderId="5" xfId="7" applyFont="1" applyFill="1" applyBorder="1" applyAlignment="1">
      <alignment horizontal="center"/>
    </xf>
    <xf numFmtId="39" fontId="22" fillId="9" borderId="1" xfId="14" applyNumberFormat="1" applyFont="1" applyFill="1" applyBorder="1" applyAlignment="1">
      <alignment horizontal="right" vertical="center" wrapText="1" readingOrder="1"/>
    </xf>
    <xf numFmtId="39" fontId="10" fillId="9" borderId="1" xfId="14" applyNumberFormat="1" applyFont="1" applyFill="1" applyBorder="1" applyAlignment="1">
      <alignment horizontal="right" vertical="center" wrapText="1" readingOrder="1"/>
    </xf>
    <xf numFmtId="39" fontId="22" fillId="9" borderId="1" xfId="14" applyNumberFormat="1" applyFont="1" applyFill="1" applyBorder="1" applyAlignment="1">
      <alignment horizontal="right" vertical="center"/>
    </xf>
    <xf numFmtId="166" fontId="92" fillId="9" borderId="0" xfId="11" applyFont="1" applyFill="1" applyAlignment="1">
      <alignment horizontal="right" vertical="center" wrapText="1"/>
    </xf>
    <xf numFmtId="39" fontId="22" fillId="9" borderId="1" xfId="14" applyNumberFormat="1" applyFont="1" applyFill="1" applyBorder="1" applyAlignment="1">
      <alignment vertical="center" wrapText="1" readingOrder="1"/>
    </xf>
    <xf numFmtId="39" fontId="22" fillId="9" borderId="1" xfId="14" applyNumberFormat="1" applyFont="1" applyFill="1" applyBorder="1" applyAlignment="1">
      <alignment horizontal="right" vertical="center" wrapText="1"/>
    </xf>
    <xf numFmtId="0" fontId="119" fillId="3" borderId="0"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0" xfId="0" applyFont="1" applyFill="1" applyBorder="1" applyAlignment="1">
      <alignment vertical="center" wrapText="1"/>
    </xf>
    <xf numFmtId="14" fontId="20" fillId="3" borderId="0" xfId="0" applyNumberFormat="1" applyFont="1" applyFill="1" applyBorder="1" applyAlignment="1">
      <alignment horizontal="center" vertical="center" wrapText="1"/>
    </xf>
    <xf numFmtId="174" fontId="20" fillId="3" borderId="0" xfId="0" applyNumberFormat="1" applyFont="1" applyFill="1" applyBorder="1" applyAlignment="1">
      <alignment horizontal="center" vertical="center" wrapText="1"/>
    </xf>
    <xf numFmtId="169" fontId="60" fillId="3" borderId="1" xfId="7" applyFont="1" applyFill="1" applyBorder="1" applyAlignment="1">
      <alignment horizontal="center"/>
    </xf>
    <xf numFmtId="39" fontId="22" fillId="32" borderId="1" xfId="14" applyNumberFormat="1" applyFont="1" applyFill="1" applyBorder="1" applyAlignment="1">
      <alignment horizontal="right" vertical="center" wrapText="1" readingOrder="1"/>
    </xf>
    <xf numFmtId="39" fontId="20" fillId="32" borderId="1" xfId="14" applyNumberFormat="1" applyFont="1" applyFill="1" applyBorder="1" applyAlignment="1">
      <alignment horizontal="right" vertical="center" wrapText="1" readingOrder="1"/>
    </xf>
    <xf numFmtId="0" fontId="145" fillId="0" borderId="1" xfId="0" applyFont="1" applyFill="1" applyBorder="1" applyAlignment="1">
      <alignment horizontal="center" vertical="center" wrapText="1"/>
    </xf>
    <xf numFmtId="14" fontId="145" fillId="0" borderId="1" xfId="0" applyNumberFormat="1" applyFont="1" applyFill="1" applyBorder="1" applyAlignment="1">
      <alignment horizontal="center" vertical="center" wrapText="1"/>
    </xf>
    <xf numFmtId="166" fontId="145" fillId="0" borderId="1" xfId="18" applyFont="1" applyFill="1" applyBorder="1" applyAlignment="1">
      <alignment horizontal="center" vertical="center" wrapText="1"/>
    </xf>
    <xf numFmtId="0" fontId="144" fillId="0" borderId="0" xfId="0" applyFont="1"/>
    <xf numFmtId="0" fontId="33" fillId="0" borderId="0" xfId="0" applyFont="1" applyFill="1"/>
    <xf numFmtId="39" fontId="105" fillId="4" borderId="1" xfId="14" applyNumberFormat="1" applyFont="1" applyFill="1" applyBorder="1" applyAlignment="1">
      <alignment horizontal="center" vertical="center"/>
    </xf>
    <xf numFmtId="166" fontId="95" fillId="3" borderId="0" xfId="11" applyFont="1" applyFill="1" applyAlignment="1">
      <alignment horizontal="right" vertical="center" wrapText="1"/>
    </xf>
    <xf numFmtId="169" fontId="22" fillId="3" borderId="1" xfId="7" applyFont="1" applyFill="1" applyBorder="1" applyAlignment="1">
      <alignment horizontal="right" vertical="center" wrapText="1" readingOrder="1"/>
    </xf>
    <xf numFmtId="173" fontId="120" fillId="3" borderId="0" xfId="3" applyNumberFormat="1" applyFont="1" applyFill="1" applyBorder="1" applyAlignment="1">
      <alignment horizontal="right" vertical="center" wrapText="1"/>
    </xf>
    <xf numFmtId="169" fontId="42" fillId="3" borderId="1" xfId="7" applyFont="1" applyFill="1" applyBorder="1" applyAlignment="1">
      <alignment horizontal="center"/>
    </xf>
    <xf numFmtId="169" fontId="146" fillId="3" borderId="1" xfId="7" applyFont="1" applyFill="1" applyBorder="1" applyAlignment="1">
      <alignment horizontal="center"/>
    </xf>
    <xf numFmtId="0" fontId="140" fillId="0" borderId="1" xfId="0" applyFont="1" applyBorder="1" applyAlignment="1">
      <alignment horizontal="center" vertical="center"/>
    </xf>
    <xf numFmtId="169" fontId="146" fillId="0" borderId="1" xfId="7" applyFont="1" applyBorder="1"/>
    <xf numFmtId="169" fontId="146" fillId="0" borderId="0" xfId="7" applyFont="1"/>
    <xf numFmtId="169" fontId="64" fillId="0" borderId="1" xfId="0" applyNumberFormat="1" applyFont="1" applyBorder="1"/>
    <xf numFmtId="0" fontId="0" fillId="0" borderId="0" xfId="0" applyFont="1" applyAlignment="1">
      <alignment horizontal="center" vertical="center"/>
    </xf>
    <xf numFmtId="0" fontId="136" fillId="0" borderId="1" xfId="0" applyFont="1" applyBorder="1" applyAlignment="1">
      <alignment horizontal="center" vertical="center" wrapText="1"/>
    </xf>
    <xf numFmtId="0" fontId="128"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xf>
    <xf numFmtId="0" fontId="31" fillId="0" borderId="1" xfId="0" applyFont="1" applyBorder="1" applyAlignment="1">
      <alignment horizontal="center" vertical="center"/>
    </xf>
    <xf numFmtId="0" fontId="144" fillId="3" borderId="0" xfId="0" applyFont="1" applyFill="1"/>
    <xf numFmtId="0" fontId="33" fillId="3" borderId="0" xfId="0" applyFont="1" applyFill="1"/>
    <xf numFmtId="39" fontId="22" fillId="11" borderId="1" xfId="14" applyNumberFormat="1" applyFont="1" applyFill="1" applyBorder="1" applyAlignment="1">
      <alignment horizontal="right" vertical="center"/>
    </xf>
    <xf numFmtId="169" fontId="146" fillId="0" borderId="1" xfId="7" applyFont="1" applyBorder="1" applyAlignment="1">
      <alignment wrapText="1"/>
    </xf>
    <xf numFmtId="177" fontId="148" fillId="3" borderId="1" xfId="7" applyNumberFormat="1" applyFont="1" applyFill="1" applyBorder="1" applyAlignment="1">
      <alignment horizontal="center" vertical="center"/>
    </xf>
    <xf numFmtId="165" fontId="2" fillId="0" borderId="1" xfId="0" applyNumberFormat="1" applyFont="1" applyBorder="1" applyAlignment="1">
      <alignment wrapText="1"/>
    </xf>
    <xf numFmtId="175" fontId="2" fillId="3" borderId="0" xfId="0" applyNumberFormat="1" applyFont="1" applyFill="1" applyBorder="1" applyAlignment="1">
      <alignment horizontal="center" vertical="center" wrapText="1"/>
    </xf>
    <xf numFmtId="169" fontId="2" fillId="3" borderId="0" xfId="7" applyFont="1" applyFill="1" applyBorder="1" applyAlignment="1">
      <alignment horizontal="center"/>
    </xf>
    <xf numFmtId="0" fontId="2" fillId="3" borderId="0" xfId="0" applyFont="1" applyFill="1" applyBorder="1" applyAlignment="1">
      <alignment horizontal="center" vertical="center" wrapText="1"/>
    </xf>
    <xf numFmtId="169" fontId="2" fillId="3" borderId="0" xfId="7" applyFont="1" applyFill="1" applyBorder="1" applyAlignment="1">
      <alignment horizontal="center" vertical="center" wrapText="1"/>
    </xf>
    <xf numFmtId="0" fontId="0" fillId="9" borderId="0" xfId="0" applyFill="1"/>
    <xf numFmtId="0" fontId="1" fillId="0" borderId="0" xfId="0" applyFont="1"/>
    <xf numFmtId="0" fontId="55" fillId="0" borderId="0" xfId="0" applyFont="1" applyAlignment="1">
      <alignment wrapText="1"/>
    </xf>
    <xf numFmtId="0" fontId="0" fillId="3" borderId="0" xfId="0" applyFill="1" applyBorder="1" applyAlignment="1">
      <alignment horizontal="center" vertical="center"/>
    </xf>
    <xf numFmtId="0" fontId="0" fillId="3" borderId="0" xfId="0" applyFill="1" applyBorder="1"/>
    <xf numFmtId="0" fontId="138" fillId="0" borderId="8" xfId="0" applyFont="1" applyFill="1" applyBorder="1" applyAlignment="1">
      <alignment horizontal="center" vertical="center" wrapText="1"/>
    </xf>
    <xf numFmtId="0" fontId="49" fillId="12" borderId="1" xfId="14" applyNumberFormat="1" applyFont="1" applyFill="1" applyBorder="1" applyAlignment="1">
      <alignment horizontal="center" vertical="center" wrapText="1" readingOrder="1"/>
    </xf>
    <xf numFmtId="0" fontId="49" fillId="12" borderId="6" xfId="14" applyNumberFormat="1" applyFont="1" applyFill="1" applyBorder="1" applyAlignment="1">
      <alignment horizontal="center" vertical="center" wrapText="1" readingOrder="1"/>
    </xf>
    <xf numFmtId="0" fontId="17" fillId="3" borderId="1" xfId="14" applyNumberFormat="1" applyFont="1" applyFill="1" applyBorder="1" applyAlignment="1">
      <alignment horizontal="center" vertical="center" wrapText="1" readingOrder="1"/>
    </xf>
    <xf numFmtId="0" fontId="17" fillId="3" borderId="5" xfId="14" applyNumberFormat="1" applyFont="1" applyFill="1" applyBorder="1" applyAlignment="1">
      <alignment horizontal="center" vertical="center" wrapText="1" readingOrder="1"/>
    </xf>
    <xf numFmtId="0" fontId="17" fillId="3" borderId="7" xfId="14" applyNumberFormat="1" applyFont="1" applyFill="1" applyBorder="1" applyAlignment="1">
      <alignment horizontal="center" vertical="center" wrapText="1" readingOrder="1"/>
    </xf>
    <xf numFmtId="0" fontId="17" fillId="3" borderId="12" xfId="14" applyNumberFormat="1" applyFont="1" applyFill="1" applyBorder="1" applyAlignment="1">
      <alignment horizontal="center" vertical="center" wrapText="1" readingOrder="1"/>
    </xf>
    <xf numFmtId="39" fontId="9" fillId="3" borderId="1" xfId="14" applyNumberFormat="1" applyFont="1" applyFill="1" applyBorder="1" applyAlignment="1">
      <alignment horizontal="right" vertical="center" wrapText="1" readingOrder="1"/>
    </xf>
    <xf numFmtId="0" fontId="38" fillId="12" borderId="5" xfId="14" applyNumberFormat="1" applyFont="1" applyFill="1" applyBorder="1" applyAlignment="1">
      <alignment horizontal="center" vertical="center" wrapText="1" readingOrder="1"/>
    </xf>
    <xf numFmtId="0" fontId="38" fillId="12" borderId="7" xfId="14" applyNumberFormat="1" applyFont="1" applyFill="1" applyBorder="1" applyAlignment="1">
      <alignment horizontal="center" vertical="center" wrapText="1" readingOrder="1"/>
    </xf>
    <xf numFmtId="0" fontId="38" fillId="12" borderId="12" xfId="14" applyNumberFormat="1" applyFont="1" applyFill="1" applyBorder="1" applyAlignment="1">
      <alignment horizontal="center" vertical="center" wrapText="1" readingOrder="1"/>
    </xf>
    <xf numFmtId="0" fontId="64" fillId="0" borderId="0" xfId="0" applyFont="1" applyBorder="1" applyAlignment="1">
      <alignment horizontal="center" vertical="center" wrapText="1"/>
    </xf>
    <xf numFmtId="0" fontId="31" fillId="0" borderId="0" xfId="0" applyFont="1" applyBorder="1" applyAlignment="1">
      <alignment horizontal="left" vertical="center" wrapText="1"/>
    </xf>
    <xf numFmtId="0" fontId="62" fillId="0" borderId="1" xfId="0" applyFont="1" applyBorder="1" applyAlignment="1">
      <alignment horizontal="center" vertical="center" wrapText="1"/>
    </xf>
    <xf numFmtId="0" fontId="57" fillId="0" borderId="1" xfId="0" applyFont="1" applyFill="1" applyBorder="1" applyAlignment="1">
      <alignment horizontal="center" vertical="center" wrapText="1"/>
    </xf>
    <xf numFmtId="0" fontId="62" fillId="0" borderId="1" xfId="0" quotePrefix="1" applyFont="1" applyBorder="1" applyAlignment="1">
      <alignment horizontal="center" vertical="center" wrapText="1"/>
    </xf>
    <xf numFmtId="0" fontId="62" fillId="0" borderId="0" xfId="0" quotePrefix="1" applyFont="1" applyAlignment="1">
      <alignment horizontal="center" vertical="center"/>
    </xf>
    <xf numFmtId="0" fontId="31" fillId="0" borderId="15" xfId="0" applyFont="1" applyBorder="1" applyAlignment="1">
      <alignment horizontal="left" vertical="center" wrapText="1"/>
    </xf>
    <xf numFmtId="0" fontId="20" fillId="3" borderId="5"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62" fillId="0" borderId="5" xfId="0" applyFont="1" applyBorder="1" applyAlignment="1">
      <alignment horizontal="left" vertical="center" wrapText="1"/>
    </xf>
    <xf numFmtId="0" fontId="62" fillId="0" borderId="12" xfId="0" applyFont="1" applyBorder="1" applyAlignment="1">
      <alignment horizontal="left" vertical="center" wrapText="1"/>
    </xf>
    <xf numFmtId="0" fontId="60" fillId="0" borderId="13" xfId="0" applyFont="1" applyFill="1" applyBorder="1" applyAlignment="1">
      <alignment horizontal="center" vertical="center" wrapText="1"/>
    </xf>
    <xf numFmtId="0" fontId="60" fillId="0" borderId="20" xfId="0" applyFont="1" applyFill="1" applyBorder="1" applyAlignment="1">
      <alignment horizontal="center" vertical="center" wrapText="1"/>
    </xf>
    <xf numFmtId="0" fontId="60" fillId="0" borderId="14"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60" fillId="0" borderId="0"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60" fillId="0" borderId="19" xfId="0" applyFont="1" applyFill="1" applyBorder="1" applyAlignment="1">
      <alignment horizontal="center" vertical="center" wrapText="1"/>
    </xf>
    <xf numFmtId="0" fontId="60" fillId="0" borderId="18" xfId="0" applyFont="1" applyFill="1" applyBorder="1" applyAlignment="1">
      <alignment horizontal="center" vertical="center" wrapText="1"/>
    </xf>
    <xf numFmtId="0" fontId="60" fillId="0" borderId="17" xfId="0" applyFont="1" applyFill="1" applyBorder="1" applyAlignment="1">
      <alignment horizontal="center" vertical="center" wrapText="1"/>
    </xf>
    <xf numFmtId="172" fontId="60" fillId="3" borderId="5" xfId="0" applyNumberFormat="1" applyFont="1" applyFill="1" applyBorder="1" applyAlignment="1">
      <alignment horizontal="left" vertical="center" wrapText="1"/>
    </xf>
    <xf numFmtId="172" fontId="60" fillId="3" borderId="12" xfId="0" applyNumberFormat="1" applyFont="1" applyFill="1" applyBorder="1" applyAlignment="1">
      <alignment horizontal="left" vertical="center" wrapText="1"/>
    </xf>
    <xf numFmtId="173" fontId="63" fillId="3" borderId="1" xfId="0" applyNumberFormat="1" applyFont="1" applyFill="1" applyBorder="1" applyAlignment="1">
      <alignment horizontal="right" vertical="center" wrapText="1"/>
    </xf>
    <xf numFmtId="169" fontId="63" fillId="3" borderId="1" xfId="9" applyFont="1" applyFill="1" applyBorder="1" applyAlignment="1">
      <alignment horizontal="right" vertical="center" wrapText="1"/>
    </xf>
    <xf numFmtId="14" fontId="65" fillId="4" borderId="5" xfId="0" applyNumberFormat="1" applyFont="1" applyFill="1" applyBorder="1" applyAlignment="1">
      <alignment horizontal="right" vertical="center" wrapText="1"/>
    </xf>
    <xf numFmtId="14" fontId="65" fillId="4" borderId="12" xfId="0" applyNumberFormat="1" applyFont="1" applyFill="1" applyBorder="1" applyAlignment="1">
      <alignment horizontal="right" vertical="center" wrapText="1"/>
    </xf>
    <xf numFmtId="0" fontId="8" fillId="0" borderId="0" xfId="14" applyFont="1" applyFill="1" applyBorder="1" applyAlignment="1">
      <alignment horizontal="center"/>
    </xf>
    <xf numFmtId="0" fontId="15" fillId="0" borderId="0" xfId="14" applyFont="1" applyFill="1" applyBorder="1" applyAlignment="1">
      <alignment horizontal="center"/>
    </xf>
    <xf numFmtId="169" fontId="19" fillId="0" borderId="0" xfId="7" applyFont="1" applyFill="1" applyBorder="1" applyAlignment="1">
      <alignment horizontal="center"/>
    </xf>
    <xf numFmtId="0" fontId="61" fillId="14" borderId="1" xfId="14" applyNumberFormat="1" applyFont="1" applyFill="1" applyBorder="1" applyAlignment="1">
      <alignment horizontal="center" vertical="center" wrapText="1" readingOrder="1"/>
    </xf>
    <xf numFmtId="0" fontId="61" fillId="15" borderId="1" xfId="14" applyNumberFormat="1" applyFont="1" applyFill="1" applyBorder="1" applyAlignment="1">
      <alignment horizontal="center" vertical="center" wrapText="1" readingOrder="1"/>
    </xf>
    <xf numFmtId="0" fontId="61" fillId="13" borderId="1" xfId="14" applyNumberFormat="1" applyFont="1" applyFill="1" applyBorder="1" applyAlignment="1">
      <alignment horizontal="center" vertical="center" wrapText="1" readingOrder="1"/>
    </xf>
    <xf numFmtId="0" fontId="44" fillId="14" borderId="5" xfId="14" applyNumberFormat="1" applyFont="1" applyFill="1" applyBorder="1" applyAlignment="1">
      <alignment horizontal="center" vertical="center" wrapText="1" readingOrder="1"/>
    </xf>
    <xf numFmtId="0" fontId="44" fillId="14" borderId="7" xfId="14" applyNumberFormat="1" applyFont="1" applyFill="1" applyBorder="1" applyAlignment="1">
      <alignment horizontal="center" vertical="center" wrapText="1" readingOrder="1"/>
    </xf>
    <xf numFmtId="0" fontId="73" fillId="13" borderId="19" xfId="14" applyNumberFormat="1" applyFont="1" applyFill="1" applyBorder="1" applyAlignment="1">
      <alignment horizontal="center" vertical="center" wrapText="1" readingOrder="1"/>
    </xf>
    <xf numFmtId="0" fontId="73" fillId="13" borderId="18" xfId="14" applyNumberFormat="1" applyFont="1" applyFill="1" applyBorder="1" applyAlignment="1">
      <alignment horizontal="center" vertical="center" wrapText="1" readingOrder="1"/>
    </xf>
    <xf numFmtId="0" fontId="76" fillId="12" borderId="0" xfId="0" applyFont="1" applyFill="1" applyBorder="1" applyAlignment="1">
      <alignment horizontal="center" vertical="center" wrapText="1"/>
    </xf>
    <xf numFmtId="0" fontId="76" fillId="12" borderId="18" xfId="0" applyFont="1" applyFill="1" applyBorder="1" applyAlignment="1">
      <alignment horizontal="center" vertical="center" wrapText="1"/>
    </xf>
    <xf numFmtId="177" fontId="77" fillId="4" borderId="1" xfId="7" applyNumberFormat="1" applyFont="1" applyFill="1" applyBorder="1" applyAlignment="1">
      <alignment horizontal="center" vertical="center" wrapText="1"/>
    </xf>
    <xf numFmtId="0" fontId="115" fillId="3" borderId="0" xfId="0" applyFont="1" applyFill="1" applyBorder="1" applyAlignment="1">
      <alignment horizontal="center" vertical="center" wrapText="1"/>
    </xf>
    <xf numFmtId="178" fontId="105" fillId="3" borderId="1" xfId="14" applyNumberFormat="1" applyFont="1" applyFill="1" applyBorder="1" applyAlignment="1">
      <alignment horizontal="center" vertical="center" wrapText="1"/>
    </xf>
    <xf numFmtId="0" fontId="105" fillId="3" borderId="1" xfId="14" applyFont="1" applyFill="1" applyBorder="1" applyAlignment="1">
      <alignment horizontal="center" vertical="center" wrapText="1"/>
    </xf>
    <xf numFmtId="178" fontId="105" fillId="3" borderId="5" xfId="14" applyNumberFormat="1" applyFont="1" applyFill="1" applyBorder="1" applyAlignment="1">
      <alignment horizontal="center" wrapText="1"/>
    </xf>
    <xf numFmtId="0" fontId="105" fillId="3" borderId="12" xfId="14" applyFont="1" applyFill="1" applyBorder="1" applyAlignment="1">
      <alignment horizontal="center" wrapText="1"/>
    </xf>
    <xf numFmtId="39" fontId="36" fillId="5" borderId="1" xfId="14" applyNumberFormat="1" applyFont="1" applyFill="1" applyBorder="1" applyAlignment="1">
      <alignment horizontal="center" vertical="center" wrapText="1" readingOrder="1"/>
    </xf>
    <xf numFmtId="0" fontId="13" fillId="25" borderId="5" xfId="14" applyNumberFormat="1" applyFont="1" applyFill="1" applyBorder="1" applyAlignment="1">
      <alignment horizontal="center" vertical="center" wrapText="1" readingOrder="1"/>
    </xf>
    <xf numFmtId="0" fontId="13" fillId="25" borderId="7" xfId="14" applyNumberFormat="1" applyFont="1" applyFill="1" applyBorder="1" applyAlignment="1">
      <alignment horizontal="center" vertical="center" wrapText="1" readingOrder="1"/>
    </xf>
    <xf numFmtId="0" fontId="13" fillId="25" borderId="12" xfId="14" applyNumberFormat="1" applyFont="1" applyFill="1" applyBorder="1" applyAlignment="1">
      <alignment horizontal="center" vertical="center" wrapText="1" readingOrder="1"/>
    </xf>
    <xf numFmtId="0" fontId="113" fillId="4" borderId="5" xfId="14" applyFont="1" applyFill="1" applyBorder="1" applyAlignment="1">
      <alignment horizontal="center" vertical="center"/>
    </xf>
    <xf numFmtId="0" fontId="113" fillId="4" borderId="7" xfId="14" applyFont="1" applyFill="1" applyBorder="1" applyAlignment="1">
      <alignment horizontal="center" vertical="center"/>
    </xf>
    <xf numFmtId="39" fontId="105" fillId="4" borderId="19" xfId="14" applyNumberFormat="1" applyFont="1" applyFill="1" applyBorder="1" applyAlignment="1">
      <alignment horizontal="center" vertical="center" wrapText="1"/>
    </xf>
    <xf numFmtId="39" fontId="105" fillId="4" borderId="18" xfId="14" applyNumberFormat="1" applyFont="1" applyFill="1" applyBorder="1" applyAlignment="1">
      <alignment horizontal="center" vertical="center" wrapText="1"/>
    </xf>
    <xf numFmtId="39" fontId="105" fillId="4" borderId="17" xfId="14" applyNumberFormat="1" applyFont="1" applyFill="1" applyBorder="1" applyAlignment="1">
      <alignment horizontal="center" vertical="center" wrapText="1"/>
    </xf>
    <xf numFmtId="0" fontId="105" fillId="4" borderId="1" xfId="14" applyFont="1" applyFill="1" applyBorder="1" applyAlignment="1">
      <alignment horizontal="center" vertical="center" wrapText="1"/>
    </xf>
    <xf numFmtId="0" fontId="89" fillId="5" borderId="13" xfId="14" applyNumberFormat="1" applyFont="1" applyFill="1" applyBorder="1" applyAlignment="1">
      <alignment horizontal="center" vertical="center" wrapText="1" readingOrder="1"/>
    </xf>
    <xf numFmtId="0" fontId="89" fillId="5" borderId="20" xfId="14" applyNumberFormat="1" applyFont="1" applyFill="1" applyBorder="1" applyAlignment="1">
      <alignment horizontal="center" vertical="center" wrapText="1" readingOrder="1"/>
    </xf>
    <xf numFmtId="0" fontId="89" fillId="5" borderId="14" xfId="14" applyNumberFormat="1" applyFont="1" applyFill="1" applyBorder="1" applyAlignment="1">
      <alignment horizontal="center" vertical="center" wrapText="1" readingOrder="1"/>
    </xf>
    <xf numFmtId="0" fontId="89" fillId="5" borderId="4" xfId="14" applyNumberFormat="1" applyFont="1" applyFill="1" applyBorder="1" applyAlignment="1">
      <alignment horizontal="center" vertical="center" wrapText="1" readingOrder="1"/>
    </xf>
    <xf numFmtId="0" fontId="89" fillId="5" borderId="0" xfId="14" applyNumberFormat="1" applyFont="1" applyFill="1" applyBorder="1" applyAlignment="1">
      <alignment horizontal="center" vertical="center" wrapText="1" readingOrder="1"/>
    </xf>
    <xf numFmtId="0" fontId="89" fillId="5" borderId="2" xfId="14" applyNumberFormat="1" applyFont="1" applyFill="1" applyBorder="1" applyAlignment="1">
      <alignment horizontal="center" vertical="center" wrapText="1" readingOrder="1"/>
    </xf>
    <xf numFmtId="0" fontId="89" fillId="5" borderId="19" xfId="14" applyNumberFormat="1" applyFont="1" applyFill="1" applyBorder="1" applyAlignment="1">
      <alignment horizontal="center" vertical="center" wrapText="1" readingOrder="1"/>
    </xf>
    <xf numFmtId="0" fontId="89" fillId="5" borderId="18" xfId="14" applyNumberFormat="1" applyFont="1" applyFill="1" applyBorder="1" applyAlignment="1">
      <alignment horizontal="center" vertical="center" wrapText="1" readingOrder="1"/>
    </xf>
    <xf numFmtId="0" fontId="89" fillId="5" borderId="17" xfId="14" applyNumberFormat="1" applyFont="1" applyFill="1" applyBorder="1" applyAlignment="1">
      <alignment horizontal="center" vertical="center" wrapText="1" readingOrder="1"/>
    </xf>
    <xf numFmtId="39" fontId="105" fillId="4" borderId="1" xfId="14" applyNumberFormat="1" applyFont="1" applyFill="1" applyBorder="1" applyAlignment="1">
      <alignment horizontal="center" vertical="center" wrapText="1"/>
    </xf>
    <xf numFmtId="39" fontId="105" fillId="3" borderId="19" xfId="14" applyNumberFormat="1" applyFont="1" applyFill="1" applyBorder="1" applyAlignment="1">
      <alignment horizontal="center" vertical="center"/>
    </xf>
    <xf numFmtId="39" fontId="105" fillId="3" borderId="18" xfId="14" applyNumberFormat="1" applyFont="1" applyFill="1" applyBorder="1" applyAlignment="1">
      <alignment horizontal="center" vertical="center"/>
    </xf>
    <xf numFmtId="39" fontId="105" fillId="3" borderId="17" xfId="14" applyNumberFormat="1" applyFont="1" applyFill="1" applyBorder="1" applyAlignment="1">
      <alignment horizontal="center" vertical="center"/>
    </xf>
    <xf numFmtId="9" fontId="113" fillId="3" borderId="5" xfId="17" applyFont="1" applyFill="1" applyBorder="1" applyAlignment="1">
      <alignment horizontal="center" vertical="center"/>
    </xf>
    <xf numFmtId="9" fontId="113" fillId="3" borderId="7" xfId="17" applyFont="1" applyFill="1" applyBorder="1" applyAlignment="1">
      <alignment horizontal="center" vertical="center"/>
    </xf>
    <xf numFmtId="9" fontId="113" fillId="3" borderId="12" xfId="17" applyFont="1" applyFill="1" applyBorder="1" applyAlignment="1">
      <alignment horizontal="center"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12" xfId="0" applyFont="1" applyBorder="1" applyAlignment="1">
      <alignment horizontal="center" vertical="center"/>
    </xf>
    <xf numFmtId="169" fontId="140" fillId="3" borderId="5" xfId="7" applyFont="1" applyFill="1" applyBorder="1" applyAlignment="1">
      <alignment horizontal="center"/>
    </xf>
    <xf numFmtId="169" fontId="140" fillId="3" borderId="7" xfId="7" applyFont="1" applyFill="1" applyBorder="1" applyAlignment="1">
      <alignment horizontal="center"/>
    </xf>
    <xf numFmtId="169" fontId="55" fillId="3" borderId="1" xfId="7" applyFont="1" applyFill="1" applyBorder="1" applyAlignment="1">
      <alignment horizontal="center"/>
    </xf>
    <xf numFmtId="169" fontId="55" fillId="0" borderId="5" xfId="7" applyFont="1" applyBorder="1" applyAlignment="1">
      <alignment horizontal="center" vertical="center"/>
    </xf>
    <xf numFmtId="169" fontId="55" fillId="0" borderId="12" xfId="7" applyFont="1" applyBorder="1" applyAlignment="1">
      <alignment horizontal="center" vertical="center"/>
    </xf>
    <xf numFmtId="0" fontId="20" fillId="3" borderId="5" xfId="0" applyNumberFormat="1" applyFont="1" applyFill="1" applyBorder="1" applyAlignment="1">
      <alignment horizontal="center" vertical="center" wrapText="1" readingOrder="1"/>
    </xf>
    <xf numFmtId="0" fontId="20" fillId="3" borderId="7" xfId="0" applyNumberFormat="1" applyFont="1" applyFill="1" applyBorder="1" applyAlignment="1">
      <alignment horizontal="center" vertical="center" wrapText="1" readingOrder="1"/>
    </xf>
    <xf numFmtId="0" fontId="20" fillId="3" borderId="12" xfId="0" applyNumberFormat="1" applyFont="1" applyFill="1" applyBorder="1" applyAlignment="1">
      <alignment horizontal="center" vertical="center" wrapText="1" readingOrder="1"/>
    </xf>
    <xf numFmtId="0" fontId="147" fillId="0" borderId="5" xfId="0" applyFont="1" applyBorder="1" applyAlignment="1">
      <alignment horizontal="center"/>
    </xf>
    <xf numFmtId="0" fontId="147" fillId="0" borderId="7" xfId="0" applyFont="1" applyBorder="1" applyAlignment="1">
      <alignment horizontal="center"/>
    </xf>
    <xf numFmtId="0" fontId="147" fillId="0" borderId="12" xfId="0" applyFont="1" applyBorder="1" applyAlignment="1">
      <alignment horizontal="center"/>
    </xf>
    <xf numFmtId="0" fontId="31" fillId="4" borderId="1" xfId="0" applyFont="1" applyFill="1" applyBorder="1" applyAlignment="1">
      <alignment horizontal="center"/>
    </xf>
    <xf numFmtId="0" fontId="31" fillId="4" borderId="5" xfId="0" applyFont="1" applyFill="1" applyBorder="1" applyAlignment="1">
      <alignment horizontal="center"/>
    </xf>
    <xf numFmtId="0" fontId="31" fillId="4" borderId="7" xfId="0" applyFont="1" applyFill="1" applyBorder="1" applyAlignment="1">
      <alignment horizontal="center"/>
    </xf>
    <xf numFmtId="0" fontId="31" fillId="4" borderId="12" xfId="0" applyFont="1" applyFill="1" applyBorder="1" applyAlignment="1">
      <alignment horizontal="center"/>
    </xf>
    <xf numFmtId="0" fontId="135" fillId="0" borderId="0" xfId="0" applyFont="1" applyBorder="1" applyAlignment="1">
      <alignment horizontal="center" vertical="center" wrapText="1"/>
    </xf>
    <xf numFmtId="169" fontId="2" fillId="3" borderId="0" xfId="7" applyFont="1" applyFill="1" applyBorder="1" applyAlignment="1">
      <alignment horizontal="center"/>
    </xf>
    <xf numFmtId="169" fontId="2" fillId="3" borderId="0" xfId="7" applyFont="1" applyFill="1" applyBorder="1" applyAlignment="1">
      <alignment horizontal="center" vertical="center" wrapText="1"/>
    </xf>
    <xf numFmtId="172" fontId="127" fillId="3" borderId="5" xfId="0" applyNumberFormat="1" applyFont="1" applyFill="1" applyBorder="1" applyAlignment="1">
      <alignment horizontal="left" vertical="center" wrapText="1"/>
    </xf>
    <xf numFmtId="172" fontId="127" fillId="3" borderId="12" xfId="0" applyNumberFormat="1" applyFont="1" applyFill="1" applyBorder="1" applyAlignment="1">
      <alignment horizontal="left" vertical="center" wrapText="1"/>
    </xf>
    <xf numFmtId="0" fontId="119" fillId="0" borderId="8" xfId="0" applyFont="1" applyFill="1" applyBorder="1" applyAlignment="1">
      <alignment horizontal="center" vertical="center" wrapText="1"/>
    </xf>
    <xf numFmtId="0" fontId="138" fillId="0" borderId="8"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174" fontId="20" fillId="0" borderId="1" xfId="0" applyNumberFormat="1" applyFont="1" applyFill="1" applyBorder="1" applyAlignment="1">
      <alignment horizontal="center" vertical="center" wrapText="1"/>
    </xf>
    <xf numFmtId="0" fontId="119" fillId="0" borderId="6" xfId="0" applyFont="1" applyFill="1" applyBorder="1" applyAlignment="1">
      <alignment horizontal="center" vertical="center" wrapText="1"/>
    </xf>
    <xf numFmtId="0" fontId="20" fillId="0" borderId="6" xfId="0" applyFont="1" applyFill="1" applyBorder="1" applyAlignment="1">
      <alignment vertical="center" wrapText="1"/>
    </xf>
    <xf numFmtId="0" fontId="20" fillId="0" borderId="6" xfId="0" applyFont="1" applyFill="1" applyBorder="1" applyAlignment="1">
      <alignment horizontal="center" vertical="center" wrapText="1"/>
    </xf>
    <xf numFmtId="14" fontId="20" fillId="0" borderId="6" xfId="0" applyNumberFormat="1" applyFont="1" applyFill="1" applyBorder="1" applyAlignment="1">
      <alignment horizontal="center" vertical="center" wrapText="1"/>
    </xf>
    <xf numFmtId="174" fontId="20" fillId="0" borderId="6" xfId="0" applyNumberFormat="1" applyFont="1" applyFill="1" applyBorder="1" applyAlignment="1">
      <alignment vertical="center" wrapText="1"/>
    </xf>
    <xf numFmtId="173" fontId="120" fillId="0" borderId="6" xfId="3" applyNumberFormat="1" applyFont="1" applyFill="1" applyBorder="1" applyAlignment="1">
      <alignment vertical="center" wrapText="1"/>
    </xf>
    <xf numFmtId="166" fontId="120" fillId="0" borderId="6" xfId="11" applyNumberFormat="1" applyFont="1" applyFill="1" applyBorder="1" applyAlignment="1">
      <alignment vertical="center" wrapText="1"/>
    </xf>
    <xf numFmtId="182" fontId="20" fillId="0" borderId="1" xfId="0" applyNumberFormat="1" applyFont="1" applyFill="1" applyBorder="1" applyAlignment="1">
      <alignment horizontal="center" vertical="center" wrapText="1"/>
    </xf>
    <xf numFmtId="173" fontId="120" fillId="0" borderId="1" xfId="3" applyNumberFormat="1" applyFont="1" applyFill="1" applyBorder="1" applyAlignment="1">
      <alignment vertical="center" wrapText="1"/>
    </xf>
    <xf numFmtId="166" fontId="120" fillId="0" borderId="1" xfId="11" applyNumberFormat="1" applyFont="1" applyFill="1" applyBorder="1" applyAlignment="1">
      <alignment vertical="center" wrapText="1"/>
    </xf>
    <xf numFmtId="173" fontId="133" fillId="0" borderId="1" xfId="3" applyNumberFormat="1" applyFont="1" applyFill="1" applyBorder="1" applyAlignment="1">
      <alignment vertical="center" wrapText="1"/>
    </xf>
    <xf numFmtId="166" fontId="133" fillId="0" borderId="1" xfId="11" applyNumberFormat="1" applyFont="1" applyFill="1" applyBorder="1" applyAlignment="1">
      <alignment vertical="center" wrapText="1"/>
    </xf>
    <xf numFmtId="0" fontId="20"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14" fontId="20" fillId="0" borderId="6" xfId="0" applyNumberFormat="1" applyFont="1" applyFill="1" applyBorder="1" applyAlignment="1">
      <alignment horizontal="center" vertical="center" wrapText="1"/>
    </xf>
    <xf numFmtId="174" fontId="20" fillId="0" borderId="6" xfId="0" applyNumberFormat="1" applyFont="1" applyFill="1" applyBorder="1" applyAlignment="1">
      <alignment horizontal="center" vertical="center" wrapText="1"/>
    </xf>
    <xf numFmtId="0" fontId="119" fillId="0" borderId="9" xfId="0" applyFont="1" applyFill="1" applyBorder="1" applyAlignment="1">
      <alignment horizontal="center" vertical="center" wrapText="1"/>
    </xf>
    <xf numFmtId="0" fontId="20" fillId="0" borderId="9" xfId="0" applyFont="1" applyFill="1" applyBorder="1" applyAlignment="1">
      <alignment horizontal="center" vertical="center" wrapText="1"/>
    </xf>
    <xf numFmtId="14" fontId="20" fillId="0" borderId="9" xfId="0" applyNumberFormat="1" applyFont="1" applyFill="1" applyBorder="1" applyAlignment="1">
      <alignment horizontal="center" vertical="center" wrapText="1"/>
    </xf>
    <xf numFmtId="174" fontId="20" fillId="0" borderId="9" xfId="0" applyNumberFormat="1" applyFont="1" applyFill="1" applyBorder="1" applyAlignment="1">
      <alignment horizontal="center" vertical="center" wrapText="1"/>
    </xf>
    <xf numFmtId="0" fontId="20" fillId="0" borderId="8" xfId="0" applyFont="1" applyFill="1" applyBorder="1" applyAlignment="1">
      <alignment horizontal="center" vertical="center" wrapText="1"/>
    </xf>
    <xf numFmtId="173" fontId="133" fillId="0" borderId="8" xfId="3" applyNumberFormat="1" applyFont="1" applyFill="1" applyBorder="1" applyAlignment="1">
      <alignment vertical="center" wrapText="1"/>
    </xf>
    <xf numFmtId="0" fontId="132" fillId="0" borderId="8" xfId="0" applyFont="1" applyFill="1" applyBorder="1" applyAlignment="1">
      <alignment horizontal="center" vertical="center" wrapText="1"/>
    </xf>
    <xf numFmtId="0" fontId="119" fillId="0" borderId="6" xfId="0" applyFont="1" applyFill="1" applyBorder="1" applyAlignment="1">
      <alignment horizontal="center" vertical="center" wrapText="1"/>
    </xf>
    <xf numFmtId="174" fontId="20" fillId="0" borderId="6" xfId="0" applyNumberFormat="1" applyFont="1" applyFill="1" applyBorder="1" applyAlignment="1">
      <alignment horizontal="center" vertical="center" wrapText="1"/>
    </xf>
    <xf numFmtId="173" fontId="120" fillId="0" borderId="6" xfId="3" applyNumberFormat="1" applyFont="1" applyFill="1" applyBorder="1" applyAlignment="1">
      <alignment horizontal="center" vertical="center"/>
    </xf>
    <xf numFmtId="173" fontId="120" fillId="0" borderId="6" xfId="3" applyNumberFormat="1" applyFont="1" applyFill="1" applyBorder="1" applyAlignment="1">
      <alignment horizontal="center" vertical="center" wrapText="1"/>
    </xf>
    <xf numFmtId="166" fontId="120" fillId="0" borderId="6" xfId="11" applyNumberFormat="1" applyFont="1" applyFill="1" applyBorder="1" applyAlignment="1">
      <alignment horizontal="center" vertical="center" wrapText="1"/>
    </xf>
    <xf numFmtId="0" fontId="20" fillId="0" borderId="6" xfId="0" applyFont="1" applyFill="1" applyBorder="1" applyAlignment="1">
      <alignment vertical="center"/>
    </xf>
    <xf numFmtId="0" fontId="20" fillId="0" borderId="6" xfId="0" applyFont="1" applyFill="1" applyBorder="1" applyAlignment="1">
      <alignment horizontal="center" vertical="center"/>
    </xf>
    <xf numFmtId="0" fontId="20" fillId="0" borderId="14" xfId="0" applyFont="1" applyFill="1" applyBorder="1" applyAlignment="1">
      <alignment horizontal="center" vertical="center" wrapText="1"/>
    </xf>
    <xf numFmtId="185" fontId="20" fillId="0" borderId="6" xfId="0" applyNumberFormat="1" applyFont="1" applyFill="1" applyBorder="1" applyAlignment="1">
      <alignment horizontal="center" vertical="center" wrapText="1"/>
    </xf>
    <xf numFmtId="173" fontId="120" fillId="0" borderId="6" xfId="3" applyNumberFormat="1" applyFont="1" applyFill="1" applyBorder="1" applyAlignment="1">
      <alignment horizontal="right" vertical="center" wrapText="1"/>
    </xf>
    <xf numFmtId="185" fontId="20" fillId="0" borderId="1" xfId="0" applyNumberFormat="1" applyFont="1" applyFill="1" applyBorder="1" applyAlignment="1">
      <alignment horizontal="center" vertical="center" wrapText="1"/>
    </xf>
    <xf numFmtId="0" fontId="119" fillId="0" borderId="9" xfId="0" applyFont="1" applyFill="1" applyBorder="1" applyAlignment="1">
      <alignment horizontal="center" vertical="center" wrapText="1"/>
    </xf>
    <xf numFmtId="0" fontId="138" fillId="0" borderId="6" xfId="0" applyNumberFormat="1" applyFont="1" applyFill="1" applyBorder="1" applyAlignment="1">
      <alignment horizontal="center" vertical="center" wrapText="1"/>
    </xf>
    <xf numFmtId="0" fontId="138" fillId="0" borderId="8" xfId="0" applyNumberFormat="1" applyFont="1" applyFill="1" applyBorder="1" applyAlignment="1">
      <alignment horizontal="center" vertical="center" wrapText="1"/>
    </xf>
    <xf numFmtId="0" fontId="144" fillId="0" borderId="0" xfId="0" applyFont="1" applyFill="1"/>
    <xf numFmtId="0" fontId="138" fillId="0" borderId="6" xfId="0" applyFont="1" applyFill="1" applyBorder="1" applyAlignment="1">
      <alignment horizontal="center" vertical="center" wrapText="1"/>
    </xf>
    <xf numFmtId="14" fontId="138" fillId="0" borderId="6" xfId="0" applyNumberFormat="1" applyFont="1" applyFill="1" applyBorder="1" applyAlignment="1">
      <alignment horizontal="center" vertical="center" wrapText="1"/>
    </xf>
    <xf numFmtId="166" fontId="138" fillId="0" borderId="6" xfId="18" applyFont="1" applyFill="1" applyBorder="1" applyAlignment="1">
      <alignment horizontal="center" vertical="center" wrapText="1"/>
    </xf>
    <xf numFmtId="14" fontId="138" fillId="0" borderId="8" xfId="0" applyNumberFormat="1" applyFont="1" applyFill="1" applyBorder="1" applyAlignment="1">
      <alignment horizontal="center" vertical="center" wrapText="1"/>
    </xf>
    <xf numFmtId="166" fontId="138" fillId="0" borderId="8" xfId="18" applyFont="1" applyFill="1" applyBorder="1" applyAlignment="1">
      <alignment horizontal="center" vertical="center" wrapText="1"/>
    </xf>
    <xf numFmtId="166" fontId="138" fillId="0" borderId="1" xfId="18" applyFont="1" applyFill="1" applyBorder="1" applyAlignment="1">
      <alignment vertical="center" wrapText="1"/>
    </xf>
    <xf numFmtId="0" fontId="138" fillId="0" borderId="1" xfId="0" applyFont="1" applyFill="1" applyBorder="1" applyAlignment="1">
      <alignment vertical="center" wrapText="1"/>
    </xf>
    <xf numFmtId="166" fontId="138" fillId="0" borderId="6" xfId="18" applyFont="1" applyFill="1" applyBorder="1" applyAlignment="1">
      <alignment vertical="center" wrapText="1"/>
    </xf>
    <xf numFmtId="166" fontId="138" fillId="0" borderId="8" xfId="18" applyFont="1" applyFill="1" applyBorder="1" applyAlignment="1">
      <alignment vertical="center" wrapText="1"/>
    </xf>
    <xf numFmtId="169" fontId="138" fillId="0" borderId="1" xfId="7" applyFont="1" applyFill="1" applyBorder="1" applyAlignment="1">
      <alignment horizontal="center" vertical="center" wrapText="1"/>
    </xf>
    <xf numFmtId="184" fontId="138" fillId="0" borderId="1" xfId="0" applyNumberFormat="1" applyFont="1" applyFill="1" applyBorder="1" applyAlignment="1">
      <alignment horizontal="center" vertical="center" wrapText="1"/>
    </xf>
    <xf numFmtId="0" fontId="138" fillId="0" borderId="1" xfId="0" applyNumberFormat="1" applyFont="1" applyFill="1" applyBorder="1" applyAlignment="1">
      <alignment horizontal="center" vertical="center" wrapText="1"/>
    </xf>
    <xf numFmtId="0" fontId="30" fillId="0" borderId="0" xfId="0" applyFont="1" applyFill="1"/>
    <xf numFmtId="0" fontId="138" fillId="0" borderId="6" xfId="0" applyFont="1" applyFill="1" applyBorder="1" applyAlignment="1">
      <alignment horizontal="center" vertical="center" wrapText="1"/>
    </xf>
    <xf numFmtId="166" fontId="54" fillId="0" borderId="1" xfId="11" applyFont="1" applyFill="1" applyBorder="1" applyAlignment="1">
      <alignment horizontal="center" vertical="center" wrapText="1"/>
    </xf>
    <xf numFmtId="166" fontId="138" fillId="0" borderId="6" xfId="18" applyFont="1" applyFill="1" applyBorder="1" applyAlignment="1">
      <alignment horizontal="center" vertical="center" wrapText="1"/>
    </xf>
    <xf numFmtId="166" fontId="138" fillId="0" borderId="8" xfId="18" applyFont="1" applyFill="1" applyBorder="1" applyAlignment="1">
      <alignment horizontal="center" vertical="center" wrapText="1"/>
    </xf>
    <xf numFmtId="166" fontId="143" fillId="0" borderId="1" xfId="18" applyFont="1" applyFill="1" applyBorder="1" applyAlignment="1">
      <alignment horizontal="center" vertical="center" wrapText="1"/>
    </xf>
    <xf numFmtId="166" fontId="142" fillId="0" borderId="6" xfId="18" applyFont="1" applyFill="1" applyBorder="1" applyAlignment="1">
      <alignment horizontal="center" vertical="center" wrapText="1"/>
    </xf>
    <xf numFmtId="0" fontId="142" fillId="0" borderId="8"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0" borderId="1" xfId="0" applyFont="1" applyFill="1" applyBorder="1"/>
    <xf numFmtId="0" fontId="0" fillId="0" borderId="1" xfId="0" applyFill="1" applyBorder="1" applyAlignment="1">
      <alignment horizontal="center" vertical="center"/>
    </xf>
    <xf numFmtId="0" fontId="0" fillId="0" borderId="1" xfId="0" applyFill="1" applyBorder="1"/>
    <xf numFmtId="0" fontId="138" fillId="0" borderId="6" xfId="0" applyFont="1" applyFill="1" applyBorder="1" applyAlignment="1">
      <alignment vertical="center" wrapText="1"/>
    </xf>
    <xf numFmtId="14" fontId="138" fillId="0" borderId="6" xfId="0" applyNumberFormat="1" applyFont="1" applyFill="1" applyBorder="1" applyAlignment="1">
      <alignment horizontal="center" vertical="center" wrapText="1"/>
    </xf>
    <xf numFmtId="0" fontId="0" fillId="0" borderId="5" xfId="0" applyFill="1" applyBorder="1"/>
    <xf numFmtId="14" fontId="138" fillId="0" borderId="8" xfId="0" applyNumberFormat="1" applyFont="1" applyFill="1" applyBorder="1" applyAlignment="1">
      <alignment horizontal="center" vertical="center" wrapText="1"/>
    </xf>
    <xf numFmtId="0" fontId="0" fillId="0" borderId="1" xfId="0" applyFill="1" applyBorder="1" applyAlignment="1">
      <alignment horizontal="center"/>
    </xf>
    <xf numFmtId="0" fontId="0" fillId="0" borderId="0" xfId="0" applyFill="1" applyBorder="1"/>
  </cellXfs>
  <cellStyles count="19">
    <cellStyle name="Énfasis1" xfId="1" builtinId="29"/>
    <cellStyle name="Hipervínculo" xfId="2" builtinId="8"/>
    <cellStyle name="Millares [0] 2" xfId="3"/>
    <cellStyle name="Millares 2" xfId="4"/>
    <cellStyle name="Millares 3" xfId="5"/>
    <cellStyle name="Millares 4" xfId="6"/>
    <cellStyle name="Moneda" xfId="18"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 name="Porcentaje" xfId="17" builtinId="5"/>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ERTIFICACIONE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 val="SEGUIMIENTO CONTRATOS 2017"/>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Hoja1"/>
      <sheetName val="SEGUIMIENTO CONTRATOS 2018 (2)"/>
      <sheetName val="TABLA DINAMICA"/>
      <sheetName val="SEGUIMIENTO CONTRATOS 2018"/>
    </sheetNames>
    <sheetDataSet>
      <sheetData sheetId="0" refreshError="1"/>
      <sheetData sheetId="1"/>
      <sheetData sheetId="2"/>
      <sheetData sheetId="3"/>
      <sheetData sheetId="4">
        <row r="1">
          <cell r="A1" t="str">
            <v>LINEA PAA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57" t="s">
        <v>87</v>
      </c>
      <c r="B2" s="57" t="s">
        <v>87</v>
      </c>
      <c r="C2" s="57" t="s">
        <v>87</v>
      </c>
      <c r="D2" s="57" t="s">
        <v>87</v>
      </c>
      <c r="E2" s="57" t="s">
        <v>87</v>
      </c>
      <c r="F2" s="57" t="s">
        <v>87</v>
      </c>
      <c r="G2" s="57" t="s">
        <v>87</v>
      </c>
      <c r="H2" s="57" t="s">
        <v>87</v>
      </c>
      <c r="I2" s="58" t="s">
        <v>87</v>
      </c>
      <c r="J2" s="737" t="s">
        <v>322</v>
      </c>
      <c r="K2" s="737" t="s">
        <v>323</v>
      </c>
      <c r="L2" s="737" t="s">
        <v>324</v>
      </c>
      <c r="M2" s="120"/>
      <c r="N2" s="120" t="s">
        <v>87</v>
      </c>
      <c r="O2" s="120" t="s">
        <v>87</v>
      </c>
      <c r="P2" s="121" t="s">
        <v>325</v>
      </c>
      <c r="Q2" s="122"/>
      <c r="R2" s="122"/>
      <c r="S2" s="122"/>
      <c r="T2" s="122"/>
    </row>
    <row r="3" spans="1:20" ht="120" x14ac:dyDescent="0.25">
      <c r="A3" s="558" t="s">
        <v>111</v>
      </c>
      <c r="B3" s="558" t="s">
        <v>110</v>
      </c>
      <c r="C3" s="558" t="s">
        <v>109</v>
      </c>
      <c r="D3" s="558" t="s">
        <v>108</v>
      </c>
      <c r="E3" s="558" t="s">
        <v>107</v>
      </c>
      <c r="F3" s="558" t="s">
        <v>106</v>
      </c>
      <c r="G3" s="558" t="s">
        <v>105</v>
      </c>
      <c r="H3" s="558" t="s">
        <v>104</v>
      </c>
      <c r="I3" s="59" t="s">
        <v>103</v>
      </c>
      <c r="J3" s="738"/>
      <c r="K3" s="738"/>
      <c r="L3" s="738"/>
      <c r="M3" s="59" t="s">
        <v>329</v>
      </c>
      <c r="N3" s="59" t="s">
        <v>330</v>
      </c>
      <c r="O3" s="134" t="s">
        <v>331</v>
      </c>
      <c r="P3" s="59" t="s">
        <v>332</v>
      </c>
      <c r="Q3" s="37" t="s">
        <v>174</v>
      </c>
      <c r="R3" s="37" t="s">
        <v>187</v>
      </c>
      <c r="S3" s="37" t="s">
        <v>188</v>
      </c>
      <c r="T3" s="560" t="s">
        <v>172</v>
      </c>
    </row>
    <row r="4" spans="1:20" ht="23.25" x14ac:dyDescent="0.25">
      <c r="A4" s="739" t="s">
        <v>114</v>
      </c>
      <c r="B4" s="739"/>
      <c r="C4" s="739"/>
      <c r="D4" s="739"/>
      <c r="E4" s="739"/>
      <c r="F4" s="739"/>
      <c r="G4" s="739"/>
      <c r="H4" s="739"/>
      <c r="I4" s="739"/>
      <c r="J4" s="559"/>
      <c r="K4" s="559"/>
      <c r="L4" s="559"/>
      <c r="M4" s="45"/>
      <c r="N4" s="45"/>
      <c r="O4" s="46"/>
      <c r="P4" s="46"/>
      <c r="Q4" s="46"/>
      <c r="R4" s="46"/>
      <c r="S4" s="46"/>
      <c r="T4" s="561"/>
    </row>
    <row r="5" spans="1:20" ht="36" x14ac:dyDescent="0.25">
      <c r="A5" s="252">
        <v>2</v>
      </c>
      <c r="B5" s="252">
        <v>0</v>
      </c>
      <c r="C5" s="252">
        <v>4</v>
      </c>
      <c r="D5" s="252">
        <v>1</v>
      </c>
      <c r="E5" s="252">
        <v>6</v>
      </c>
      <c r="F5" s="38" t="s">
        <v>147</v>
      </c>
      <c r="G5" s="25">
        <v>10</v>
      </c>
      <c r="H5" s="25" t="s">
        <v>88</v>
      </c>
      <c r="I5" s="36" t="s">
        <v>360</v>
      </c>
      <c r="J5" s="623">
        <v>26312050</v>
      </c>
      <c r="K5" s="623">
        <v>100121585</v>
      </c>
      <c r="L5" s="623">
        <v>22000000</v>
      </c>
      <c r="M5" s="606"/>
      <c r="N5" s="45"/>
      <c r="O5" s="45"/>
      <c r="P5" s="45">
        <f>SUM(M5+N5-O5)</f>
        <v>0</v>
      </c>
      <c r="Q5" s="253"/>
      <c r="R5" s="254"/>
      <c r="S5" s="253"/>
      <c r="T5" s="253">
        <f>SUM(R5-S5)</f>
        <v>0</v>
      </c>
    </row>
    <row r="6" spans="1:20" ht="36" x14ac:dyDescent="0.25">
      <c r="A6" s="38">
        <v>2</v>
      </c>
      <c r="B6" s="38">
        <v>0</v>
      </c>
      <c r="C6" s="38">
        <v>4</v>
      </c>
      <c r="D6" s="38">
        <v>1</v>
      </c>
      <c r="E6" s="38">
        <v>8</v>
      </c>
      <c r="F6" s="38" t="s">
        <v>147</v>
      </c>
      <c r="G6" s="25">
        <v>10</v>
      </c>
      <c r="H6" s="25" t="s">
        <v>88</v>
      </c>
      <c r="I6" s="42" t="s">
        <v>361</v>
      </c>
      <c r="J6" s="623"/>
      <c r="K6" s="623">
        <v>223529923</v>
      </c>
      <c r="L6" s="623">
        <v>36257167</v>
      </c>
      <c r="M6" s="618">
        <v>20100403</v>
      </c>
      <c r="N6" s="45"/>
      <c r="O6" s="45"/>
      <c r="P6" s="45">
        <f t="shared" ref="P6:P11" si="0">SUM(M6+N6-O6)</f>
        <v>20100403</v>
      </c>
      <c r="Q6" s="253"/>
      <c r="R6" s="254"/>
      <c r="S6" s="253"/>
      <c r="T6" s="253">
        <f>SUM(R6-S6)</f>
        <v>0</v>
      </c>
    </row>
    <row r="7" spans="1:20" ht="36" x14ac:dyDescent="0.25">
      <c r="A7" s="38">
        <v>2</v>
      </c>
      <c r="B7" s="38">
        <v>0</v>
      </c>
      <c r="C7" s="38">
        <v>4</v>
      </c>
      <c r="D7" s="38">
        <v>1</v>
      </c>
      <c r="E7" s="38">
        <v>25</v>
      </c>
      <c r="F7" s="38" t="s">
        <v>147</v>
      </c>
      <c r="G7" s="25">
        <v>10</v>
      </c>
      <c r="H7" s="25" t="s">
        <v>88</v>
      </c>
      <c r="I7" s="36" t="s">
        <v>186</v>
      </c>
      <c r="J7" s="623">
        <v>162900</v>
      </c>
      <c r="K7" s="623">
        <v>12093007</v>
      </c>
      <c r="L7" s="623">
        <v>438400</v>
      </c>
      <c r="M7" s="618">
        <v>45000000</v>
      </c>
      <c r="N7" s="45"/>
      <c r="O7" s="45"/>
      <c r="P7" s="45">
        <f t="shared" si="0"/>
        <v>45000000</v>
      </c>
      <c r="Q7" s="253">
        <v>500000</v>
      </c>
      <c r="R7" s="253">
        <v>500000</v>
      </c>
      <c r="S7" s="253"/>
      <c r="T7" s="253">
        <f>SUM(R7-S7)</f>
        <v>500000</v>
      </c>
    </row>
    <row r="8" spans="1:20" ht="36" x14ac:dyDescent="0.25">
      <c r="A8" s="38">
        <v>2</v>
      </c>
      <c r="B8" s="38">
        <v>0</v>
      </c>
      <c r="C8" s="38">
        <v>4</v>
      </c>
      <c r="D8" s="38">
        <v>1</v>
      </c>
      <c r="E8" s="38">
        <v>26</v>
      </c>
      <c r="F8" s="38" t="s">
        <v>147</v>
      </c>
      <c r="G8" s="25">
        <v>10</v>
      </c>
      <c r="H8" s="25" t="s">
        <v>88</v>
      </c>
      <c r="I8" s="36" t="s">
        <v>154</v>
      </c>
      <c r="J8" s="623">
        <v>16357798</v>
      </c>
      <c r="K8" s="623"/>
      <c r="L8" s="623"/>
      <c r="M8" s="45"/>
      <c r="N8" s="45"/>
      <c r="O8" s="45"/>
      <c r="P8" s="45">
        <f t="shared" si="0"/>
        <v>0</v>
      </c>
      <c r="Q8" s="253"/>
      <c r="R8" s="253">
        <v>0</v>
      </c>
      <c r="S8" s="253"/>
      <c r="T8" s="253">
        <f>SUM(R8-S8)</f>
        <v>0</v>
      </c>
    </row>
    <row r="9" spans="1:20" ht="20.25" x14ac:dyDescent="0.25">
      <c r="A9" s="32"/>
      <c r="B9" s="32"/>
      <c r="C9" s="32"/>
      <c r="D9" s="32"/>
      <c r="E9" s="32"/>
      <c r="F9" s="32"/>
      <c r="G9" s="33"/>
      <c r="H9" s="33"/>
      <c r="I9" s="35" t="s">
        <v>135</v>
      </c>
      <c r="J9" s="264">
        <f t="shared" ref="J9:O9" si="1">SUM(J5:J8)</f>
        <v>42832748</v>
      </c>
      <c r="K9" s="264">
        <f t="shared" si="1"/>
        <v>335744515</v>
      </c>
      <c r="L9" s="264">
        <f t="shared" si="1"/>
        <v>58695567</v>
      </c>
      <c r="M9" s="265">
        <f t="shared" si="1"/>
        <v>65100403</v>
      </c>
      <c r="N9" s="265">
        <f t="shared" si="1"/>
        <v>0</v>
      </c>
      <c r="O9" s="265">
        <f t="shared" si="1"/>
        <v>0</v>
      </c>
      <c r="P9" s="265">
        <f t="shared" si="0"/>
        <v>65100403</v>
      </c>
      <c r="Q9" s="49">
        <f t="shared" ref="Q9:T9" si="2">SUM(Q5:Q8)</f>
        <v>500000</v>
      </c>
      <c r="R9" s="49">
        <f t="shared" si="2"/>
        <v>500000</v>
      </c>
      <c r="S9" s="49">
        <f t="shared" si="2"/>
        <v>0</v>
      </c>
      <c r="T9" s="49">
        <f t="shared" si="2"/>
        <v>500000</v>
      </c>
    </row>
    <row r="10" spans="1:20" ht="36" x14ac:dyDescent="0.25">
      <c r="A10" s="38">
        <v>2</v>
      </c>
      <c r="B10" s="38">
        <v>0</v>
      </c>
      <c r="C10" s="38">
        <v>4</v>
      </c>
      <c r="D10" s="38">
        <v>2</v>
      </c>
      <c r="E10" s="38">
        <v>2</v>
      </c>
      <c r="F10" s="38" t="s">
        <v>147</v>
      </c>
      <c r="G10" s="25">
        <v>10</v>
      </c>
      <c r="H10" s="25" t="s">
        <v>88</v>
      </c>
      <c r="I10" s="36" t="s">
        <v>362</v>
      </c>
      <c r="J10" s="623">
        <v>23500000</v>
      </c>
      <c r="K10" s="623"/>
      <c r="L10" s="623"/>
      <c r="M10" s="45"/>
      <c r="N10" s="45"/>
      <c r="O10" s="45"/>
      <c r="P10" s="45">
        <f t="shared" si="0"/>
        <v>0</v>
      </c>
      <c r="Q10" s="253"/>
      <c r="R10" s="253"/>
      <c r="S10" s="253"/>
      <c r="T10" s="253"/>
    </row>
    <row r="11" spans="1:20" ht="36" x14ac:dyDescent="0.25">
      <c r="A11" s="38">
        <v>2</v>
      </c>
      <c r="B11" s="38">
        <v>0</v>
      </c>
      <c r="C11" s="38">
        <v>4</v>
      </c>
      <c r="D11" s="38">
        <v>2</v>
      </c>
      <c r="E11" s="38">
        <v>2</v>
      </c>
      <c r="F11" s="38" t="s">
        <v>147</v>
      </c>
      <c r="G11" s="25">
        <v>10</v>
      </c>
      <c r="H11" s="25" t="s">
        <v>88</v>
      </c>
      <c r="I11" s="36" t="s">
        <v>363</v>
      </c>
      <c r="J11" s="623">
        <v>3540146</v>
      </c>
      <c r="K11" s="623">
        <v>12221424.199999999</v>
      </c>
      <c r="L11" s="623"/>
      <c r="M11" s="606">
        <v>20000000</v>
      </c>
      <c r="N11" s="45"/>
      <c r="O11" s="45"/>
      <c r="P11" s="45">
        <f t="shared" si="0"/>
        <v>20000000</v>
      </c>
      <c r="Q11" s="253"/>
      <c r="R11" s="253"/>
      <c r="S11" s="253"/>
      <c r="T11" s="253"/>
    </row>
    <row r="12" spans="1:20" ht="20.25" x14ac:dyDescent="0.25">
      <c r="A12" s="32"/>
      <c r="B12" s="32"/>
      <c r="C12" s="32"/>
      <c r="D12" s="32"/>
      <c r="E12" s="32"/>
      <c r="F12" s="32"/>
      <c r="G12" s="33"/>
      <c r="H12" s="33"/>
      <c r="I12" s="35" t="s">
        <v>364</v>
      </c>
      <c r="J12" s="264">
        <f t="shared" ref="J12:P12" si="3">SUM(J10:J11)</f>
        <v>27040146</v>
      </c>
      <c r="K12" s="264">
        <f t="shared" si="3"/>
        <v>12221424.199999999</v>
      </c>
      <c r="L12" s="264">
        <f t="shared" si="3"/>
        <v>0</v>
      </c>
      <c r="M12" s="265">
        <f t="shared" si="3"/>
        <v>20000000</v>
      </c>
      <c r="N12" s="265">
        <f t="shared" si="3"/>
        <v>0</v>
      </c>
      <c r="O12" s="265">
        <f t="shared" si="3"/>
        <v>0</v>
      </c>
      <c r="P12" s="265">
        <f t="shared" si="3"/>
        <v>20000000</v>
      </c>
      <c r="Q12" s="49"/>
      <c r="R12" s="49">
        <f t="shared" ref="R12:T12" si="4">SUM(R10:R11)</f>
        <v>0</v>
      </c>
      <c r="S12" s="49">
        <f t="shared" si="4"/>
        <v>0</v>
      </c>
      <c r="T12" s="49">
        <f t="shared" si="4"/>
        <v>0</v>
      </c>
    </row>
    <row r="13" spans="1:20" ht="22.9" customHeight="1" x14ac:dyDescent="0.25">
      <c r="A13" s="739" t="s">
        <v>127</v>
      </c>
      <c r="B13" s="739"/>
      <c r="C13" s="739"/>
      <c r="D13" s="739"/>
      <c r="E13" s="739"/>
      <c r="F13" s="739"/>
      <c r="G13" s="739"/>
      <c r="H13" s="739"/>
      <c r="I13" s="739"/>
      <c r="J13" s="25"/>
      <c r="K13" s="25"/>
      <c r="L13" s="25"/>
      <c r="M13" s="50"/>
      <c r="N13" s="50"/>
      <c r="O13" s="50"/>
      <c r="P13" s="50"/>
      <c r="Q13" s="280"/>
      <c r="R13" s="280"/>
      <c r="S13" s="280"/>
      <c r="T13" s="280"/>
    </row>
    <row r="14" spans="1:20" ht="36" x14ac:dyDescent="0.25">
      <c r="A14" s="38">
        <v>2</v>
      </c>
      <c r="B14" s="38">
        <v>0</v>
      </c>
      <c r="C14" s="38">
        <v>4</v>
      </c>
      <c r="D14" s="38">
        <v>4</v>
      </c>
      <c r="E14" s="38">
        <v>1</v>
      </c>
      <c r="F14" s="38" t="s">
        <v>147</v>
      </c>
      <c r="G14" s="25">
        <v>10</v>
      </c>
      <c r="H14" s="25" t="s">
        <v>88</v>
      </c>
      <c r="I14" s="42" t="s">
        <v>365</v>
      </c>
      <c r="J14" s="623">
        <v>47820000</v>
      </c>
      <c r="K14" s="623">
        <v>33224716</v>
      </c>
      <c r="L14" s="623">
        <v>39200000</v>
      </c>
      <c r="M14" s="618">
        <v>43000000</v>
      </c>
      <c r="N14" s="45"/>
      <c r="O14" s="45"/>
      <c r="P14" s="45">
        <f t="shared" ref="P14:P22" si="5">SUM(M14+N14-O14)</f>
        <v>43000000</v>
      </c>
      <c r="Q14" s="253"/>
      <c r="R14" s="253"/>
      <c r="S14" s="253"/>
      <c r="T14" s="253"/>
    </row>
    <row r="15" spans="1:20" ht="36" x14ac:dyDescent="0.25">
      <c r="A15" s="38">
        <v>2</v>
      </c>
      <c r="B15" s="38">
        <v>0</v>
      </c>
      <c r="C15" s="38">
        <v>4</v>
      </c>
      <c r="D15" s="38">
        <v>4</v>
      </c>
      <c r="E15" s="38">
        <v>2</v>
      </c>
      <c r="F15" s="38" t="s">
        <v>147</v>
      </c>
      <c r="G15" s="25">
        <v>10</v>
      </c>
      <c r="H15" s="25" t="s">
        <v>88</v>
      </c>
      <c r="I15" s="42" t="s">
        <v>366</v>
      </c>
      <c r="J15" s="623">
        <v>16709800</v>
      </c>
      <c r="K15" s="623">
        <v>20291970</v>
      </c>
      <c r="L15" s="623">
        <v>15172027</v>
      </c>
      <c r="M15" s="618">
        <v>24000000</v>
      </c>
      <c r="N15" s="45"/>
      <c r="O15" s="45"/>
      <c r="P15" s="45">
        <f t="shared" si="5"/>
        <v>24000000</v>
      </c>
      <c r="Q15" s="253"/>
      <c r="R15" s="253"/>
      <c r="S15" s="253"/>
      <c r="T15" s="253"/>
    </row>
    <row r="16" spans="1:20" ht="36" x14ac:dyDescent="0.25">
      <c r="A16" s="38">
        <v>2</v>
      </c>
      <c r="B16" s="38">
        <v>0</v>
      </c>
      <c r="C16" s="38">
        <v>4</v>
      </c>
      <c r="D16" s="38">
        <v>4</v>
      </c>
      <c r="E16" s="38">
        <v>6</v>
      </c>
      <c r="F16" s="38" t="s">
        <v>147</v>
      </c>
      <c r="G16" s="25">
        <v>10</v>
      </c>
      <c r="H16" s="25" t="s">
        <v>88</v>
      </c>
      <c r="I16" s="42" t="s">
        <v>367</v>
      </c>
      <c r="J16" s="623">
        <v>0</v>
      </c>
      <c r="K16" s="623">
        <v>2504440</v>
      </c>
      <c r="L16" s="623"/>
      <c r="M16" s="618">
        <v>8000000</v>
      </c>
      <c r="N16" s="45"/>
      <c r="O16" s="45"/>
      <c r="P16" s="45">
        <f t="shared" si="5"/>
        <v>8000000</v>
      </c>
      <c r="Q16" s="45"/>
      <c r="R16" s="45"/>
      <c r="S16" s="45"/>
      <c r="T16" s="45"/>
    </row>
    <row r="17" spans="1:20" ht="36" x14ac:dyDescent="0.25">
      <c r="A17" s="38">
        <v>2</v>
      </c>
      <c r="B17" s="38">
        <v>0</v>
      </c>
      <c r="C17" s="38">
        <v>4</v>
      </c>
      <c r="D17" s="38">
        <v>4</v>
      </c>
      <c r="E17" s="38">
        <v>15</v>
      </c>
      <c r="F17" s="38" t="s">
        <v>147</v>
      </c>
      <c r="G17" s="25">
        <v>10</v>
      </c>
      <c r="H17" s="25" t="s">
        <v>88</v>
      </c>
      <c r="I17" s="42" t="s">
        <v>155</v>
      </c>
      <c r="J17" s="623">
        <v>81595684</v>
      </c>
      <c r="K17" s="623">
        <v>53324791</v>
      </c>
      <c r="L17" s="623">
        <v>41517993</v>
      </c>
      <c r="M17" s="618">
        <v>182000000</v>
      </c>
      <c r="N17" s="45"/>
      <c r="O17" s="45"/>
      <c r="P17" s="45">
        <f>SUM(M17+N17-O17)</f>
        <v>182000000</v>
      </c>
      <c r="Q17" s="253"/>
      <c r="R17" s="253">
        <v>1900000</v>
      </c>
      <c r="S17" s="292"/>
      <c r="T17" s="253">
        <f>SUM(R17-S17)</f>
        <v>1900000</v>
      </c>
    </row>
    <row r="18" spans="1:20" ht="36" x14ac:dyDescent="0.25">
      <c r="A18" s="38">
        <v>2</v>
      </c>
      <c r="B18" s="38">
        <v>0</v>
      </c>
      <c r="C18" s="38">
        <v>4</v>
      </c>
      <c r="D18" s="38">
        <v>4</v>
      </c>
      <c r="E18" s="38">
        <v>17</v>
      </c>
      <c r="F18" s="38" t="s">
        <v>147</v>
      </c>
      <c r="G18" s="25">
        <v>10</v>
      </c>
      <c r="H18" s="25" t="s">
        <v>88</v>
      </c>
      <c r="I18" s="42" t="s">
        <v>128</v>
      </c>
      <c r="J18" s="623">
        <v>5851314</v>
      </c>
      <c r="K18" s="623">
        <v>19552811.359999999</v>
      </c>
      <c r="L18" s="623"/>
      <c r="M18" s="45">
        <v>400000</v>
      </c>
      <c r="N18" s="45"/>
      <c r="O18" s="45"/>
      <c r="P18" s="45">
        <f t="shared" si="5"/>
        <v>400000</v>
      </c>
      <c r="Q18" s="253"/>
      <c r="R18" s="253">
        <v>100000</v>
      </c>
      <c r="S18" s="292"/>
      <c r="T18" s="253">
        <f t="shared" ref="T18:T22" si="6">SUM(R18-S18)</f>
        <v>100000</v>
      </c>
    </row>
    <row r="19" spans="1:20" ht="22.9" customHeight="1" x14ac:dyDescent="0.25">
      <c r="A19" s="38">
        <v>2</v>
      </c>
      <c r="B19" s="38">
        <v>0</v>
      </c>
      <c r="C19" s="38">
        <v>4</v>
      </c>
      <c r="D19" s="38">
        <v>4</v>
      </c>
      <c r="E19" s="38">
        <v>18</v>
      </c>
      <c r="F19" s="38" t="s">
        <v>147</v>
      </c>
      <c r="G19" s="25">
        <v>10</v>
      </c>
      <c r="H19" s="25" t="s">
        <v>88</v>
      </c>
      <c r="I19" s="42" t="s">
        <v>129</v>
      </c>
      <c r="J19" s="623">
        <v>21568574.789999999</v>
      </c>
      <c r="K19" s="623">
        <v>30327391.84</v>
      </c>
      <c r="L19" s="623"/>
      <c r="M19" s="45">
        <v>18800000</v>
      </c>
      <c r="N19" s="45"/>
      <c r="O19" s="45"/>
      <c r="P19" s="45">
        <f t="shared" si="5"/>
        <v>18800000</v>
      </c>
      <c r="Q19" s="253"/>
      <c r="R19" s="253">
        <v>18800000</v>
      </c>
      <c r="S19" s="292"/>
      <c r="T19" s="253">
        <f t="shared" si="6"/>
        <v>18800000</v>
      </c>
    </row>
    <row r="20" spans="1:20" ht="36" x14ac:dyDescent="0.25">
      <c r="A20" s="38">
        <v>2</v>
      </c>
      <c r="B20" s="38">
        <v>0</v>
      </c>
      <c r="C20" s="38">
        <v>4</v>
      </c>
      <c r="D20" s="38">
        <v>4</v>
      </c>
      <c r="E20" s="38">
        <v>20</v>
      </c>
      <c r="F20" s="38" t="s">
        <v>147</v>
      </c>
      <c r="G20" s="25">
        <v>10</v>
      </c>
      <c r="H20" s="25" t="s">
        <v>88</v>
      </c>
      <c r="I20" s="42" t="s">
        <v>176</v>
      </c>
      <c r="J20" s="296">
        <v>30837092</v>
      </c>
      <c r="K20" s="296">
        <v>31584291</v>
      </c>
      <c r="L20" s="296">
        <v>35972143</v>
      </c>
      <c r="M20" s="606">
        <v>30000000</v>
      </c>
      <c r="N20" s="45"/>
      <c r="O20" s="45"/>
      <c r="P20" s="45">
        <f t="shared" si="5"/>
        <v>30000000</v>
      </c>
      <c r="Q20" s="253"/>
      <c r="R20" s="253">
        <v>1000000</v>
      </c>
      <c r="S20" s="292"/>
      <c r="T20" s="253">
        <f t="shared" si="6"/>
        <v>1000000</v>
      </c>
    </row>
    <row r="21" spans="1:20" ht="36" x14ac:dyDescent="0.25">
      <c r="A21" s="38">
        <v>2</v>
      </c>
      <c r="B21" s="38">
        <v>0</v>
      </c>
      <c r="C21" s="38">
        <v>4</v>
      </c>
      <c r="D21" s="38">
        <v>4</v>
      </c>
      <c r="E21" s="38">
        <v>21</v>
      </c>
      <c r="F21" s="38" t="s">
        <v>147</v>
      </c>
      <c r="G21" s="25">
        <v>10</v>
      </c>
      <c r="H21" s="25" t="s">
        <v>88</v>
      </c>
      <c r="I21" s="36" t="s">
        <v>151</v>
      </c>
      <c r="J21" s="623">
        <v>471340</v>
      </c>
      <c r="K21" s="623">
        <v>169190</v>
      </c>
      <c r="L21" s="623"/>
      <c r="M21" s="45"/>
      <c r="N21" s="45"/>
      <c r="O21" s="45"/>
      <c r="P21" s="45">
        <f t="shared" si="5"/>
        <v>0</v>
      </c>
      <c r="Q21" s="253"/>
      <c r="R21" s="253">
        <v>0</v>
      </c>
      <c r="S21" s="253"/>
      <c r="T21" s="253">
        <f t="shared" si="6"/>
        <v>0</v>
      </c>
    </row>
    <row r="22" spans="1:20" ht="36" x14ac:dyDescent="0.25">
      <c r="A22" s="38">
        <v>2</v>
      </c>
      <c r="B22" s="38">
        <v>0</v>
      </c>
      <c r="C22" s="38">
        <v>4</v>
      </c>
      <c r="D22" s="38">
        <v>4</v>
      </c>
      <c r="E22" s="38">
        <v>23</v>
      </c>
      <c r="F22" s="38" t="s">
        <v>147</v>
      </c>
      <c r="G22" s="25">
        <v>10</v>
      </c>
      <c r="H22" s="25" t="s">
        <v>88</v>
      </c>
      <c r="I22" s="36" t="s">
        <v>130</v>
      </c>
      <c r="J22" s="623">
        <v>6562350</v>
      </c>
      <c r="K22" s="623">
        <v>3699162</v>
      </c>
      <c r="L22" s="623">
        <v>23036241</v>
      </c>
      <c r="M22" s="45">
        <v>5000000</v>
      </c>
      <c r="N22" s="45"/>
      <c r="O22" s="45"/>
      <c r="P22" s="45">
        <f t="shared" si="5"/>
        <v>5000000</v>
      </c>
      <c r="Q22" s="253">
        <v>4000000</v>
      </c>
      <c r="R22" s="253">
        <v>0</v>
      </c>
      <c r="S22" s="253"/>
      <c r="T22" s="253">
        <f t="shared" si="6"/>
        <v>0</v>
      </c>
    </row>
    <row r="23" spans="1:20" ht="20.25" x14ac:dyDescent="0.25">
      <c r="A23" s="32"/>
      <c r="B23" s="32"/>
      <c r="C23" s="32"/>
      <c r="D23" s="32"/>
      <c r="E23" s="32"/>
      <c r="F23" s="32"/>
      <c r="G23" s="33"/>
      <c r="H23" s="33"/>
      <c r="I23" s="35" t="s">
        <v>131</v>
      </c>
      <c r="J23" s="264">
        <f t="shared" ref="J23:T23" si="7">SUM(J14:J22)</f>
        <v>211416154.78999999</v>
      </c>
      <c r="K23" s="264">
        <f t="shared" si="7"/>
        <v>194678763.19999999</v>
      </c>
      <c r="L23" s="264">
        <f t="shared" si="7"/>
        <v>154898404</v>
      </c>
      <c r="M23" s="265">
        <f t="shared" ref="M23:R23" si="8">SUM(M14:M22)</f>
        <v>311200000</v>
      </c>
      <c r="N23" s="265">
        <f t="shared" si="8"/>
        <v>0</v>
      </c>
      <c r="O23" s="265">
        <f t="shared" si="8"/>
        <v>0</v>
      </c>
      <c r="P23" s="265">
        <f t="shared" si="8"/>
        <v>311200000</v>
      </c>
      <c r="Q23" s="49">
        <f t="shared" si="8"/>
        <v>4000000</v>
      </c>
      <c r="R23" s="49">
        <f t="shared" si="8"/>
        <v>21800000</v>
      </c>
      <c r="S23" s="49">
        <f>SUM(S14:S22)</f>
        <v>0</v>
      </c>
      <c r="T23" s="49">
        <f t="shared" si="7"/>
        <v>21800000</v>
      </c>
    </row>
    <row r="24" spans="1:20" ht="22.9" customHeight="1" x14ac:dyDescent="0.25">
      <c r="A24" s="739" t="s">
        <v>132</v>
      </c>
      <c r="B24" s="739"/>
      <c r="C24" s="739"/>
      <c r="D24" s="739"/>
      <c r="E24" s="739"/>
      <c r="F24" s="739"/>
      <c r="G24" s="739"/>
      <c r="H24" s="739"/>
      <c r="I24" s="739"/>
      <c r="J24" s="25"/>
      <c r="K24" s="25"/>
      <c r="L24" s="25"/>
      <c r="M24" s="50"/>
      <c r="N24" s="50"/>
      <c r="O24" s="50"/>
      <c r="P24" s="50"/>
      <c r="Q24" s="50"/>
      <c r="R24" s="50"/>
      <c r="S24" s="50"/>
      <c r="T24" s="50"/>
    </row>
    <row r="25" spans="1:20" ht="36" x14ac:dyDescent="0.25">
      <c r="A25" s="38">
        <v>2</v>
      </c>
      <c r="B25" s="38">
        <v>0</v>
      </c>
      <c r="C25" s="38">
        <v>4</v>
      </c>
      <c r="D25" s="38">
        <v>5</v>
      </c>
      <c r="E25" s="38">
        <v>1</v>
      </c>
      <c r="F25" s="38" t="s">
        <v>147</v>
      </c>
      <c r="G25" s="25">
        <v>10</v>
      </c>
      <c r="H25" s="25" t="s">
        <v>88</v>
      </c>
      <c r="I25" s="42" t="s">
        <v>369</v>
      </c>
      <c r="J25" s="623">
        <v>6719205</v>
      </c>
      <c r="K25" s="623">
        <v>19966682</v>
      </c>
      <c r="L25" s="623">
        <v>6801902</v>
      </c>
      <c r="M25" s="606">
        <v>110520000</v>
      </c>
      <c r="N25" s="45"/>
      <c r="O25" s="45"/>
      <c r="P25" s="45">
        <f t="shared" ref="P25:P31" si="9">SUM(M25+N25-O25)</f>
        <v>110520000</v>
      </c>
      <c r="Q25" s="253"/>
      <c r="R25" s="253">
        <v>2500000</v>
      </c>
      <c r="S25" s="292"/>
      <c r="T25" s="253">
        <f t="shared" ref="T25:T31" si="10">SUM(R25-S25)</f>
        <v>2500000</v>
      </c>
    </row>
    <row r="26" spans="1:20" ht="36" x14ac:dyDescent="0.25">
      <c r="A26" s="38">
        <v>2</v>
      </c>
      <c r="B26" s="38">
        <v>0</v>
      </c>
      <c r="C26" s="38">
        <v>4</v>
      </c>
      <c r="D26" s="38">
        <v>5</v>
      </c>
      <c r="E26" s="38">
        <v>2</v>
      </c>
      <c r="F26" s="38" t="s">
        <v>147</v>
      </c>
      <c r="G26" s="25">
        <v>10</v>
      </c>
      <c r="H26" s="25" t="s">
        <v>88</v>
      </c>
      <c r="I26" s="42" t="s">
        <v>185</v>
      </c>
      <c r="J26" s="296">
        <v>7601780</v>
      </c>
      <c r="K26" s="296">
        <v>16820404</v>
      </c>
      <c r="L26" s="296">
        <v>6296858</v>
      </c>
      <c r="M26" s="606">
        <v>35500000</v>
      </c>
      <c r="N26" s="45"/>
      <c r="O26" s="45"/>
      <c r="P26" s="45">
        <f t="shared" si="9"/>
        <v>35500000</v>
      </c>
      <c r="Q26" s="253"/>
      <c r="R26" s="304">
        <v>5200000</v>
      </c>
      <c r="S26" s="305"/>
      <c r="T26" s="253">
        <f t="shared" si="10"/>
        <v>5200000</v>
      </c>
    </row>
    <row r="27" spans="1:20" ht="36" x14ac:dyDescent="0.25">
      <c r="A27" s="38">
        <v>2</v>
      </c>
      <c r="B27" s="38">
        <v>0</v>
      </c>
      <c r="C27" s="38">
        <v>4</v>
      </c>
      <c r="D27" s="38">
        <v>5</v>
      </c>
      <c r="E27" s="38">
        <v>5</v>
      </c>
      <c r="F27" s="38" t="s">
        <v>147</v>
      </c>
      <c r="G27" s="25">
        <v>10</v>
      </c>
      <c r="H27" s="25" t="s">
        <v>88</v>
      </c>
      <c r="I27" s="42" t="s">
        <v>184</v>
      </c>
      <c r="J27" s="307">
        <v>79507354</v>
      </c>
      <c r="K27" s="307">
        <v>287072300.5</v>
      </c>
      <c r="L27" s="307">
        <v>192403910</v>
      </c>
      <c r="M27" s="606">
        <v>131200000</v>
      </c>
      <c r="N27" s="45"/>
      <c r="O27" s="45"/>
      <c r="P27" s="45">
        <f t="shared" si="9"/>
        <v>131200000</v>
      </c>
      <c r="Q27" s="253"/>
      <c r="R27" s="253">
        <v>600000</v>
      </c>
      <c r="S27" s="253"/>
      <c r="T27" s="253">
        <f t="shared" si="10"/>
        <v>600000</v>
      </c>
    </row>
    <row r="28" spans="1:20" ht="36" x14ac:dyDescent="0.25">
      <c r="A28" s="38">
        <v>2</v>
      </c>
      <c r="B28" s="38">
        <v>0</v>
      </c>
      <c r="C28" s="38">
        <v>4</v>
      </c>
      <c r="D28" s="38">
        <v>5</v>
      </c>
      <c r="E28" s="38">
        <v>6</v>
      </c>
      <c r="F28" s="38" t="s">
        <v>147</v>
      </c>
      <c r="G28" s="25">
        <v>10</v>
      </c>
      <c r="H28" s="25" t="s">
        <v>88</v>
      </c>
      <c r="I28" s="42" t="s">
        <v>116</v>
      </c>
      <c r="J28" s="623">
        <v>21600000</v>
      </c>
      <c r="K28" s="623">
        <v>21600000</v>
      </c>
      <c r="L28" s="623">
        <v>17451732</v>
      </c>
      <c r="M28" s="606">
        <v>29000000</v>
      </c>
      <c r="N28" s="45"/>
      <c r="O28" s="45"/>
      <c r="P28" s="45">
        <f t="shared" si="9"/>
        <v>29000000</v>
      </c>
      <c r="Q28" s="253"/>
      <c r="R28" s="253"/>
      <c r="S28" s="253"/>
      <c r="T28" s="253">
        <f t="shared" si="10"/>
        <v>0</v>
      </c>
    </row>
    <row r="29" spans="1:20" ht="21" customHeight="1" x14ac:dyDescent="0.25">
      <c r="A29" s="38">
        <v>2</v>
      </c>
      <c r="B29" s="38">
        <v>0</v>
      </c>
      <c r="C29" s="38">
        <v>4</v>
      </c>
      <c r="D29" s="38">
        <v>5</v>
      </c>
      <c r="E29" s="38">
        <v>8</v>
      </c>
      <c r="F29" s="38" t="s">
        <v>147</v>
      </c>
      <c r="G29" s="25">
        <v>10</v>
      </c>
      <c r="H29" s="25" t="s">
        <v>88</v>
      </c>
      <c r="I29" s="42" t="s">
        <v>133</v>
      </c>
      <c r="J29" s="623">
        <v>102285363.8</v>
      </c>
      <c r="K29" s="623">
        <v>105523727</v>
      </c>
      <c r="L29" s="623">
        <v>89283685</v>
      </c>
      <c r="M29" s="606">
        <v>189000000</v>
      </c>
      <c r="N29" s="45"/>
      <c r="O29" s="45"/>
      <c r="P29" s="45">
        <f t="shared" si="9"/>
        <v>189000000</v>
      </c>
      <c r="Q29" s="253"/>
      <c r="R29" s="253"/>
      <c r="S29" s="253"/>
      <c r="T29" s="253">
        <f t="shared" si="10"/>
        <v>0</v>
      </c>
    </row>
    <row r="30" spans="1:20" ht="36" x14ac:dyDescent="0.25">
      <c r="A30" s="38">
        <v>2</v>
      </c>
      <c r="B30" s="38">
        <v>0</v>
      </c>
      <c r="C30" s="38">
        <v>4</v>
      </c>
      <c r="D30" s="38">
        <v>5</v>
      </c>
      <c r="E30" s="38">
        <v>10</v>
      </c>
      <c r="F30" s="38" t="s">
        <v>147</v>
      </c>
      <c r="G30" s="25">
        <v>10</v>
      </c>
      <c r="H30" s="25" t="s">
        <v>88</v>
      </c>
      <c r="I30" s="42" t="s">
        <v>117</v>
      </c>
      <c r="J30" s="623">
        <v>152736982</v>
      </c>
      <c r="K30" s="623">
        <v>159603012</v>
      </c>
      <c r="L30" s="623">
        <v>139184373</v>
      </c>
      <c r="M30" s="606">
        <v>197000000</v>
      </c>
      <c r="N30" s="45"/>
      <c r="O30" s="45"/>
      <c r="P30" s="45">
        <f t="shared" si="9"/>
        <v>197000000</v>
      </c>
      <c r="Q30" s="253"/>
      <c r="R30" s="253"/>
      <c r="S30" s="253"/>
      <c r="T30" s="253">
        <f t="shared" si="10"/>
        <v>0</v>
      </c>
    </row>
    <row r="31" spans="1:20" ht="36" x14ac:dyDescent="0.25">
      <c r="A31" s="38">
        <v>2</v>
      </c>
      <c r="B31" s="38">
        <v>0</v>
      </c>
      <c r="C31" s="38">
        <v>4</v>
      </c>
      <c r="D31" s="38">
        <v>5</v>
      </c>
      <c r="E31" s="38">
        <v>12</v>
      </c>
      <c r="F31" s="38" t="s">
        <v>147</v>
      </c>
      <c r="G31" s="25">
        <v>10</v>
      </c>
      <c r="H31" s="25" t="s">
        <v>88</v>
      </c>
      <c r="I31" s="42" t="s">
        <v>118</v>
      </c>
      <c r="J31" s="623">
        <v>1449028</v>
      </c>
      <c r="K31" s="623">
        <v>54500</v>
      </c>
      <c r="L31" s="623">
        <v>3845289</v>
      </c>
      <c r="M31" s="45">
        <v>2000000</v>
      </c>
      <c r="N31" s="45"/>
      <c r="O31" s="45"/>
      <c r="P31" s="45">
        <f t="shared" si="9"/>
        <v>2000000</v>
      </c>
      <c r="Q31" s="253">
        <v>1500000</v>
      </c>
      <c r="R31" s="253">
        <v>500000</v>
      </c>
      <c r="S31" s="292"/>
      <c r="T31" s="253">
        <f t="shared" si="10"/>
        <v>500000</v>
      </c>
    </row>
    <row r="32" spans="1:20" ht="20.25" x14ac:dyDescent="0.25">
      <c r="A32" s="32"/>
      <c r="B32" s="32"/>
      <c r="C32" s="32"/>
      <c r="D32" s="32"/>
      <c r="E32" s="32"/>
      <c r="F32" s="32"/>
      <c r="G32" s="33"/>
      <c r="H32" s="33"/>
      <c r="I32" s="35" t="s">
        <v>134</v>
      </c>
      <c r="J32" s="264">
        <f t="shared" ref="J32:T32" si="11">SUM(J25:J31)</f>
        <v>371899712.80000001</v>
      </c>
      <c r="K32" s="264">
        <f t="shared" si="11"/>
        <v>610640625.5</v>
      </c>
      <c r="L32" s="264">
        <f t="shared" si="11"/>
        <v>455267749</v>
      </c>
      <c r="M32" s="265">
        <f>SUM(M24:M31)</f>
        <v>694220000</v>
      </c>
      <c r="N32" s="265">
        <f>SUM(N24:N31)</f>
        <v>0</v>
      </c>
      <c r="O32" s="265">
        <f>SUM(O24:O31)</f>
        <v>0</v>
      </c>
      <c r="P32" s="265">
        <f>SUM(P24:P31)</f>
        <v>694220000</v>
      </c>
      <c r="Q32" s="49">
        <f>SUM(Q25:Q31)</f>
        <v>1500000</v>
      </c>
      <c r="R32" s="49">
        <f t="shared" si="11"/>
        <v>8800000</v>
      </c>
      <c r="S32" s="49">
        <f t="shared" si="11"/>
        <v>0</v>
      </c>
      <c r="T32" s="49">
        <f t="shared" si="11"/>
        <v>8800000</v>
      </c>
    </row>
    <row r="33" spans="1:20" ht="20.25" x14ac:dyDescent="0.25">
      <c r="A33" s="739" t="s">
        <v>124</v>
      </c>
      <c r="B33" s="739"/>
      <c r="C33" s="739"/>
      <c r="D33" s="739"/>
      <c r="E33" s="739"/>
      <c r="F33" s="739"/>
      <c r="G33" s="739"/>
      <c r="H33" s="739"/>
      <c r="I33" s="739"/>
      <c r="J33" s="25"/>
      <c r="K33" s="25"/>
      <c r="L33" s="25"/>
      <c r="M33" s="50"/>
      <c r="N33" s="50"/>
      <c r="O33" s="50"/>
      <c r="P33" s="50"/>
      <c r="Q33" s="50"/>
      <c r="R33" s="50"/>
      <c r="S33" s="50"/>
      <c r="T33" s="50"/>
    </row>
    <row r="34" spans="1:20" ht="36" x14ac:dyDescent="0.25">
      <c r="A34" s="38">
        <v>2</v>
      </c>
      <c r="B34" s="38">
        <v>0</v>
      </c>
      <c r="C34" s="38">
        <v>4</v>
      </c>
      <c r="D34" s="38">
        <v>6</v>
      </c>
      <c r="E34" s="38">
        <v>2</v>
      </c>
      <c r="F34" s="38" t="s">
        <v>147</v>
      </c>
      <c r="G34" s="25">
        <v>10</v>
      </c>
      <c r="H34" s="25" t="s">
        <v>88</v>
      </c>
      <c r="I34" s="36" t="s">
        <v>119</v>
      </c>
      <c r="J34" s="623">
        <v>56623255</v>
      </c>
      <c r="K34" s="623">
        <v>80264238</v>
      </c>
      <c r="L34" s="623">
        <v>102393891</v>
      </c>
      <c r="M34" s="606">
        <v>113000000</v>
      </c>
      <c r="N34" s="45"/>
      <c r="O34" s="45"/>
      <c r="P34" s="45">
        <f>SUM(M34+N34-O34)</f>
        <v>113000000</v>
      </c>
      <c r="Q34" s="253"/>
      <c r="R34" s="253">
        <v>1000000</v>
      </c>
      <c r="S34" s="292"/>
      <c r="T34" s="253">
        <f>SUM(R34-S34)</f>
        <v>1000000</v>
      </c>
    </row>
    <row r="35" spans="1:20" ht="36" x14ac:dyDescent="0.25">
      <c r="A35" s="38">
        <v>2</v>
      </c>
      <c r="B35" s="38">
        <v>0</v>
      </c>
      <c r="C35" s="38">
        <v>4</v>
      </c>
      <c r="D35" s="38">
        <v>6</v>
      </c>
      <c r="E35" s="38">
        <v>5</v>
      </c>
      <c r="F35" s="38" t="s">
        <v>147</v>
      </c>
      <c r="G35" s="25">
        <v>10</v>
      </c>
      <c r="H35" s="25" t="s">
        <v>88</v>
      </c>
      <c r="I35" s="42" t="s">
        <v>120</v>
      </c>
      <c r="J35" s="623">
        <v>16573350</v>
      </c>
      <c r="K35" s="623">
        <v>133954639</v>
      </c>
      <c r="L35" s="623">
        <v>497266364</v>
      </c>
      <c r="M35" s="606">
        <v>980000000</v>
      </c>
      <c r="N35" s="45"/>
      <c r="O35" s="45"/>
      <c r="P35" s="45">
        <f>SUM(M35+N35-O35)</f>
        <v>980000000</v>
      </c>
      <c r="Q35" s="253"/>
      <c r="R35" s="253"/>
      <c r="S35" s="253"/>
      <c r="T35" s="253">
        <f>SUM(R35-S35)</f>
        <v>0</v>
      </c>
    </row>
    <row r="36" spans="1:20" ht="36" x14ac:dyDescent="0.25">
      <c r="A36" s="38">
        <v>2</v>
      </c>
      <c r="B36" s="38">
        <v>0</v>
      </c>
      <c r="C36" s="38">
        <v>4</v>
      </c>
      <c r="D36" s="38">
        <v>6</v>
      </c>
      <c r="E36" s="38">
        <v>7</v>
      </c>
      <c r="F36" s="38" t="s">
        <v>147</v>
      </c>
      <c r="G36" s="25">
        <v>10</v>
      </c>
      <c r="H36" s="25" t="s">
        <v>88</v>
      </c>
      <c r="I36" s="42" t="s">
        <v>121</v>
      </c>
      <c r="J36" s="623">
        <v>2968650</v>
      </c>
      <c r="K36" s="623">
        <v>3042900</v>
      </c>
      <c r="L36" s="623">
        <v>0</v>
      </c>
      <c r="M36" s="606">
        <v>5100000</v>
      </c>
      <c r="N36" s="45"/>
      <c r="O36" s="45"/>
      <c r="P36" s="45">
        <f>SUM(M36+N36-O36)</f>
        <v>5100000</v>
      </c>
      <c r="Q36" s="253"/>
      <c r="R36" s="253">
        <v>2700000</v>
      </c>
      <c r="S36" s="292"/>
      <c r="T36" s="253">
        <f>SUM(R36-S36)</f>
        <v>2700000</v>
      </c>
    </row>
    <row r="37" spans="1:20" ht="36" x14ac:dyDescent="0.25">
      <c r="A37" s="38">
        <v>2</v>
      </c>
      <c r="B37" s="38">
        <v>0</v>
      </c>
      <c r="C37" s="38">
        <v>4</v>
      </c>
      <c r="D37" s="38">
        <v>6</v>
      </c>
      <c r="E37" s="38">
        <v>8</v>
      </c>
      <c r="F37" s="38" t="s">
        <v>147</v>
      </c>
      <c r="G37" s="25">
        <v>10</v>
      </c>
      <c r="H37" s="25" t="s">
        <v>88</v>
      </c>
      <c r="I37" s="42" t="s">
        <v>370</v>
      </c>
      <c r="J37" s="623">
        <v>3728944</v>
      </c>
      <c r="K37" s="623">
        <v>4108750</v>
      </c>
      <c r="L37" s="623">
        <f>3344323+1826294</f>
        <v>5170617</v>
      </c>
      <c r="M37" s="606">
        <v>5400000</v>
      </c>
      <c r="N37" s="45"/>
      <c r="O37" s="45"/>
      <c r="P37" s="45">
        <f>SUM(M37+N37-O37)</f>
        <v>5400000</v>
      </c>
      <c r="Q37" s="253">
        <v>1500000</v>
      </c>
      <c r="R37" s="253"/>
      <c r="S37" s="253"/>
      <c r="T37" s="253">
        <f>SUM(R37-S37)</f>
        <v>0</v>
      </c>
    </row>
    <row r="38" spans="1:20" ht="28.5" x14ac:dyDescent="0.25">
      <c r="A38" s="32"/>
      <c r="B38" s="32"/>
      <c r="C38" s="32"/>
      <c r="D38" s="32"/>
      <c r="E38" s="32"/>
      <c r="F38" s="32"/>
      <c r="G38" s="33"/>
      <c r="H38" s="33"/>
      <c r="I38" s="35" t="s">
        <v>136</v>
      </c>
      <c r="J38" s="264">
        <f>SUM(J34:J37)</f>
        <v>79894199</v>
      </c>
      <c r="K38" s="264">
        <f>SUM(K34:K37)</f>
        <v>221370527</v>
      </c>
      <c r="L38" s="264">
        <f>SUM(L34:L37)</f>
        <v>604830872</v>
      </c>
      <c r="M38" s="265">
        <f>SUM(M33:M37)</f>
        <v>1103500000</v>
      </c>
      <c r="N38" s="265">
        <f>SUM(N33:N37)</f>
        <v>0</v>
      </c>
      <c r="O38" s="265">
        <f>SUM(O33:O37)</f>
        <v>0</v>
      </c>
      <c r="P38" s="265">
        <f>SUM(P33:P37)</f>
        <v>1103500000</v>
      </c>
      <c r="Q38" s="49">
        <f>SUM(Q34:Q37)</f>
        <v>1500000</v>
      </c>
      <c r="R38" s="49">
        <f>SUM(R34:R37)</f>
        <v>3700000</v>
      </c>
      <c r="S38" s="49">
        <f t="shared" ref="S38:T38" si="12">SUM(S34:S37)</f>
        <v>0</v>
      </c>
      <c r="T38" s="49">
        <f t="shared" si="12"/>
        <v>3700000</v>
      </c>
    </row>
    <row r="39" spans="1:20" ht="20.25" x14ac:dyDescent="0.25">
      <c r="A39" s="739" t="s">
        <v>122</v>
      </c>
      <c r="B39" s="739"/>
      <c r="C39" s="739"/>
      <c r="D39" s="739"/>
      <c r="E39" s="739"/>
      <c r="F39" s="739"/>
      <c r="G39" s="739"/>
      <c r="H39" s="739"/>
      <c r="I39" s="739" t="s">
        <v>122</v>
      </c>
      <c r="J39" s="25"/>
      <c r="K39" s="25"/>
      <c r="L39" s="25"/>
      <c r="M39" s="50"/>
      <c r="N39" s="50"/>
      <c r="O39" s="50"/>
      <c r="P39" s="50"/>
      <c r="Q39" s="50"/>
      <c r="R39" s="50"/>
      <c r="S39" s="50"/>
      <c r="T39" s="50"/>
    </row>
    <row r="40" spans="1:20" ht="36" x14ac:dyDescent="0.25">
      <c r="A40" s="38">
        <v>2</v>
      </c>
      <c r="B40" s="38">
        <v>0</v>
      </c>
      <c r="C40" s="38">
        <v>4</v>
      </c>
      <c r="D40" s="38">
        <v>7</v>
      </c>
      <c r="E40" s="38">
        <v>1</v>
      </c>
      <c r="F40" s="38" t="s">
        <v>147</v>
      </c>
      <c r="G40" s="25">
        <v>9</v>
      </c>
      <c r="H40" s="25" t="s">
        <v>88</v>
      </c>
      <c r="I40" s="36" t="s">
        <v>150</v>
      </c>
      <c r="J40" s="623">
        <v>746200</v>
      </c>
      <c r="K40" s="623">
        <v>85400</v>
      </c>
      <c r="L40" s="623"/>
      <c r="M40" s="45"/>
      <c r="N40" s="45"/>
      <c r="O40" s="45"/>
      <c r="P40" s="45">
        <f>SUM(M40+N40-O40)</f>
        <v>0</v>
      </c>
      <c r="Q40" s="253"/>
      <c r="R40" s="253">
        <v>0</v>
      </c>
      <c r="S40" s="253">
        <v>0</v>
      </c>
      <c r="T40" s="253">
        <f>SUM(R40-S40)</f>
        <v>0</v>
      </c>
    </row>
    <row r="41" spans="1:20" ht="45" x14ac:dyDescent="0.25">
      <c r="A41" s="38">
        <v>2</v>
      </c>
      <c r="B41" s="38">
        <v>0</v>
      </c>
      <c r="C41" s="38">
        <v>4</v>
      </c>
      <c r="D41" s="38">
        <v>7</v>
      </c>
      <c r="E41" s="38">
        <v>3</v>
      </c>
      <c r="F41" s="38" t="s">
        <v>90</v>
      </c>
      <c r="G41" s="25">
        <v>10</v>
      </c>
      <c r="H41" s="25" t="s">
        <v>88</v>
      </c>
      <c r="I41" s="36" t="s">
        <v>149</v>
      </c>
      <c r="J41" s="623">
        <v>111300</v>
      </c>
      <c r="K41" s="623">
        <v>120960</v>
      </c>
      <c r="L41" s="623"/>
      <c r="M41" s="45"/>
      <c r="N41" s="45"/>
      <c r="O41" s="45"/>
      <c r="P41" s="45">
        <f>SUM(M41+N41-O41)</f>
        <v>0</v>
      </c>
      <c r="Q41" s="253"/>
      <c r="R41" s="253"/>
      <c r="S41" s="253">
        <v>0</v>
      </c>
      <c r="T41" s="253">
        <f>SUM(R41-S41)</f>
        <v>0</v>
      </c>
    </row>
    <row r="42" spans="1:20" ht="36" x14ac:dyDescent="0.25">
      <c r="A42" s="38">
        <v>2</v>
      </c>
      <c r="B42" s="38">
        <v>0</v>
      </c>
      <c r="C42" s="38">
        <v>4</v>
      </c>
      <c r="D42" s="38">
        <v>7</v>
      </c>
      <c r="E42" s="38">
        <v>5</v>
      </c>
      <c r="F42" s="38" t="s">
        <v>147</v>
      </c>
      <c r="G42" s="25">
        <v>10</v>
      </c>
      <c r="H42" s="25" t="s">
        <v>88</v>
      </c>
      <c r="I42" s="42" t="s">
        <v>123</v>
      </c>
      <c r="J42" s="623">
        <v>2293000</v>
      </c>
      <c r="K42" s="623">
        <v>1674000</v>
      </c>
      <c r="L42" s="623">
        <v>683998</v>
      </c>
      <c r="M42" s="606">
        <v>6000000</v>
      </c>
      <c r="N42" s="45"/>
      <c r="O42" s="45"/>
      <c r="P42" s="45">
        <f>SUM(M42+N42-O42)</f>
        <v>6000000</v>
      </c>
      <c r="Q42" s="253"/>
      <c r="R42" s="253"/>
      <c r="S42" s="253"/>
      <c r="T42" s="253">
        <f>SUM(R42-S42)</f>
        <v>0</v>
      </c>
    </row>
    <row r="43" spans="1:20" ht="36" x14ac:dyDescent="0.25">
      <c r="A43" s="38">
        <v>2</v>
      </c>
      <c r="B43" s="38">
        <v>0</v>
      </c>
      <c r="C43" s="38">
        <v>4</v>
      </c>
      <c r="D43" s="38">
        <v>7</v>
      </c>
      <c r="E43" s="38">
        <v>6</v>
      </c>
      <c r="F43" s="38" t="s">
        <v>147</v>
      </c>
      <c r="G43" s="25">
        <v>10</v>
      </c>
      <c r="H43" s="25" t="s">
        <v>88</v>
      </c>
      <c r="I43" s="42" t="s">
        <v>212</v>
      </c>
      <c r="J43" s="623">
        <v>5955458</v>
      </c>
      <c r="K43" s="623">
        <v>4360858</v>
      </c>
      <c r="L43" s="623">
        <f>1454877</f>
        <v>1454877</v>
      </c>
      <c r="M43" s="606">
        <v>5500000</v>
      </c>
      <c r="N43" s="45"/>
      <c r="O43" s="45"/>
      <c r="P43" s="45">
        <f>SUM(M43+N43-O43)</f>
        <v>5500000</v>
      </c>
      <c r="Q43" s="49">
        <v>500000</v>
      </c>
      <c r="R43" s="49">
        <v>2500000</v>
      </c>
      <c r="S43" s="292"/>
      <c r="T43" s="253">
        <f>SUM(R43-S43)</f>
        <v>2500000</v>
      </c>
    </row>
    <row r="44" spans="1:20" ht="36" x14ac:dyDescent="0.25">
      <c r="A44" s="32"/>
      <c r="B44" s="32"/>
      <c r="C44" s="32"/>
      <c r="D44" s="32"/>
      <c r="E44" s="32"/>
      <c r="F44" s="32" t="s">
        <v>147</v>
      </c>
      <c r="G44" s="33"/>
      <c r="H44" s="33"/>
      <c r="I44" s="35" t="s">
        <v>152</v>
      </c>
      <c r="J44" s="264">
        <f>SUM(J40:J43)</f>
        <v>9105958</v>
      </c>
      <c r="K44" s="264">
        <f>SUM(K40:K43)</f>
        <v>6241218</v>
      </c>
      <c r="L44" s="264">
        <f>SUM(L40:L43)</f>
        <v>2138875</v>
      </c>
      <c r="M44" s="265">
        <f>SUM(M40:M43)</f>
        <v>11500000</v>
      </c>
      <c r="N44" s="265">
        <f t="shared" ref="N44:T44" si="13">SUM(N40:N43)</f>
        <v>0</v>
      </c>
      <c r="O44" s="265">
        <f t="shared" si="13"/>
        <v>0</v>
      </c>
      <c r="P44" s="265">
        <f t="shared" si="13"/>
        <v>11500000</v>
      </c>
      <c r="Q44" s="49">
        <f t="shared" si="13"/>
        <v>500000</v>
      </c>
      <c r="R44" s="49">
        <f t="shared" si="13"/>
        <v>2500000</v>
      </c>
      <c r="S44" s="49">
        <f t="shared" si="13"/>
        <v>0</v>
      </c>
      <c r="T44" s="49">
        <f t="shared" si="13"/>
        <v>2500000</v>
      </c>
    </row>
    <row r="45" spans="1:20" ht="20.25" x14ac:dyDescent="0.25">
      <c r="A45" s="739" t="s">
        <v>371</v>
      </c>
      <c r="B45" s="739"/>
      <c r="C45" s="739"/>
      <c r="D45" s="739"/>
      <c r="E45" s="739"/>
      <c r="F45" s="739"/>
      <c r="G45" s="739"/>
      <c r="H45" s="739"/>
      <c r="I45" s="739"/>
      <c r="J45" s="623"/>
      <c r="K45" s="623"/>
      <c r="L45" s="623"/>
      <c r="M45" s="45"/>
      <c r="N45" s="45"/>
      <c r="O45" s="45"/>
      <c r="P45" s="45"/>
      <c r="Q45" s="253"/>
      <c r="R45" s="253"/>
      <c r="S45" s="253"/>
      <c r="T45" s="253"/>
    </row>
    <row r="46" spans="1:20" ht="36" x14ac:dyDescent="0.25">
      <c r="A46" s="38">
        <v>2</v>
      </c>
      <c r="B46" s="38">
        <v>0</v>
      </c>
      <c r="C46" s="38">
        <v>4</v>
      </c>
      <c r="D46" s="38">
        <v>8</v>
      </c>
      <c r="E46" s="38">
        <v>1</v>
      </c>
      <c r="F46" s="38" t="s">
        <v>147</v>
      </c>
      <c r="G46" s="25">
        <v>10</v>
      </c>
      <c r="H46" s="25" t="s">
        <v>88</v>
      </c>
      <c r="I46" s="315" t="s">
        <v>376</v>
      </c>
      <c r="J46" s="623">
        <v>6186430</v>
      </c>
      <c r="K46" s="623">
        <v>6607190</v>
      </c>
      <c r="L46" s="623">
        <v>9941102</v>
      </c>
      <c r="M46" s="606">
        <v>10000000</v>
      </c>
      <c r="N46" s="177"/>
      <c r="O46" s="45"/>
      <c r="P46" s="45">
        <f>SUM(M46+N46-O46)</f>
        <v>10000000</v>
      </c>
      <c r="Q46" s="253"/>
      <c r="R46" s="253"/>
      <c r="S46" s="253"/>
      <c r="T46" s="253"/>
    </row>
    <row r="47" spans="1:20" ht="36" x14ac:dyDescent="0.25">
      <c r="A47" s="38">
        <v>2</v>
      </c>
      <c r="B47" s="38">
        <v>0</v>
      </c>
      <c r="C47" s="38">
        <v>4</v>
      </c>
      <c r="D47" s="38">
        <v>8</v>
      </c>
      <c r="E47" s="38">
        <v>2</v>
      </c>
      <c r="F47" s="38" t="s">
        <v>147</v>
      </c>
      <c r="G47" s="25">
        <v>10</v>
      </c>
      <c r="H47" s="25" t="s">
        <v>88</v>
      </c>
      <c r="I47" s="315" t="s">
        <v>377</v>
      </c>
      <c r="J47" s="623">
        <v>93438200</v>
      </c>
      <c r="K47" s="623">
        <v>94312740</v>
      </c>
      <c r="L47" s="623">
        <v>103921690</v>
      </c>
      <c r="M47" s="606">
        <v>127000000</v>
      </c>
      <c r="N47" s="45"/>
      <c r="O47" s="45"/>
      <c r="P47" s="45">
        <f>SUM(M47+N47-O47)</f>
        <v>127000000</v>
      </c>
      <c r="Q47" s="253"/>
      <c r="R47" s="253"/>
      <c r="S47" s="253"/>
      <c r="T47" s="253"/>
    </row>
    <row r="48" spans="1:20" ht="36" x14ac:dyDescent="0.25">
      <c r="A48" s="38">
        <v>2</v>
      </c>
      <c r="B48" s="38">
        <v>0</v>
      </c>
      <c r="C48" s="38">
        <v>4</v>
      </c>
      <c r="D48" s="38">
        <v>8</v>
      </c>
      <c r="E48" s="38">
        <v>5</v>
      </c>
      <c r="F48" s="38" t="s">
        <v>147</v>
      </c>
      <c r="G48" s="25">
        <v>10</v>
      </c>
      <c r="H48" s="25" t="s">
        <v>88</v>
      </c>
      <c r="I48" s="315" t="s">
        <v>378</v>
      </c>
      <c r="J48" s="623">
        <v>38584988</v>
      </c>
      <c r="K48" s="623">
        <v>37647973</v>
      </c>
      <c r="L48" s="623">
        <v>29818737</v>
      </c>
      <c r="M48" s="606">
        <v>19000000</v>
      </c>
      <c r="N48" s="45"/>
      <c r="O48" s="45"/>
      <c r="P48" s="45">
        <f>SUM(M48+N48-O48)</f>
        <v>19000000</v>
      </c>
      <c r="Q48" s="253"/>
      <c r="R48" s="253"/>
      <c r="S48" s="253"/>
      <c r="T48" s="253"/>
    </row>
    <row r="49" spans="1:20" ht="24" x14ac:dyDescent="0.25">
      <c r="A49" s="38">
        <v>2</v>
      </c>
      <c r="B49" s="38">
        <v>0</v>
      </c>
      <c r="C49" s="38">
        <v>4</v>
      </c>
      <c r="D49" s="38">
        <v>8</v>
      </c>
      <c r="E49" s="38">
        <v>6</v>
      </c>
      <c r="F49" s="38"/>
      <c r="G49" s="25">
        <v>10</v>
      </c>
      <c r="H49" s="25" t="s">
        <v>88</v>
      </c>
      <c r="I49" s="315" t="s">
        <v>379</v>
      </c>
      <c r="J49" s="623">
        <v>122363650</v>
      </c>
      <c r="K49" s="623">
        <v>119445871</v>
      </c>
      <c r="L49" s="623">
        <v>113763193</v>
      </c>
      <c r="M49" s="606">
        <v>115000000</v>
      </c>
      <c r="N49" s="45"/>
      <c r="O49" s="177"/>
      <c r="P49" s="45">
        <f>SUM(M49+N49-O49)</f>
        <v>115000000</v>
      </c>
      <c r="Q49" s="253"/>
      <c r="R49" s="253"/>
      <c r="S49" s="253"/>
      <c r="T49" s="253"/>
    </row>
    <row r="50" spans="1:20" ht="20.25" x14ac:dyDescent="0.25">
      <c r="A50" s="32"/>
      <c r="B50" s="32"/>
      <c r="C50" s="32"/>
      <c r="D50" s="32"/>
      <c r="E50" s="32"/>
      <c r="F50" s="32"/>
      <c r="G50" s="33"/>
      <c r="H50" s="33"/>
      <c r="I50" s="35" t="s">
        <v>380</v>
      </c>
      <c r="J50" s="264"/>
      <c r="K50" s="264"/>
      <c r="L50" s="264"/>
      <c r="M50" s="265">
        <f>SUM(M46:M49)</f>
        <v>271000000</v>
      </c>
      <c r="N50" s="265">
        <f>SUM(N46:N49)</f>
        <v>0</v>
      </c>
      <c r="O50" s="265">
        <f>SUM(O46:O49)</f>
        <v>0</v>
      </c>
      <c r="P50" s="265">
        <f>SUM(P46:P49)</f>
        <v>271000000</v>
      </c>
      <c r="Q50" s="49"/>
      <c r="R50" s="49"/>
      <c r="S50" s="49"/>
      <c r="T50" s="49"/>
    </row>
    <row r="51" spans="1:20" ht="20.25" x14ac:dyDescent="0.25">
      <c r="A51" s="739" t="s">
        <v>381</v>
      </c>
      <c r="B51" s="739"/>
      <c r="C51" s="739"/>
      <c r="D51" s="739"/>
      <c r="E51" s="739"/>
      <c r="F51" s="739"/>
      <c r="G51" s="739"/>
      <c r="H51" s="739"/>
      <c r="I51" s="739"/>
      <c r="J51" s="25"/>
      <c r="K51" s="25"/>
      <c r="L51" s="25"/>
      <c r="M51" s="50"/>
      <c r="N51" s="50"/>
      <c r="O51" s="50"/>
      <c r="P51" s="50"/>
      <c r="Q51" s="50"/>
      <c r="R51" s="50"/>
      <c r="S51" s="50"/>
      <c r="T51" s="50"/>
    </row>
    <row r="52" spans="1:20" ht="36" x14ac:dyDescent="0.25">
      <c r="A52" s="38">
        <v>2</v>
      </c>
      <c r="B52" s="38">
        <v>0</v>
      </c>
      <c r="C52" s="38">
        <v>4</v>
      </c>
      <c r="D52" s="38">
        <v>9</v>
      </c>
      <c r="E52" s="38">
        <v>4</v>
      </c>
      <c r="F52" s="38" t="s">
        <v>147</v>
      </c>
      <c r="G52" s="25">
        <v>10</v>
      </c>
      <c r="H52" s="25" t="s">
        <v>88</v>
      </c>
      <c r="I52" s="42" t="s">
        <v>382</v>
      </c>
      <c r="J52" s="623">
        <v>13728734</v>
      </c>
      <c r="K52" s="623">
        <v>10285849</v>
      </c>
      <c r="L52" s="623">
        <v>9005472</v>
      </c>
      <c r="M52" s="45">
        <v>100000</v>
      </c>
      <c r="N52" s="45"/>
      <c r="O52" s="45"/>
      <c r="P52" s="45">
        <f>SUM(M52+N52-O52)</f>
        <v>100000</v>
      </c>
      <c r="Q52" s="45"/>
      <c r="R52" s="45"/>
      <c r="S52" s="45"/>
      <c r="T52" s="45"/>
    </row>
    <row r="53" spans="1:20" ht="36" x14ac:dyDescent="0.25">
      <c r="A53" s="38">
        <v>2</v>
      </c>
      <c r="B53" s="38">
        <v>0</v>
      </c>
      <c r="C53" s="38">
        <v>4</v>
      </c>
      <c r="D53" s="38">
        <v>9</v>
      </c>
      <c r="E53" s="38">
        <v>7</v>
      </c>
      <c r="F53" s="38" t="s">
        <v>147</v>
      </c>
      <c r="G53" s="25">
        <v>10</v>
      </c>
      <c r="H53" s="25" t="s">
        <v>88</v>
      </c>
      <c r="I53" s="42" t="s">
        <v>383</v>
      </c>
      <c r="J53" s="623">
        <v>12101320</v>
      </c>
      <c r="K53" s="623">
        <v>767811</v>
      </c>
      <c r="L53" s="623">
        <v>8155898</v>
      </c>
      <c r="M53" s="45">
        <v>100000</v>
      </c>
      <c r="N53" s="45"/>
      <c r="O53" s="45"/>
      <c r="P53" s="45">
        <f>SUM(M53+N53-O53)</f>
        <v>100000</v>
      </c>
      <c r="Q53" s="45"/>
      <c r="R53" s="45"/>
      <c r="S53" s="45"/>
      <c r="T53" s="45"/>
    </row>
    <row r="54" spans="1:20" ht="36" x14ac:dyDescent="0.25">
      <c r="A54" s="38">
        <v>2</v>
      </c>
      <c r="B54" s="38">
        <v>0</v>
      </c>
      <c r="C54" s="38">
        <v>4</v>
      </c>
      <c r="D54" s="38">
        <v>9</v>
      </c>
      <c r="E54" s="38">
        <v>8</v>
      </c>
      <c r="F54" s="38" t="s">
        <v>147</v>
      </c>
      <c r="G54" s="25">
        <v>10</v>
      </c>
      <c r="H54" s="25" t="s">
        <v>88</v>
      </c>
      <c r="I54" s="42" t="s">
        <v>384</v>
      </c>
      <c r="J54" s="623">
        <v>44027913</v>
      </c>
      <c r="K54" s="623">
        <v>15481207</v>
      </c>
      <c r="L54" s="623">
        <v>34743449</v>
      </c>
      <c r="M54" s="606">
        <v>14000000</v>
      </c>
      <c r="N54" s="45"/>
      <c r="O54" s="45"/>
      <c r="P54" s="45">
        <f>SUM(M54+N54-O54)</f>
        <v>14000000</v>
      </c>
      <c r="Q54" s="46"/>
      <c r="R54" s="45"/>
      <c r="S54" s="45"/>
      <c r="T54" s="45"/>
    </row>
    <row r="55" spans="1:20" ht="36" x14ac:dyDescent="0.25">
      <c r="A55" s="38">
        <v>2</v>
      </c>
      <c r="B55" s="38">
        <v>0</v>
      </c>
      <c r="C55" s="38">
        <v>4</v>
      </c>
      <c r="D55" s="38">
        <v>9</v>
      </c>
      <c r="E55" s="38">
        <v>9</v>
      </c>
      <c r="F55" s="38" t="s">
        <v>147</v>
      </c>
      <c r="G55" s="25">
        <v>10</v>
      </c>
      <c r="H55" s="25" t="s">
        <v>88</v>
      </c>
      <c r="I55" s="42" t="s">
        <v>385</v>
      </c>
      <c r="J55" s="623">
        <v>10358060</v>
      </c>
      <c r="K55" s="623">
        <v>767811</v>
      </c>
      <c r="L55" s="623">
        <v>9175385</v>
      </c>
      <c r="M55" s="45">
        <v>100000</v>
      </c>
      <c r="N55" s="45"/>
      <c r="O55" s="45"/>
      <c r="P55" s="45">
        <f>SUM(M55+N55-O55)</f>
        <v>100000</v>
      </c>
      <c r="Q55" s="45"/>
      <c r="R55" s="45"/>
      <c r="S55" s="45"/>
      <c r="T55" s="45"/>
    </row>
    <row r="56" spans="1:20" ht="36" x14ac:dyDescent="0.25">
      <c r="A56" s="38">
        <v>2</v>
      </c>
      <c r="B56" s="38">
        <v>0</v>
      </c>
      <c r="C56" s="38">
        <v>4</v>
      </c>
      <c r="D56" s="38">
        <v>9</v>
      </c>
      <c r="E56" s="38">
        <v>13</v>
      </c>
      <c r="F56" s="38" t="s">
        <v>147</v>
      </c>
      <c r="G56" s="25">
        <v>10</v>
      </c>
      <c r="H56" s="25" t="s">
        <v>88</v>
      </c>
      <c r="I56" s="42" t="s">
        <v>386</v>
      </c>
      <c r="J56" s="623">
        <v>1239245</v>
      </c>
      <c r="K56" s="623">
        <v>668488</v>
      </c>
      <c r="L56" s="623">
        <v>820983</v>
      </c>
      <c r="M56" s="45">
        <v>100000</v>
      </c>
      <c r="N56" s="45"/>
      <c r="O56" s="45"/>
      <c r="P56" s="45">
        <f>SUM(M56+N56-O56)</f>
        <v>100000</v>
      </c>
      <c r="Q56" s="45"/>
      <c r="R56" s="45"/>
      <c r="S56" s="45"/>
      <c r="T56" s="45"/>
    </row>
    <row r="57" spans="1:20" ht="20.25" x14ac:dyDescent="0.25">
      <c r="A57" s="32"/>
      <c r="B57" s="32"/>
      <c r="C57" s="32"/>
      <c r="D57" s="32"/>
      <c r="E57" s="32"/>
      <c r="F57" s="32"/>
      <c r="G57" s="33"/>
      <c r="H57" s="33"/>
      <c r="I57" s="35" t="s">
        <v>387</v>
      </c>
      <c r="J57" s="264">
        <f t="shared" ref="J57:P57" si="14">SUM(J52:J56)</f>
        <v>81455272</v>
      </c>
      <c r="K57" s="264">
        <f t="shared" si="14"/>
        <v>27971166</v>
      </c>
      <c r="L57" s="264">
        <f t="shared" si="14"/>
        <v>61901187</v>
      </c>
      <c r="M57" s="265">
        <f t="shared" si="14"/>
        <v>14400000</v>
      </c>
      <c r="N57" s="265">
        <f t="shared" si="14"/>
        <v>0</v>
      </c>
      <c r="O57" s="265">
        <f t="shared" si="14"/>
        <v>0</v>
      </c>
      <c r="P57" s="265">
        <f t="shared" si="14"/>
        <v>14400000</v>
      </c>
      <c r="Q57" s="337"/>
      <c r="R57" s="337">
        <f t="shared" ref="R57:T57" si="15">SUM(R52:R56)</f>
        <v>0</v>
      </c>
      <c r="S57" s="337">
        <f t="shared" si="15"/>
        <v>0</v>
      </c>
      <c r="T57" s="337">
        <f t="shared" si="15"/>
        <v>0</v>
      </c>
    </row>
    <row r="58" spans="1:20" ht="20.25" x14ac:dyDescent="0.25">
      <c r="A58" s="740" t="s">
        <v>389</v>
      </c>
      <c r="B58" s="741"/>
      <c r="C58" s="741"/>
      <c r="D58" s="741"/>
      <c r="E58" s="741"/>
      <c r="F58" s="741"/>
      <c r="G58" s="741"/>
      <c r="H58" s="741"/>
      <c r="I58" s="742"/>
      <c r="J58" s="25"/>
      <c r="K58" s="25"/>
      <c r="L58" s="25"/>
      <c r="M58" s="50"/>
      <c r="N58" s="50"/>
      <c r="O58" s="50"/>
      <c r="P58" s="50"/>
      <c r="Q58" s="50"/>
      <c r="R58" s="50"/>
      <c r="S58" s="50"/>
      <c r="T58" s="50"/>
    </row>
    <row r="59" spans="1:20" ht="20.25" x14ac:dyDescent="0.25">
      <c r="A59" s="38"/>
      <c r="B59" s="38"/>
      <c r="C59" s="38"/>
      <c r="D59" s="38"/>
      <c r="E59" s="38"/>
      <c r="F59" s="38"/>
      <c r="G59" s="25"/>
      <c r="H59" s="25"/>
      <c r="I59" s="36" t="s">
        <v>390</v>
      </c>
      <c r="J59" s="623">
        <v>868840</v>
      </c>
      <c r="K59" s="623">
        <v>500000</v>
      </c>
      <c r="L59" s="623"/>
      <c r="M59" s="45"/>
      <c r="N59" s="45"/>
      <c r="O59" s="45"/>
      <c r="P59" s="45">
        <f>SUM(M59+N59-O59)</f>
        <v>0</v>
      </c>
      <c r="Q59" s="253"/>
      <c r="R59" s="253"/>
      <c r="S59" s="253"/>
      <c r="T59" s="253"/>
    </row>
    <row r="60" spans="1:20" ht="36" x14ac:dyDescent="0.25">
      <c r="A60" s="38">
        <v>2</v>
      </c>
      <c r="B60" s="38">
        <v>0</v>
      </c>
      <c r="C60" s="38">
        <v>4</v>
      </c>
      <c r="D60" s="38">
        <v>10</v>
      </c>
      <c r="E60" s="38">
        <v>2</v>
      </c>
      <c r="F60" s="38" t="s">
        <v>147</v>
      </c>
      <c r="G60" s="25">
        <v>10</v>
      </c>
      <c r="H60" s="25" t="s">
        <v>88</v>
      </c>
      <c r="I60" s="36" t="s">
        <v>391</v>
      </c>
      <c r="J60" s="623">
        <v>5444300</v>
      </c>
      <c r="K60" s="623">
        <v>5236662</v>
      </c>
      <c r="L60" s="623">
        <v>5612740</v>
      </c>
      <c r="M60" s="45">
        <v>6778000</v>
      </c>
      <c r="N60" s="45"/>
      <c r="O60" s="45"/>
      <c r="P60" s="45">
        <f>SUM(M60+N60-O60)</f>
        <v>6778000</v>
      </c>
      <c r="Q60" s="253"/>
      <c r="R60" s="253"/>
      <c r="S60" s="253"/>
      <c r="T60" s="253"/>
    </row>
    <row r="61" spans="1:20" ht="20.25" x14ac:dyDescent="0.25">
      <c r="A61" s="32"/>
      <c r="B61" s="32"/>
      <c r="C61" s="32"/>
      <c r="D61" s="32"/>
      <c r="E61" s="32"/>
      <c r="F61" s="32"/>
      <c r="G61" s="33"/>
      <c r="H61" s="33"/>
      <c r="I61" s="35" t="s">
        <v>392</v>
      </c>
      <c r="J61" s="264">
        <f>SUM(J59:J60)</f>
        <v>6313140</v>
      </c>
      <c r="K61" s="264">
        <f>SUM(K59:K60)</f>
        <v>5736662</v>
      </c>
      <c r="L61" s="264">
        <f>SUM(L59:L60)</f>
        <v>5612740</v>
      </c>
      <c r="M61" s="265">
        <f>SUM(M60)</f>
        <v>6778000</v>
      </c>
      <c r="N61" s="265">
        <f>SUM(N60)</f>
        <v>0</v>
      </c>
      <c r="O61" s="265">
        <f>SUM(O60)</f>
        <v>0</v>
      </c>
      <c r="P61" s="265">
        <f>SUM(P60)</f>
        <v>6778000</v>
      </c>
      <c r="Q61" s="337"/>
      <c r="R61" s="337">
        <f>SUM(R59:R60)</f>
        <v>0</v>
      </c>
      <c r="S61" s="337">
        <f>SUM(S59:S60)</f>
        <v>0</v>
      </c>
      <c r="T61" s="337">
        <f>SUM(T59:T60)</f>
        <v>0</v>
      </c>
    </row>
    <row r="62" spans="1:20" ht="20.25" x14ac:dyDescent="0.25">
      <c r="A62" s="740" t="s">
        <v>125</v>
      </c>
      <c r="B62" s="741"/>
      <c r="C62" s="741"/>
      <c r="D62" s="741"/>
      <c r="E62" s="741"/>
      <c r="F62" s="741"/>
      <c r="G62" s="741"/>
      <c r="H62" s="741"/>
      <c r="I62" s="741"/>
      <c r="J62" s="25"/>
      <c r="K62" s="25"/>
      <c r="L62" s="25"/>
      <c r="M62" s="50"/>
      <c r="N62" s="50"/>
      <c r="O62" s="50"/>
      <c r="P62" s="50"/>
      <c r="Q62" s="50"/>
      <c r="R62" s="50"/>
      <c r="S62" s="50"/>
      <c r="T62" s="50"/>
    </row>
    <row r="63" spans="1:20" ht="36" x14ac:dyDescent="0.25">
      <c r="A63" s="38">
        <v>2</v>
      </c>
      <c r="B63" s="38">
        <v>0</v>
      </c>
      <c r="C63" s="38">
        <v>4</v>
      </c>
      <c r="D63" s="38">
        <v>11</v>
      </c>
      <c r="E63" s="38">
        <v>1</v>
      </c>
      <c r="F63" s="38" t="s">
        <v>147</v>
      </c>
      <c r="G63" s="25">
        <v>10</v>
      </c>
      <c r="H63" s="25" t="s">
        <v>88</v>
      </c>
      <c r="I63" s="42" t="s">
        <v>393</v>
      </c>
      <c r="J63" s="743">
        <v>29008131.350000001</v>
      </c>
      <c r="K63" s="743">
        <v>20292720.050000001</v>
      </c>
      <c r="L63" s="307">
        <v>4233988</v>
      </c>
      <c r="M63" s="45"/>
      <c r="N63" s="45"/>
      <c r="O63" s="45"/>
      <c r="P63" s="45">
        <f>SUM(M63+N63-O63)</f>
        <v>0</v>
      </c>
      <c r="Q63" s="45"/>
      <c r="R63" s="45"/>
      <c r="S63" s="45"/>
      <c r="T63" s="45"/>
    </row>
    <row r="64" spans="1:20" ht="36" x14ac:dyDescent="0.25">
      <c r="A64" s="38">
        <v>2</v>
      </c>
      <c r="B64" s="38">
        <v>0</v>
      </c>
      <c r="C64" s="38">
        <v>4</v>
      </c>
      <c r="D64" s="38">
        <v>11</v>
      </c>
      <c r="E64" s="38">
        <v>1</v>
      </c>
      <c r="F64" s="38" t="s">
        <v>147</v>
      </c>
      <c r="G64" s="25">
        <v>10</v>
      </c>
      <c r="H64" s="25" t="s">
        <v>88</v>
      </c>
      <c r="I64" s="36" t="s">
        <v>394</v>
      </c>
      <c r="J64" s="743"/>
      <c r="K64" s="743"/>
      <c r="L64" s="307">
        <v>4799781.63</v>
      </c>
      <c r="M64" s="45">
        <v>0</v>
      </c>
      <c r="N64" s="45"/>
      <c r="O64" s="45"/>
      <c r="P64" s="45">
        <f>SUM(M64+N64-O64)</f>
        <v>0</v>
      </c>
      <c r="Q64" s="45"/>
      <c r="R64" s="45"/>
      <c r="S64" s="45"/>
      <c r="T64" s="45"/>
    </row>
    <row r="65" spans="1:20" ht="36" x14ac:dyDescent="0.25">
      <c r="A65" s="38">
        <v>2</v>
      </c>
      <c r="B65" s="38">
        <v>0</v>
      </c>
      <c r="C65" s="38">
        <v>4</v>
      </c>
      <c r="D65" s="38">
        <v>11</v>
      </c>
      <c r="E65" s="38">
        <v>2</v>
      </c>
      <c r="F65" s="38" t="s">
        <v>147</v>
      </c>
      <c r="G65" s="25">
        <v>10</v>
      </c>
      <c r="H65" s="25" t="s">
        <v>88</v>
      </c>
      <c r="I65" s="42" t="s">
        <v>395</v>
      </c>
      <c r="J65" s="743">
        <v>19651579</v>
      </c>
      <c r="K65" s="743">
        <v>37367844.5</v>
      </c>
      <c r="L65" s="623">
        <v>11937409</v>
      </c>
      <c r="M65" s="606">
        <v>35000000</v>
      </c>
      <c r="N65" s="45"/>
      <c r="O65" s="45"/>
      <c r="P65" s="45">
        <f>SUM(M65+N65-O65)</f>
        <v>35000000</v>
      </c>
      <c r="Q65" s="45"/>
      <c r="R65" s="45"/>
      <c r="S65" s="45"/>
      <c r="T65" s="45"/>
    </row>
    <row r="66" spans="1:20" ht="36" x14ac:dyDescent="0.25">
      <c r="A66" s="38">
        <v>2</v>
      </c>
      <c r="B66" s="38">
        <v>0</v>
      </c>
      <c r="C66" s="38">
        <v>4</v>
      </c>
      <c r="D66" s="38">
        <v>11</v>
      </c>
      <c r="E66" s="38">
        <v>2</v>
      </c>
      <c r="F66" s="38" t="s">
        <v>147</v>
      </c>
      <c r="G66" s="25">
        <v>10</v>
      </c>
      <c r="H66" s="25" t="s">
        <v>88</v>
      </c>
      <c r="I66" s="36" t="s">
        <v>115</v>
      </c>
      <c r="J66" s="743"/>
      <c r="K66" s="743"/>
      <c r="L66" s="623">
        <v>12823734</v>
      </c>
      <c r="M66" s="607">
        <v>20000000</v>
      </c>
      <c r="N66" s="45"/>
      <c r="O66" s="45"/>
      <c r="P66" s="45">
        <f>SUM(M66+N66-O66)</f>
        <v>20000000</v>
      </c>
      <c r="Q66" s="346">
        <v>4000000</v>
      </c>
      <c r="R66" s="347">
        <v>16000000</v>
      </c>
      <c r="S66" s="348"/>
      <c r="T66" s="346">
        <f>SUM(R66-S66)</f>
        <v>16000000</v>
      </c>
    </row>
    <row r="67" spans="1:20" ht="20.25" x14ac:dyDescent="0.25">
      <c r="A67" s="32"/>
      <c r="B67" s="32"/>
      <c r="C67" s="32"/>
      <c r="D67" s="32"/>
      <c r="E67" s="32"/>
      <c r="F67" s="32"/>
      <c r="G67" s="33"/>
      <c r="H67" s="33"/>
      <c r="I67" s="35" t="s">
        <v>137</v>
      </c>
      <c r="J67" s="264">
        <f t="shared" ref="J67:T67" si="16">SUM(J63:J66)</f>
        <v>48659710.350000001</v>
      </c>
      <c r="K67" s="264">
        <f t="shared" si="16"/>
        <v>57660564.549999997</v>
      </c>
      <c r="L67" s="264">
        <f t="shared" si="16"/>
        <v>33794912.629999995</v>
      </c>
      <c r="M67" s="265">
        <f t="shared" si="16"/>
        <v>55000000</v>
      </c>
      <c r="N67" s="265">
        <f t="shared" si="16"/>
        <v>0</v>
      </c>
      <c r="O67" s="265">
        <f t="shared" si="16"/>
        <v>0</v>
      </c>
      <c r="P67" s="265">
        <f t="shared" si="16"/>
        <v>55000000</v>
      </c>
      <c r="Q67" s="49">
        <f t="shared" si="16"/>
        <v>4000000</v>
      </c>
      <c r="R67" s="49">
        <f t="shared" si="16"/>
        <v>16000000</v>
      </c>
      <c r="S67" s="49">
        <f t="shared" si="16"/>
        <v>0</v>
      </c>
      <c r="T67" s="49">
        <f t="shared" si="16"/>
        <v>16000000</v>
      </c>
    </row>
    <row r="69" spans="1:20" ht="29.45" customHeight="1" x14ac:dyDescent="0.25">
      <c r="I69" s="624" t="s">
        <v>606</v>
      </c>
      <c r="J69" s="624"/>
      <c r="K69" s="624"/>
      <c r="L69" s="624"/>
      <c r="M69" s="624"/>
      <c r="N69" s="624"/>
      <c r="O69" s="624"/>
      <c r="P69" s="624"/>
      <c r="Q69" s="625">
        <f>SUM(Q9+Q12+Q23+Q32+Q38+Q44+Q50+Q67)</f>
        <v>12000000</v>
      </c>
      <c r="R69" s="625">
        <f>SUM(R9+R12+R23+R32+R38+R44+R50+R67)</f>
        <v>53300000</v>
      </c>
      <c r="S69" s="625">
        <f>SUM(S9+S12+S23+S32+S38+S44+S50+S67)</f>
        <v>0</v>
      </c>
      <c r="T69" s="625">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744" t="s">
        <v>580</v>
      </c>
      <c r="B3" s="745"/>
      <c r="C3" s="745"/>
      <c r="D3" s="745"/>
      <c r="E3" s="745"/>
      <c r="F3" s="745"/>
      <c r="G3" s="745"/>
      <c r="H3" s="745"/>
      <c r="I3" s="745"/>
      <c r="J3" s="746"/>
    </row>
    <row r="4" spans="1:10" ht="45" x14ac:dyDescent="0.25">
      <c r="A4" s="564" t="s">
        <v>111</v>
      </c>
      <c r="B4" s="564" t="s">
        <v>110</v>
      </c>
      <c r="C4" s="564" t="s">
        <v>109</v>
      </c>
      <c r="D4" s="564" t="s">
        <v>108</v>
      </c>
      <c r="E4" s="564" t="s">
        <v>107</v>
      </c>
      <c r="F4" s="564" t="s">
        <v>106</v>
      </c>
      <c r="G4" s="564" t="s">
        <v>105</v>
      </c>
      <c r="H4" s="564" t="s">
        <v>104</v>
      </c>
      <c r="I4" s="59" t="s">
        <v>103</v>
      </c>
      <c r="J4" s="59" t="s">
        <v>329</v>
      </c>
    </row>
    <row r="5" spans="1:10" ht="20.25" x14ac:dyDescent="0.25">
      <c r="A5" s="38">
        <v>1</v>
      </c>
      <c r="B5" s="38">
        <v>0</v>
      </c>
      <c r="C5" s="38">
        <v>2</v>
      </c>
      <c r="D5" s="38">
        <v>12</v>
      </c>
      <c r="E5" s="38"/>
      <c r="F5" s="38"/>
      <c r="G5" s="38">
        <v>10</v>
      </c>
      <c r="H5" s="148"/>
      <c r="I5" s="149" t="s">
        <v>351</v>
      </c>
      <c r="J5" s="45">
        <v>122923893</v>
      </c>
    </row>
    <row r="6" spans="1:10" ht="30" x14ac:dyDescent="0.25">
      <c r="A6" s="38">
        <v>1</v>
      </c>
      <c r="B6" s="38">
        <v>0</v>
      </c>
      <c r="C6" s="38">
        <v>2</v>
      </c>
      <c r="D6" s="38">
        <v>100</v>
      </c>
      <c r="E6" s="38"/>
      <c r="F6" s="38"/>
      <c r="G6" s="38"/>
      <c r="H6" s="38"/>
      <c r="I6" s="36" t="s">
        <v>352</v>
      </c>
      <c r="J6" s="45">
        <v>1500000</v>
      </c>
    </row>
    <row r="7" spans="1:10" ht="30" x14ac:dyDescent="0.25">
      <c r="A7" s="172"/>
      <c r="B7" s="172"/>
      <c r="C7" s="172"/>
      <c r="D7" s="172"/>
      <c r="E7" s="172"/>
      <c r="F7" s="172"/>
      <c r="G7" s="172"/>
      <c r="H7" s="172"/>
      <c r="I7" s="173" t="s">
        <v>353</v>
      </c>
      <c r="J7" s="175">
        <f>SUM(J5:J6)</f>
        <v>124423893</v>
      </c>
    </row>
    <row r="8" spans="1:10" ht="20.25" x14ac:dyDescent="0.25">
      <c r="A8" s="189"/>
      <c r="B8" s="189"/>
      <c r="C8" s="189"/>
      <c r="D8" s="189"/>
      <c r="E8" s="189"/>
      <c r="F8" s="189"/>
      <c r="G8" s="189"/>
      <c r="H8" s="189"/>
      <c r="I8" s="173" t="s">
        <v>354</v>
      </c>
      <c r="J8" s="175">
        <v>0</v>
      </c>
    </row>
    <row r="9" spans="1:10" ht="20.25" x14ac:dyDescent="0.25">
      <c r="A9" s="195">
        <v>2</v>
      </c>
      <c r="B9" s="195">
        <v>0</v>
      </c>
      <c r="C9" s="195">
        <v>3</v>
      </c>
      <c r="D9" s="196">
        <v>50</v>
      </c>
      <c r="E9" s="196">
        <v>3</v>
      </c>
      <c r="F9" s="196"/>
      <c r="G9" s="196"/>
      <c r="H9" s="196"/>
      <c r="I9" s="36" t="s">
        <v>355</v>
      </c>
      <c r="J9" s="45">
        <v>28920000</v>
      </c>
    </row>
    <row r="10" spans="1:10" ht="20.25" x14ac:dyDescent="0.25">
      <c r="A10" s="195">
        <v>2</v>
      </c>
      <c r="B10" s="195">
        <v>0</v>
      </c>
      <c r="C10" s="195">
        <v>3</v>
      </c>
      <c r="D10" s="196">
        <v>50</v>
      </c>
      <c r="E10" s="196" t="s">
        <v>101</v>
      </c>
      <c r="F10" s="196">
        <v>0</v>
      </c>
      <c r="G10" s="196">
        <v>10</v>
      </c>
      <c r="H10" s="196"/>
      <c r="I10" s="36" t="s">
        <v>356</v>
      </c>
      <c r="J10" s="45">
        <v>950000</v>
      </c>
    </row>
    <row r="11" spans="1:10" ht="20.25" x14ac:dyDescent="0.25">
      <c r="A11" s="196">
        <v>2</v>
      </c>
      <c r="B11" s="196">
        <v>0</v>
      </c>
      <c r="C11" s="196">
        <v>3</v>
      </c>
      <c r="D11" s="196">
        <v>51</v>
      </c>
      <c r="E11" s="196">
        <v>1</v>
      </c>
      <c r="F11" s="196">
        <v>0</v>
      </c>
      <c r="G11" s="196">
        <v>10</v>
      </c>
      <c r="H11" s="196"/>
      <c r="I11" s="36" t="s">
        <v>357</v>
      </c>
      <c r="J11" s="45">
        <v>0</v>
      </c>
    </row>
    <row r="12" spans="1:10" ht="20.25" x14ac:dyDescent="0.25">
      <c r="A12" s="172">
        <v>2</v>
      </c>
      <c r="B12" s="172">
        <v>0</v>
      </c>
      <c r="C12" s="172">
        <v>3</v>
      </c>
      <c r="D12" s="201"/>
      <c r="E12" s="201"/>
      <c r="F12" s="201"/>
      <c r="G12" s="201"/>
      <c r="H12" s="201"/>
      <c r="I12" s="173" t="s">
        <v>358</v>
      </c>
      <c r="J12" s="175">
        <f t="shared" ref="J12" si="0">SUM(J9:J11)</f>
        <v>29870000</v>
      </c>
    </row>
    <row r="13" spans="1:10" ht="20.25" x14ac:dyDescent="0.25">
      <c r="A13" s="195">
        <v>2</v>
      </c>
      <c r="B13" s="195">
        <v>0</v>
      </c>
      <c r="C13" s="195">
        <v>4</v>
      </c>
      <c r="D13" s="196"/>
      <c r="E13" s="196"/>
      <c r="F13" s="196"/>
      <c r="G13" s="196"/>
      <c r="H13" s="196"/>
      <c r="I13" s="209" t="s">
        <v>359</v>
      </c>
      <c r="J13" s="585"/>
    </row>
    <row r="14" spans="1:10" ht="20.25" x14ac:dyDescent="0.25">
      <c r="A14" s="219"/>
      <c r="B14" s="219"/>
      <c r="C14" s="219"/>
      <c r="D14" s="219"/>
      <c r="E14" s="219"/>
      <c r="F14" s="219"/>
      <c r="G14" s="219"/>
      <c r="H14" s="219"/>
      <c r="I14" s="220"/>
      <c r="J14" s="223"/>
    </row>
    <row r="15" spans="1:10" ht="20.25" x14ac:dyDescent="0.25">
      <c r="A15" s="233"/>
      <c r="B15" s="233"/>
      <c r="C15" s="233"/>
      <c r="D15" s="233"/>
      <c r="E15" s="233"/>
      <c r="F15" s="233"/>
      <c r="G15" s="233"/>
      <c r="H15" s="233"/>
      <c r="I15" s="234"/>
      <c r="J15" s="237"/>
    </row>
    <row r="16" spans="1:10" ht="20.25" x14ac:dyDescent="0.25">
      <c r="A16" s="739" t="s">
        <v>114</v>
      </c>
      <c r="B16" s="739"/>
      <c r="C16" s="739"/>
      <c r="D16" s="739"/>
      <c r="E16" s="739"/>
      <c r="F16" s="739"/>
      <c r="G16" s="739"/>
      <c r="H16" s="739"/>
      <c r="I16" s="739"/>
      <c r="J16" s="45"/>
    </row>
    <row r="17" spans="1:10" ht="36" x14ac:dyDescent="0.25">
      <c r="A17" s="252">
        <v>2</v>
      </c>
      <c r="B17" s="252">
        <v>0</v>
      </c>
      <c r="C17" s="252">
        <v>4</v>
      </c>
      <c r="D17" s="252">
        <v>1</v>
      </c>
      <c r="E17" s="252">
        <v>6</v>
      </c>
      <c r="F17" s="38" t="s">
        <v>147</v>
      </c>
      <c r="G17" s="25">
        <v>10</v>
      </c>
      <c r="H17" s="25" t="s">
        <v>88</v>
      </c>
      <c r="I17" s="36" t="s">
        <v>360</v>
      </c>
      <c r="J17" s="45"/>
    </row>
    <row r="18" spans="1:10" ht="36" x14ac:dyDescent="0.25">
      <c r="A18" s="38">
        <v>2</v>
      </c>
      <c r="B18" s="38">
        <v>0</v>
      </c>
      <c r="C18" s="38">
        <v>4</v>
      </c>
      <c r="D18" s="38">
        <v>1</v>
      </c>
      <c r="E18" s="38">
        <v>8</v>
      </c>
      <c r="F18" s="38" t="s">
        <v>147</v>
      </c>
      <c r="G18" s="25">
        <v>10</v>
      </c>
      <c r="H18" s="25" t="s">
        <v>88</v>
      </c>
      <c r="I18" s="42" t="s">
        <v>361</v>
      </c>
      <c r="J18" s="47">
        <v>20100403</v>
      </c>
    </row>
    <row r="19" spans="1:10" ht="36" x14ac:dyDescent="0.25">
      <c r="A19" s="38">
        <v>2</v>
      </c>
      <c r="B19" s="38">
        <v>0</v>
      </c>
      <c r="C19" s="38">
        <v>4</v>
      </c>
      <c r="D19" s="38">
        <v>1</v>
      </c>
      <c r="E19" s="38">
        <v>25</v>
      </c>
      <c r="F19" s="38" t="s">
        <v>147</v>
      </c>
      <c r="G19" s="25">
        <v>10</v>
      </c>
      <c r="H19" s="25" t="s">
        <v>88</v>
      </c>
      <c r="I19" s="36" t="s">
        <v>186</v>
      </c>
      <c r="J19" s="47">
        <v>45000000</v>
      </c>
    </row>
    <row r="20" spans="1:10" ht="36" x14ac:dyDescent="0.25">
      <c r="A20" s="38">
        <v>2</v>
      </c>
      <c r="B20" s="38">
        <v>0</v>
      </c>
      <c r="C20" s="38">
        <v>4</v>
      </c>
      <c r="D20" s="38">
        <v>1</v>
      </c>
      <c r="E20" s="38">
        <v>26</v>
      </c>
      <c r="F20" s="38" t="s">
        <v>147</v>
      </c>
      <c r="G20" s="25">
        <v>10</v>
      </c>
      <c r="H20" s="25" t="s">
        <v>88</v>
      </c>
      <c r="I20" s="36" t="s">
        <v>154</v>
      </c>
      <c r="J20" s="45"/>
    </row>
    <row r="21" spans="1:10" ht="20.25" x14ac:dyDescent="0.25">
      <c r="A21" s="32"/>
      <c r="B21" s="32"/>
      <c r="C21" s="32"/>
      <c r="D21" s="32"/>
      <c r="E21" s="32"/>
      <c r="F21" s="32"/>
      <c r="G21" s="33"/>
      <c r="H21" s="33"/>
      <c r="I21" s="35" t="s">
        <v>135</v>
      </c>
      <c r="J21" s="265">
        <f t="shared" ref="J21" si="1">SUM(J17:J20)</f>
        <v>65100403</v>
      </c>
    </row>
    <row r="22" spans="1:10" ht="36" x14ac:dyDescent="0.25">
      <c r="A22" s="38">
        <v>2</v>
      </c>
      <c r="B22" s="38">
        <v>0</v>
      </c>
      <c r="C22" s="38">
        <v>4</v>
      </c>
      <c r="D22" s="38">
        <v>2</v>
      </c>
      <c r="E22" s="38">
        <v>2</v>
      </c>
      <c r="F22" s="38" t="s">
        <v>147</v>
      </c>
      <c r="G22" s="25">
        <v>10</v>
      </c>
      <c r="H22" s="25" t="s">
        <v>88</v>
      </c>
      <c r="I22" s="36" t="s">
        <v>362</v>
      </c>
      <c r="J22" s="45"/>
    </row>
    <row r="23" spans="1:10" ht="36" x14ac:dyDescent="0.25">
      <c r="A23" s="38">
        <v>2</v>
      </c>
      <c r="B23" s="38">
        <v>0</v>
      </c>
      <c r="C23" s="38">
        <v>4</v>
      </c>
      <c r="D23" s="38">
        <v>2</v>
      </c>
      <c r="E23" s="38">
        <v>2</v>
      </c>
      <c r="F23" s="38" t="s">
        <v>147</v>
      </c>
      <c r="G23" s="25">
        <v>10</v>
      </c>
      <c r="H23" s="25" t="s">
        <v>88</v>
      </c>
      <c r="I23" s="36" t="s">
        <v>363</v>
      </c>
      <c r="J23" s="45">
        <v>20000000</v>
      </c>
    </row>
    <row r="24" spans="1:10" ht="20.25" x14ac:dyDescent="0.25">
      <c r="A24" s="32"/>
      <c r="B24" s="32"/>
      <c r="C24" s="32"/>
      <c r="D24" s="32"/>
      <c r="E24" s="32"/>
      <c r="F24" s="32"/>
      <c r="G24" s="33"/>
      <c r="H24" s="33"/>
      <c r="I24" s="35" t="s">
        <v>364</v>
      </c>
      <c r="J24" s="265">
        <f t="shared" ref="J24" si="2">SUM(J22:J23)</f>
        <v>20000000</v>
      </c>
    </row>
    <row r="25" spans="1:10" ht="20.25" x14ac:dyDescent="0.25">
      <c r="A25" s="739" t="s">
        <v>127</v>
      </c>
      <c r="B25" s="739"/>
      <c r="C25" s="739"/>
      <c r="D25" s="739"/>
      <c r="E25" s="739"/>
      <c r="F25" s="739"/>
      <c r="G25" s="739"/>
      <c r="H25" s="739"/>
      <c r="I25" s="739"/>
      <c r="J25" s="50"/>
    </row>
    <row r="26" spans="1:10" ht="36" x14ac:dyDescent="0.25">
      <c r="A26" s="38">
        <v>2</v>
      </c>
      <c r="B26" s="38">
        <v>0</v>
      </c>
      <c r="C26" s="38">
        <v>4</v>
      </c>
      <c r="D26" s="38">
        <v>4</v>
      </c>
      <c r="E26" s="38">
        <v>1</v>
      </c>
      <c r="F26" s="38" t="s">
        <v>147</v>
      </c>
      <c r="G26" s="25">
        <v>10</v>
      </c>
      <c r="H26" s="25" t="s">
        <v>88</v>
      </c>
      <c r="I26" s="42" t="s">
        <v>365</v>
      </c>
      <c r="J26" s="47">
        <v>43000000</v>
      </c>
    </row>
    <row r="27" spans="1:10" ht="36" x14ac:dyDescent="0.25">
      <c r="A27" s="38">
        <v>2</v>
      </c>
      <c r="B27" s="38">
        <v>0</v>
      </c>
      <c r="C27" s="38">
        <v>4</v>
      </c>
      <c r="D27" s="38">
        <v>4</v>
      </c>
      <c r="E27" s="38">
        <v>2</v>
      </c>
      <c r="F27" s="38" t="s">
        <v>147</v>
      </c>
      <c r="G27" s="25">
        <v>10</v>
      </c>
      <c r="H27" s="25" t="s">
        <v>88</v>
      </c>
      <c r="I27" s="42" t="s">
        <v>366</v>
      </c>
      <c r="J27" s="47">
        <v>24000000</v>
      </c>
    </row>
    <row r="28" spans="1:10" ht="36" x14ac:dyDescent="0.25">
      <c r="A28" s="38">
        <v>2</v>
      </c>
      <c r="B28" s="38">
        <v>0</v>
      </c>
      <c r="C28" s="38">
        <v>4</v>
      </c>
      <c r="D28" s="38">
        <v>4</v>
      </c>
      <c r="E28" s="38">
        <v>6</v>
      </c>
      <c r="F28" s="38" t="s">
        <v>147</v>
      </c>
      <c r="G28" s="25">
        <v>10</v>
      </c>
      <c r="H28" s="25" t="s">
        <v>88</v>
      </c>
      <c r="I28" s="42" t="s">
        <v>367</v>
      </c>
      <c r="J28" s="47">
        <v>8000000</v>
      </c>
    </row>
    <row r="29" spans="1:10" ht="36" x14ac:dyDescent="0.25">
      <c r="A29" s="38">
        <v>2</v>
      </c>
      <c r="B29" s="38">
        <v>0</v>
      </c>
      <c r="C29" s="38">
        <v>4</v>
      </c>
      <c r="D29" s="38">
        <v>4</v>
      </c>
      <c r="E29" s="38">
        <v>15</v>
      </c>
      <c r="F29" s="38" t="s">
        <v>147</v>
      </c>
      <c r="G29" s="25">
        <v>10</v>
      </c>
      <c r="H29" s="25" t="s">
        <v>88</v>
      </c>
      <c r="I29" s="42" t="s">
        <v>155</v>
      </c>
      <c r="J29" s="47">
        <v>182000000</v>
      </c>
    </row>
    <row r="30" spans="1:10" ht="36" x14ac:dyDescent="0.25">
      <c r="A30" s="38">
        <v>2</v>
      </c>
      <c r="B30" s="38">
        <v>0</v>
      </c>
      <c r="C30" s="38">
        <v>4</v>
      </c>
      <c r="D30" s="38">
        <v>4</v>
      </c>
      <c r="E30" s="38">
        <v>17</v>
      </c>
      <c r="F30" s="38" t="s">
        <v>147</v>
      </c>
      <c r="G30" s="25">
        <v>10</v>
      </c>
      <c r="H30" s="25" t="s">
        <v>88</v>
      </c>
      <c r="I30" s="42" t="s">
        <v>128</v>
      </c>
      <c r="J30" s="45">
        <v>400000</v>
      </c>
    </row>
    <row r="31" spans="1:10" ht="36" x14ac:dyDescent="0.25">
      <c r="A31" s="38">
        <v>2</v>
      </c>
      <c r="B31" s="38">
        <v>0</v>
      </c>
      <c r="C31" s="38">
        <v>4</v>
      </c>
      <c r="D31" s="38">
        <v>4</v>
      </c>
      <c r="E31" s="38">
        <v>18</v>
      </c>
      <c r="F31" s="38" t="s">
        <v>147</v>
      </c>
      <c r="G31" s="25">
        <v>10</v>
      </c>
      <c r="H31" s="25" t="s">
        <v>88</v>
      </c>
      <c r="I31" s="42" t="s">
        <v>129</v>
      </c>
      <c r="J31" s="45">
        <v>18800000</v>
      </c>
    </row>
    <row r="32" spans="1:10" ht="36" x14ac:dyDescent="0.25">
      <c r="A32" s="38">
        <v>2</v>
      </c>
      <c r="B32" s="38">
        <v>0</v>
      </c>
      <c r="C32" s="38">
        <v>4</v>
      </c>
      <c r="D32" s="38">
        <v>4</v>
      </c>
      <c r="E32" s="38">
        <v>20</v>
      </c>
      <c r="F32" s="38" t="s">
        <v>147</v>
      </c>
      <c r="G32" s="25">
        <v>10</v>
      </c>
      <c r="H32" s="25" t="s">
        <v>88</v>
      </c>
      <c r="I32" s="42" t="s">
        <v>176</v>
      </c>
      <c r="J32" s="45">
        <v>30000000</v>
      </c>
    </row>
    <row r="33" spans="1:10" ht="36" x14ac:dyDescent="0.25">
      <c r="A33" s="38">
        <v>2</v>
      </c>
      <c r="B33" s="38">
        <v>0</v>
      </c>
      <c r="C33" s="38">
        <v>4</v>
      </c>
      <c r="D33" s="38">
        <v>4</v>
      </c>
      <c r="E33" s="38">
        <v>21</v>
      </c>
      <c r="F33" s="38" t="s">
        <v>147</v>
      </c>
      <c r="G33" s="25">
        <v>10</v>
      </c>
      <c r="H33" s="25" t="s">
        <v>88</v>
      </c>
      <c r="I33" s="36" t="s">
        <v>151</v>
      </c>
      <c r="J33" s="45"/>
    </row>
    <row r="34" spans="1:10" ht="36" x14ac:dyDescent="0.25">
      <c r="A34" s="38">
        <v>2</v>
      </c>
      <c r="B34" s="38">
        <v>0</v>
      </c>
      <c r="C34" s="38">
        <v>4</v>
      </c>
      <c r="D34" s="38">
        <v>4</v>
      </c>
      <c r="E34" s="38">
        <v>23</v>
      </c>
      <c r="F34" s="38" t="s">
        <v>147</v>
      </c>
      <c r="G34" s="25">
        <v>10</v>
      </c>
      <c r="H34" s="25" t="s">
        <v>88</v>
      </c>
      <c r="I34" s="36" t="s">
        <v>130</v>
      </c>
      <c r="J34" s="45">
        <v>5000000</v>
      </c>
    </row>
    <row r="35" spans="1:10" ht="20.25" x14ac:dyDescent="0.25">
      <c r="A35" s="32"/>
      <c r="B35" s="32"/>
      <c r="C35" s="32"/>
      <c r="D35" s="32"/>
      <c r="E35" s="32"/>
      <c r="F35" s="32"/>
      <c r="G35" s="33"/>
      <c r="H35" s="33"/>
      <c r="I35" s="35" t="s">
        <v>131</v>
      </c>
      <c r="J35" s="265">
        <f t="shared" ref="J35" si="3">SUM(J26:J34)</f>
        <v>311200000</v>
      </c>
    </row>
    <row r="36" spans="1:10" ht="20.25" x14ac:dyDescent="0.25">
      <c r="A36" s="739" t="s">
        <v>132</v>
      </c>
      <c r="B36" s="739"/>
      <c r="C36" s="739"/>
      <c r="D36" s="739"/>
      <c r="E36" s="739"/>
      <c r="F36" s="739"/>
      <c r="G36" s="739"/>
      <c r="H36" s="739"/>
      <c r="I36" s="739"/>
      <c r="J36" s="50"/>
    </row>
    <row r="37" spans="1:10" ht="36" x14ac:dyDescent="0.25">
      <c r="A37" s="38">
        <v>2</v>
      </c>
      <c r="B37" s="38">
        <v>0</v>
      </c>
      <c r="C37" s="38">
        <v>4</v>
      </c>
      <c r="D37" s="38">
        <v>5</v>
      </c>
      <c r="E37" s="38">
        <v>1</v>
      </c>
      <c r="F37" s="38" t="s">
        <v>147</v>
      </c>
      <c r="G37" s="25">
        <v>10</v>
      </c>
      <c r="H37" s="25" t="s">
        <v>88</v>
      </c>
      <c r="I37" s="42" t="s">
        <v>369</v>
      </c>
      <c r="J37" s="45">
        <v>110520000</v>
      </c>
    </row>
    <row r="38" spans="1:10" ht="36" x14ac:dyDescent="0.25">
      <c r="A38" s="38">
        <v>2</v>
      </c>
      <c r="B38" s="38">
        <v>0</v>
      </c>
      <c r="C38" s="38">
        <v>4</v>
      </c>
      <c r="D38" s="38">
        <v>5</v>
      </c>
      <c r="E38" s="38">
        <v>2</v>
      </c>
      <c r="F38" s="38" t="s">
        <v>147</v>
      </c>
      <c r="G38" s="25">
        <v>10</v>
      </c>
      <c r="H38" s="25" t="s">
        <v>88</v>
      </c>
      <c r="I38" s="42" t="s">
        <v>185</v>
      </c>
      <c r="J38" s="45">
        <v>35500000</v>
      </c>
    </row>
    <row r="39" spans="1:10" ht="36" x14ac:dyDescent="0.25">
      <c r="A39" s="38">
        <v>2</v>
      </c>
      <c r="B39" s="38">
        <v>0</v>
      </c>
      <c r="C39" s="38">
        <v>4</v>
      </c>
      <c r="D39" s="38">
        <v>5</v>
      </c>
      <c r="E39" s="38">
        <v>5</v>
      </c>
      <c r="F39" s="38" t="s">
        <v>147</v>
      </c>
      <c r="G39" s="25">
        <v>10</v>
      </c>
      <c r="H39" s="25" t="s">
        <v>88</v>
      </c>
      <c r="I39" s="42" t="s">
        <v>184</v>
      </c>
      <c r="J39" s="45">
        <v>131200000</v>
      </c>
    </row>
    <row r="40" spans="1:10" ht="36" x14ac:dyDescent="0.25">
      <c r="A40" s="38">
        <v>2</v>
      </c>
      <c r="B40" s="38">
        <v>0</v>
      </c>
      <c r="C40" s="38">
        <v>4</v>
      </c>
      <c r="D40" s="38">
        <v>5</v>
      </c>
      <c r="E40" s="38">
        <v>6</v>
      </c>
      <c r="F40" s="38" t="s">
        <v>147</v>
      </c>
      <c r="G40" s="25">
        <v>10</v>
      </c>
      <c r="H40" s="25" t="s">
        <v>88</v>
      </c>
      <c r="I40" s="42" t="s">
        <v>116</v>
      </c>
      <c r="J40" s="45">
        <v>29000000</v>
      </c>
    </row>
    <row r="41" spans="1:10" ht="36" x14ac:dyDescent="0.25">
      <c r="A41" s="38">
        <v>2</v>
      </c>
      <c r="B41" s="38">
        <v>0</v>
      </c>
      <c r="C41" s="38">
        <v>4</v>
      </c>
      <c r="D41" s="38">
        <v>5</v>
      </c>
      <c r="E41" s="38">
        <v>8</v>
      </c>
      <c r="F41" s="38" t="s">
        <v>147</v>
      </c>
      <c r="G41" s="25">
        <v>10</v>
      </c>
      <c r="H41" s="25" t="s">
        <v>88</v>
      </c>
      <c r="I41" s="42" t="s">
        <v>133</v>
      </c>
      <c r="J41" s="45">
        <v>189000000</v>
      </c>
    </row>
    <row r="42" spans="1:10" ht="36" x14ac:dyDescent="0.25">
      <c r="A42" s="38">
        <v>2</v>
      </c>
      <c r="B42" s="38">
        <v>0</v>
      </c>
      <c r="C42" s="38">
        <v>4</v>
      </c>
      <c r="D42" s="38">
        <v>5</v>
      </c>
      <c r="E42" s="38">
        <v>10</v>
      </c>
      <c r="F42" s="38" t="s">
        <v>147</v>
      </c>
      <c r="G42" s="25">
        <v>10</v>
      </c>
      <c r="H42" s="25" t="s">
        <v>88</v>
      </c>
      <c r="I42" s="42" t="s">
        <v>117</v>
      </c>
      <c r="J42" s="45">
        <v>197000000</v>
      </c>
    </row>
    <row r="43" spans="1:10" ht="36" x14ac:dyDescent="0.25">
      <c r="A43" s="38">
        <v>2</v>
      </c>
      <c r="B43" s="38">
        <v>0</v>
      </c>
      <c r="C43" s="38">
        <v>4</v>
      </c>
      <c r="D43" s="38">
        <v>5</v>
      </c>
      <c r="E43" s="38">
        <v>12</v>
      </c>
      <c r="F43" s="38" t="s">
        <v>147</v>
      </c>
      <c r="G43" s="25">
        <v>10</v>
      </c>
      <c r="H43" s="25" t="s">
        <v>88</v>
      </c>
      <c r="I43" s="42" t="s">
        <v>118</v>
      </c>
      <c r="J43" s="45">
        <v>2000000</v>
      </c>
    </row>
    <row r="44" spans="1:10" ht="20.25" x14ac:dyDescent="0.25">
      <c r="A44" s="32"/>
      <c r="B44" s="32"/>
      <c r="C44" s="32"/>
      <c r="D44" s="32"/>
      <c r="E44" s="32"/>
      <c r="F44" s="32"/>
      <c r="G44" s="33"/>
      <c r="H44" s="33"/>
      <c r="I44" s="35" t="s">
        <v>134</v>
      </c>
      <c r="J44" s="265">
        <f>SUM(J36:J43)</f>
        <v>694220000</v>
      </c>
    </row>
    <row r="45" spans="1:10" ht="20.25" x14ac:dyDescent="0.25">
      <c r="A45" s="739" t="s">
        <v>124</v>
      </c>
      <c r="B45" s="739"/>
      <c r="C45" s="739"/>
      <c r="D45" s="739"/>
      <c r="E45" s="739"/>
      <c r="F45" s="739"/>
      <c r="G45" s="739"/>
      <c r="H45" s="739"/>
      <c r="I45" s="739"/>
      <c r="J45" s="50"/>
    </row>
    <row r="46" spans="1:10" ht="36" x14ac:dyDescent="0.25">
      <c r="A46" s="38">
        <v>2</v>
      </c>
      <c r="B46" s="38">
        <v>0</v>
      </c>
      <c r="C46" s="38">
        <v>4</v>
      </c>
      <c r="D46" s="38">
        <v>6</v>
      </c>
      <c r="E46" s="38">
        <v>2</v>
      </c>
      <c r="F46" s="38" t="s">
        <v>147</v>
      </c>
      <c r="G46" s="25">
        <v>10</v>
      </c>
      <c r="H46" s="25" t="s">
        <v>88</v>
      </c>
      <c r="I46" s="36" t="s">
        <v>119</v>
      </c>
      <c r="J46" s="45">
        <v>113000000</v>
      </c>
    </row>
    <row r="47" spans="1:10" ht="36" x14ac:dyDescent="0.25">
      <c r="A47" s="38">
        <v>2</v>
      </c>
      <c r="B47" s="38">
        <v>0</v>
      </c>
      <c r="C47" s="38">
        <v>4</v>
      </c>
      <c r="D47" s="38">
        <v>6</v>
      </c>
      <c r="E47" s="38">
        <v>5</v>
      </c>
      <c r="F47" s="38" t="s">
        <v>147</v>
      </c>
      <c r="G47" s="25">
        <v>10</v>
      </c>
      <c r="H47" s="25" t="s">
        <v>88</v>
      </c>
      <c r="I47" s="42" t="s">
        <v>120</v>
      </c>
      <c r="J47" s="45">
        <v>980000000</v>
      </c>
    </row>
    <row r="48" spans="1:10" ht="36" x14ac:dyDescent="0.25">
      <c r="A48" s="38">
        <v>2</v>
      </c>
      <c r="B48" s="38">
        <v>0</v>
      </c>
      <c r="C48" s="38">
        <v>4</v>
      </c>
      <c r="D48" s="38">
        <v>6</v>
      </c>
      <c r="E48" s="38">
        <v>7</v>
      </c>
      <c r="F48" s="38" t="s">
        <v>147</v>
      </c>
      <c r="G48" s="25">
        <v>10</v>
      </c>
      <c r="H48" s="25" t="s">
        <v>88</v>
      </c>
      <c r="I48" s="42" t="s">
        <v>121</v>
      </c>
      <c r="J48" s="45">
        <v>5100000</v>
      </c>
    </row>
    <row r="49" spans="1:10" ht="36" x14ac:dyDescent="0.25">
      <c r="A49" s="38">
        <v>2</v>
      </c>
      <c r="B49" s="38">
        <v>0</v>
      </c>
      <c r="C49" s="38">
        <v>4</v>
      </c>
      <c r="D49" s="38">
        <v>6</v>
      </c>
      <c r="E49" s="38">
        <v>8</v>
      </c>
      <c r="F49" s="38" t="s">
        <v>147</v>
      </c>
      <c r="G49" s="25">
        <v>10</v>
      </c>
      <c r="H49" s="25" t="s">
        <v>88</v>
      </c>
      <c r="I49" s="42" t="s">
        <v>370</v>
      </c>
      <c r="J49" s="45">
        <v>5400000</v>
      </c>
    </row>
    <row r="50" spans="1:10" ht="28.5" x14ac:dyDescent="0.25">
      <c r="A50" s="32"/>
      <c r="B50" s="32"/>
      <c r="C50" s="32"/>
      <c r="D50" s="32"/>
      <c r="E50" s="32"/>
      <c r="F50" s="32"/>
      <c r="G50" s="33"/>
      <c r="H50" s="33"/>
      <c r="I50" s="35" t="s">
        <v>136</v>
      </c>
      <c r="J50" s="265">
        <f>SUM(J45:J49)</f>
        <v>1103500000</v>
      </c>
    </row>
    <row r="51" spans="1:10" ht="20.25" x14ac:dyDescent="0.25">
      <c r="A51" s="739" t="s">
        <v>122</v>
      </c>
      <c r="B51" s="739"/>
      <c r="C51" s="739"/>
      <c r="D51" s="739"/>
      <c r="E51" s="739"/>
      <c r="F51" s="739"/>
      <c r="G51" s="739"/>
      <c r="H51" s="739"/>
      <c r="I51" s="739" t="s">
        <v>122</v>
      </c>
      <c r="J51" s="50"/>
    </row>
    <row r="52" spans="1:10" ht="36" x14ac:dyDescent="0.25">
      <c r="A52" s="38">
        <v>2</v>
      </c>
      <c r="B52" s="38">
        <v>0</v>
      </c>
      <c r="C52" s="38">
        <v>4</v>
      </c>
      <c r="D52" s="38">
        <v>7</v>
      </c>
      <c r="E52" s="38">
        <v>1</v>
      </c>
      <c r="F52" s="38" t="s">
        <v>147</v>
      </c>
      <c r="G52" s="25">
        <v>9</v>
      </c>
      <c r="H52" s="25" t="s">
        <v>88</v>
      </c>
      <c r="I52" s="36" t="s">
        <v>150</v>
      </c>
      <c r="J52" s="45"/>
    </row>
    <row r="53" spans="1:10" ht="36" x14ac:dyDescent="0.25">
      <c r="A53" s="38">
        <v>2</v>
      </c>
      <c r="B53" s="38">
        <v>0</v>
      </c>
      <c r="C53" s="38">
        <v>4</v>
      </c>
      <c r="D53" s="38">
        <v>7</v>
      </c>
      <c r="E53" s="38">
        <v>3</v>
      </c>
      <c r="F53" s="38" t="s">
        <v>90</v>
      </c>
      <c r="G53" s="25">
        <v>10</v>
      </c>
      <c r="H53" s="25" t="s">
        <v>88</v>
      </c>
      <c r="I53" s="36" t="s">
        <v>149</v>
      </c>
      <c r="J53" s="45"/>
    </row>
    <row r="54" spans="1:10" ht="36" x14ac:dyDescent="0.25">
      <c r="A54" s="38">
        <v>2</v>
      </c>
      <c r="B54" s="38">
        <v>0</v>
      </c>
      <c r="C54" s="38">
        <v>4</v>
      </c>
      <c r="D54" s="38">
        <v>7</v>
      </c>
      <c r="E54" s="38">
        <v>5</v>
      </c>
      <c r="F54" s="38" t="s">
        <v>147</v>
      </c>
      <c r="G54" s="25">
        <v>10</v>
      </c>
      <c r="H54" s="25" t="s">
        <v>88</v>
      </c>
      <c r="I54" s="42" t="s">
        <v>123</v>
      </c>
      <c r="J54" s="45">
        <v>6000000</v>
      </c>
    </row>
    <row r="55" spans="1:10" ht="36" x14ac:dyDescent="0.25">
      <c r="A55" s="38">
        <v>2</v>
      </c>
      <c r="B55" s="38">
        <v>0</v>
      </c>
      <c r="C55" s="38">
        <v>4</v>
      </c>
      <c r="D55" s="38">
        <v>7</v>
      </c>
      <c r="E55" s="38">
        <v>6</v>
      </c>
      <c r="F55" s="38" t="s">
        <v>147</v>
      </c>
      <c r="G55" s="25">
        <v>10</v>
      </c>
      <c r="H55" s="25" t="s">
        <v>88</v>
      </c>
      <c r="I55" s="42" t="s">
        <v>212</v>
      </c>
      <c r="J55" s="45">
        <v>5500000</v>
      </c>
    </row>
    <row r="56" spans="1:10" ht="36" x14ac:dyDescent="0.25">
      <c r="A56" s="32"/>
      <c r="B56" s="32"/>
      <c r="C56" s="32"/>
      <c r="D56" s="32"/>
      <c r="E56" s="32"/>
      <c r="F56" s="32" t="s">
        <v>147</v>
      </c>
      <c r="G56" s="33"/>
      <c r="H56" s="33"/>
      <c r="I56" s="35" t="s">
        <v>152</v>
      </c>
      <c r="J56" s="265">
        <f>SUM(J52:J55)</f>
        <v>11500000</v>
      </c>
    </row>
    <row r="57" spans="1:10" ht="20.25" x14ac:dyDescent="0.25">
      <c r="A57" s="739" t="s">
        <v>371</v>
      </c>
      <c r="B57" s="739"/>
      <c r="C57" s="739"/>
      <c r="D57" s="739"/>
      <c r="E57" s="739"/>
      <c r="F57" s="739"/>
      <c r="G57" s="739"/>
      <c r="H57" s="739"/>
      <c r="I57" s="739"/>
      <c r="J57" s="45"/>
    </row>
    <row r="58" spans="1:10" ht="36" x14ac:dyDescent="0.25">
      <c r="A58" s="38">
        <v>2</v>
      </c>
      <c r="B58" s="38">
        <v>0</v>
      </c>
      <c r="C58" s="38">
        <v>4</v>
      </c>
      <c r="D58" s="38">
        <v>8</v>
      </c>
      <c r="E58" s="38">
        <v>1</v>
      </c>
      <c r="F58" s="38" t="s">
        <v>147</v>
      </c>
      <c r="G58" s="25">
        <v>10</v>
      </c>
      <c r="H58" s="25" t="s">
        <v>88</v>
      </c>
      <c r="I58" s="315" t="s">
        <v>376</v>
      </c>
      <c r="J58" s="45">
        <v>10000000</v>
      </c>
    </row>
    <row r="59" spans="1:10" ht="36" x14ac:dyDescent="0.25">
      <c r="A59" s="38">
        <v>2</v>
      </c>
      <c r="B59" s="38">
        <v>0</v>
      </c>
      <c r="C59" s="38">
        <v>4</v>
      </c>
      <c r="D59" s="38">
        <v>8</v>
      </c>
      <c r="E59" s="38">
        <v>2</v>
      </c>
      <c r="F59" s="38" t="s">
        <v>147</v>
      </c>
      <c r="G59" s="25">
        <v>10</v>
      </c>
      <c r="H59" s="25" t="s">
        <v>88</v>
      </c>
      <c r="I59" s="315" t="s">
        <v>377</v>
      </c>
      <c r="J59" s="45">
        <v>127000000</v>
      </c>
    </row>
    <row r="60" spans="1:10" ht="36" x14ac:dyDescent="0.25">
      <c r="A60" s="38">
        <v>2</v>
      </c>
      <c r="B60" s="38">
        <v>0</v>
      </c>
      <c r="C60" s="38">
        <v>4</v>
      </c>
      <c r="D60" s="38">
        <v>8</v>
      </c>
      <c r="E60" s="38">
        <v>5</v>
      </c>
      <c r="F60" s="38" t="s">
        <v>147</v>
      </c>
      <c r="G60" s="25">
        <v>10</v>
      </c>
      <c r="H60" s="25" t="s">
        <v>88</v>
      </c>
      <c r="I60" s="315" t="s">
        <v>378</v>
      </c>
      <c r="J60" s="45">
        <v>19000000</v>
      </c>
    </row>
    <row r="61" spans="1:10" ht="24" x14ac:dyDescent="0.25">
      <c r="A61" s="38">
        <v>2</v>
      </c>
      <c r="B61" s="38">
        <v>0</v>
      </c>
      <c r="C61" s="38">
        <v>4</v>
      </c>
      <c r="D61" s="38">
        <v>8</v>
      </c>
      <c r="E61" s="38">
        <v>6</v>
      </c>
      <c r="F61" s="38"/>
      <c r="G61" s="25">
        <v>10</v>
      </c>
      <c r="H61" s="25" t="s">
        <v>88</v>
      </c>
      <c r="I61" s="315" t="s">
        <v>379</v>
      </c>
      <c r="J61" s="45">
        <v>115000000</v>
      </c>
    </row>
    <row r="62" spans="1:10" ht="20.25" x14ac:dyDescent="0.25">
      <c r="A62" s="32"/>
      <c r="B62" s="32"/>
      <c r="C62" s="32"/>
      <c r="D62" s="32"/>
      <c r="E62" s="32"/>
      <c r="F62" s="32"/>
      <c r="G62" s="33"/>
      <c r="H62" s="33"/>
      <c r="I62" s="35" t="s">
        <v>380</v>
      </c>
      <c r="J62" s="265">
        <f>SUM(J58:J61)</f>
        <v>271000000</v>
      </c>
    </row>
    <row r="63" spans="1:10" ht="20.25" x14ac:dyDescent="0.25">
      <c r="A63" s="739" t="s">
        <v>381</v>
      </c>
      <c r="B63" s="739"/>
      <c r="C63" s="739"/>
      <c r="D63" s="739"/>
      <c r="E63" s="739"/>
      <c r="F63" s="739"/>
      <c r="G63" s="739"/>
      <c r="H63" s="739"/>
      <c r="I63" s="739"/>
      <c r="J63" s="50"/>
    </row>
    <row r="64" spans="1:10" ht="36" x14ac:dyDescent="0.25">
      <c r="A64" s="38">
        <v>2</v>
      </c>
      <c r="B64" s="38">
        <v>0</v>
      </c>
      <c r="C64" s="38">
        <v>4</v>
      </c>
      <c r="D64" s="38">
        <v>9</v>
      </c>
      <c r="E64" s="38">
        <v>4</v>
      </c>
      <c r="F64" s="38" t="s">
        <v>147</v>
      </c>
      <c r="G64" s="25">
        <v>10</v>
      </c>
      <c r="H64" s="25" t="s">
        <v>88</v>
      </c>
      <c r="I64" s="42" t="s">
        <v>382</v>
      </c>
      <c r="J64" s="45">
        <v>100000</v>
      </c>
    </row>
    <row r="65" spans="1:10" ht="36" x14ac:dyDescent="0.25">
      <c r="A65" s="38">
        <v>2</v>
      </c>
      <c r="B65" s="38">
        <v>0</v>
      </c>
      <c r="C65" s="38">
        <v>4</v>
      </c>
      <c r="D65" s="38">
        <v>9</v>
      </c>
      <c r="E65" s="38">
        <v>7</v>
      </c>
      <c r="F65" s="38" t="s">
        <v>147</v>
      </c>
      <c r="G65" s="25">
        <v>10</v>
      </c>
      <c r="H65" s="25" t="s">
        <v>88</v>
      </c>
      <c r="I65" s="42" t="s">
        <v>383</v>
      </c>
      <c r="J65" s="45">
        <v>100000</v>
      </c>
    </row>
    <row r="66" spans="1:10" ht="36" x14ac:dyDescent="0.25">
      <c r="A66" s="38">
        <v>2</v>
      </c>
      <c r="B66" s="38">
        <v>0</v>
      </c>
      <c r="C66" s="38">
        <v>4</v>
      </c>
      <c r="D66" s="38">
        <v>9</v>
      </c>
      <c r="E66" s="38">
        <v>8</v>
      </c>
      <c r="F66" s="38" t="s">
        <v>147</v>
      </c>
      <c r="G66" s="25">
        <v>10</v>
      </c>
      <c r="H66" s="25" t="s">
        <v>88</v>
      </c>
      <c r="I66" s="42" t="s">
        <v>384</v>
      </c>
      <c r="J66" s="45">
        <v>14000000</v>
      </c>
    </row>
    <row r="67" spans="1:10" ht="36" x14ac:dyDescent="0.25">
      <c r="A67" s="38">
        <v>2</v>
      </c>
      <c r="B67" s="38">
        <v>0</v>
      </c>
      <c r="C67" s="38">
        <v>4</v>
      </c>
      <c r="D67" s="38">
        <v>9</v>
      </c>
      <c r="E67" s="38">
        <v>9</v>
      </c>
      <c r="F67" s="38" t="s">
        <v>147</v>
      </c>
      <c r="G67" s="25">
        <v>10</v>
      </c>
      <c r="H67" s="25" t="s">
        <v>88</v>
      </c>
      <c r="I67" s="42" t="s">
        <v>385</v>
      </c>
      <c r="J67" s="45">
        <v>100000</v>
      </c>
    </row>
    <row r="68" spans="1:10" ht="36" x14ac:dyDescent="0.25">
      <c r="A68" s="38">
        <v>2</v>
      </c>
      <c r="B68" s="38">
        <v>0</v>
      </c>
      <c r="C68" s="38">
        <v>4</v>
      </c>
      <c r="D68" s="38">
        <v>9</v>
      </c>
      <c r="E68" s="38">
        <v>13</v>
      </c>
      <c r="F68" s="38" t="s">
        <v>147</v>
      </c>
      <c r="G68" s="25">
        <v>10</v>
      </c>
      <c r="H68" s="25" t="s">
        <v>88</v>
      </c>
      <c r="I68" s="42" t="s">
        <v>386</v>
      </c>
      <c r="J68" s="45">
        <v>100000</v>
      </c>
    </row>
    <row r="69" spans="1:10" ht="20.25" x14ac:dyDescent="0.25">
      <c r="A69" s="32"/>
      <c r="B69" s="32"/>
      <c r="C69" s="32"/>
      <c r="D69" s="32"/>
      <c r="E69" s="32"/>
      <c r="F69" s="32"/>
      <c r="G69" s="33"/>
      <c r="H69" s="33"/>
      <c r="I69" s="35" t="s">
        <v>387</v>
      </c>
      <c r="J69" s="265">
        <f t="shared" ref="J69" si="4">SUM(J64:J68)</f>
        <v>14400000</v>
      </c>
    </row>
    <row r="70" spans="1:10" ht="20.25" x14ac:dyDescent="0.25">
      <c r="A70" s="740" t="s">
        <v>389</v>
      </c>
      <c r="B70" s="741"/>
      <c r="C70" s="741"/>
      <c r="D70" s="741"/>
      <c r="E70" s="741"/>
      <c r="F70" s="741"/>
      <c r="G70" s="741"/>
      <c r="H70" s="741"/>
      <c r="I70" s="742"/>
      <c r="J70" s="50"/>
    </row>
    <row r="71" spans="1:10" ht="20.25" x14ac:dyDescent="0.25">
      <c r="A71" s="38"/>
      <c r="B71" s="38"/>
      <c r="C71" s="38"/>
      <c r="D71" s="38"/>
      <c r="E71" s="38"/>
      <c r="F71" s="38"/>
      <c r="G71" s="25"/>
      <c r="H71" s="25"/>
      <c r="I71" s="36" t="s">
        <v>390</v>
      </c>
      <c r="J71" s="45"/>
    </row>
    <row r="72" spans="1:10" ht="36" x14ac:dyDescent="0.25">
      <c r="A72" s="38">
        <v>2</v>
      </c>
      <c r="B72" s="38">
        <v>0</v>
      </c>
      <c r="C72" s="38">
        <v>4</v>
      </c>
      <c r="D72" s="38">
        <v>10</v>
      </c>
      <c r="E72" s="38">
        <v>2</v>
      </c>
      <c r="F72" s="38" t="s">
        <v>147</v>
      </c>
      <c r="G72" s="25">
        <v>10</v>
      </c>
      <c r="H72" s="25" t="s">
        <v>88</v>
      </c>
      <c r="I72" s="36" t="s">
        <v>391</v>
      </c>
      <c r="J72" s="45">
        <v>6778000</v>
      </c>
    </row>
    <row r="73" spans="1:10" ht="20.25" x14ac:dyDescent="0.25">
      <c r="A73" s="32"/>
      <c r="B73" s="32"/>
      <c r="C73" s="32"/>
      <c r="D73" s="32"/>
      <c r="E73" s="32"/>
      <c r="F73" s="32"/>
      <c r="G73" s="33"/>
      <c r="H73" s="33"/>
      <c r="I73" s="35" t="s">
        <v>392</v>
      </c>
      <c r="J73" s="265">
        <f>SUM(J72)</f>
        <v>6778000</v>
      </c>
    </row>
    <row r="74" spans="1:10" ht="20.25" x14ac:dyDescent="0.25">
      <c r="A74" s="740" t="s">
        <v>125</v>
      </c>
      <c r="B74" s="741"/>
      <c r="C74" s="741"/>
      <c r="D74" s="741"/>
      <c r="E74" s="741"/>
      <c r="F74" s="741"/>
      <c r="G74" s="741"/>
      <c r="H74" s="741"/>
      <c r="I74" s="741"/>
      <c r="J74" s="50"/>
    </row>
    <row r="75" spans="1:10" ht="36" x14ac:dyDescent="0.25">
      <c r="A75" s="38">
        <v>2</v>
      </c>
      <c r="B75" s="38">
        <v>0</v>
      </c>
      <c r="C75" s="38">
        <v>4</v>
      </c>
      <c r="D75" s="38">
        <v>11</v>
      </c>
      <c r="E75" s="38">
        <v>1</v>
      </c>
      <c r="F75" s="38" t="s">
        <v>147</v>
      </c>
      <c r="G75" s="25">
        <v>10</v>
      </c>
      <c r="H75" s="25" t="s">
        <v>88</v>
      </c>
      <c r="I75" s="42" t="s">
        <v>393</v>
      </c>
      <c r="J75" s="45"/>
    </row>
    <row r="76" spans="1:10" ht="36" x14ac:dyDescent="0.25">
      <c r="A76" s="38">
        <v>2</v>
      </c>
      <c r="B76" s="38">
        <v>0</v>
      </c>
      <c r="C76" s="38">
        <v>4</v>
      </c>
      <c r="D76" s="38">
        <v>11</v>
      </c>
      <c r="E76" s="38">
        <v>1</v>
      </c>
      <c r="F76" s="38" t="s">
        <v>147</v>
      </c>
      <c r="G76" s="25">
        <v>10</v>
      </c>
      <c r="H76" s="25" t="s">
        <v>88</v>
      </c>
      <c r="I76" s="36" t="s">
        <v>394</v>
      </c>
      <c r="J76" s="45">
        <v>0</v>
      </c>
    </row>
    <row r="77" spans="1:10" ht="36" x14ac:dyDescent="0.25">
      <c r="A77" s="38">
        <v>2</v>
      </c>
      <c r="B77" s="38">
        <v>0</v>
      </c>
      <c r="C77" s="38">
        <v>4</v>
      </c>
      <c r="D77" s="38">
        <v>11</v>
      </c>
      <c r="E77" s="38">
        <v>2</v>
      </c>
      <c r="F77" s="38" t="s">
        <v>147</v>
      </c>
      <c r="G77" s="25">
        <v>10</v>
      </c>
      <c r="H77" s="25" t="s">
        <v>88</v>
      </c>
      <c r="I77" s="42" t="s">
        <v>395</v>
      </c>
      <c r="J77" s="45">
        <v>35000000</v>
      </c>
    </row>
    <row r="78" spans="1:10" ht="36" x14ac:dyDescent="0.25">
      <c r="A78" s="38">
        <v>2</v>
      </c>
      <c r="B78" s="38">
        <v>0</v>
      </c>
      <c r="C78" s="38">
        <v>4</v>
      </c>
      <c r="D78" s="38">
        <v>11</v>
      </c>
      <c r="E78" s="38">
        <v>2</v>
      </c>
      <c r="F78" s="38" t="s">
        <v>147</v>
      </c>
      <c r="G78" s="25">
        <v>10</v>
      </c>
      <c r="H78" s="25" t="s">
        <v>88</v>
      </c>
      <c r="I78" s="36" t="s">
        <v>115</v>
      </c>
      <c r="J78" s="46">
        <v>20000000</v>
      </c>
    </row>
    <row r="79" spans="1:10" ht="20.25" x14ac:dyDescent="0.25">
      <c r="A79" s="32"/>
      <c r="B79" s="32"/>
      <c r="C79" s="32"/>
      <c r="D79" s="32"/>
      <c r="E79" s="32"/>
      <c r="F79" s="32"/>
      <c r="G79" s="33"/>
      <c r="H79" s="33"/>
      <c r="I79" s="35" t="s">
        <v>137</v>
      </c>
      <c r="J79" s="265">
        <f t="shared" ref="J79" si="5">SUM(J75:J78)</f>
        <v>55000000</v>
      </c>
    </row>
    <row r="80" spans="1:10" ht="20.25" x14ac:dyDescent="0.25">
      <c r="A80" s="740" t="s">
        <v>396</v>
      </c>
      <c r="B80" s="741"/>
      <c r="C80" s="741"/>
      <c r="D80" s="741"/>
      <c r="E80" s="741"/>
      <c r="F80" s="741"/>
      <c r="G80" s="741"/>
      <c r="H80" s="741"/>
      <c r="I80" s="741"/>
      <c r="J80" s="50"/>
    </row>
    <row r="81" spans="1:10" ht="36" x14ac:dyDescent="0.25">
      <c r="A81" s="38">
        <v>2</v>
      </c>
      <c r="B81" s="38">
        <v>0</v>
      </c>
      <c r="C81" s="38">
        <v>4</v>
      </c>
      <c r="D81" s="38">
        <v>21</v>
      </c>
      <c r="E81" s="38">
        <v>4</v>
      </c>
      <c r="F81" s="38" t="s">
        <v>147</v>
      </c>
      <c r="G81" s="25">
        <v>10</v>
      </c>
      <c r="H81" s="25" t="s">
        <v>88</v>
      </c>
      <c r="I81" s="42" t="s">
        <v>397</v>
      </c>
      <c r="J81" s="45">
        <v>30075000</v>
      </c>
    </row>
    <row r="82" spans="1:10" ht="36" x14ac:dyDescent="0.25">
      <c r="A82" s="38">
        <v>2</v>
      </c>
      <c r="B82" s="38">
        <v>0</v>
      </c>
      <c r="C82" s="38">
        <v>4</v>
      </c>
      <c r="D82" s="38">
        <v>21</v>
      </c>
      <c r="E82" s="38">
        <v>5</v>
      </c>
      <c r="F82" s="38" t="s">
        <v>147</v>
      </c>
      <c r="G82" s="25">
        <v>10</v>
      </c>
      <c r="H82" s="25" t="s">
        <v>88</v>
      </c>
      <c r="I82" s="42" t="s">
        <v>153</v>
      </c>
      <c r="J82" s="45"/>
    </row>
    <row r="83" spans="1:10" ht="36" x14ac:dyDescent="0.25">
      <c r="A83" s="38">
        <v>2</v>
      </c>
      <c r="B83" s="38">
        <v>0</v>
      </c>
      <c r="C83" s="38">
        <v>4</v>
      </c>
      <c r="D83" s="38">
        <v>21</v>
      </c>
      <c r="E83" s="38">
        <v>8</v>
      </c>
      <c r="F83" s="38" t="s">
        <v>147</v>
      </c>
      <c r="G83" s="25">
        <v>10</v>
      </c>
      <c r="H83" s="25" t="s">
        <v>88</v>
      </c>
      <c r="I83" s="42" t="s">
        <v>126</v>
      </c>
      <c r="J83" s="45">
        <v>17000000</v>
      </c>
    </row>
    <row r="84" spans="1:10" ht="28.5" x14ac:dyDescent="0.25">
      <c r="A84" s="32"/>
      <c r="B84" s="32"/>
      <c r="C84" s="32"/>
      <c r="D84" s="32"/>
      <c r="E84" s="32"/>
      <c r="F84" s="32"/>
      <c r="G84" s="33"/>
      <c r="H84" s="33"/>
      <c r="I84" s="35" t="s">
        <v>398</v>
      </c>
      <c r="J84" s="265">
        <f t="shared" ref="J84" si="6">SUM(J81:J83)</f>
        <v>47075000</v>
      </c>
    </row>
    <row r="85" spans="1:10" ht="20.25" x14ac:dyDescent="0.25">
      <c r="A85" s="740" t="s">
        <v>399</v>
      </c>
      <c r="B85" s="741"/>
      <c r="C85" s="741"/>
      <c r="D85" s="741"/>
      <c r="E85" s="741"/>
      <c r="F85" s="741"/>
      <c r="G85" s="741"/>
      <c r="H85" s="741"/>
      <c r="I85" s="742"/>
      <c r="J85" s="45"/>
    </row>
    <row r="86" spans="1:10" ht="30" x14ac:dyDescent="0.25">
      <c r="A86" s="26">
        <v>2</v>
      </c>
      <c r="B86" s="26">
        <v>0</v>
      </c>
      <c r="C86" s="26">
        <v>4</v>
      </c>
      <c r="D86" s="26">
        <v>41</v>
      </c>
      <c r="E86" s="26">
        <v>13</v>
      </c>
      <c r="F86" s="26"/>
      <c r="G86" s="26">
        <v>10</v>
      </c>
      <c r="H86" s="26" t="s">
        <v>88</v>
      </c>
      <c r="I86" s="36" t="s">
        <v>399</v>
      </c>
      <c r="J86" s="45">
        <v>1400000</v>
      </c>
    </row>
    <row r="87" spans="1:10" ht="28.5" x14ac:dyDescent="0.25">
      <c r="A87" s="32"/>
      <c r="B87" s="32"/>
      <c r="C87" s="32"/>
      <c r="D87" s="32"/>
      <c r="E87" s="32"/>
      <c r="F87" s="32"/>
      <c r="G87" s="33"/>
      <c r="H87" s="33"/>
      <c r="I87" s="35" t="s">
        <v>400</v>
      </c>
      <c r="J87" s="354">
        <f>SUM(J86)</f>
        <v>1400000</v>
      </c>
    </row>
    <row r="88" spans="1:10" x14ac:dyDescent="0.25">
      <c r="A88" s="26"/>
      <c r="B88" s="26"/>
      <c r="C88" s="26"/>
      <c r="D88" s="26"/>
      <c r="E88" s="26"/>
      <c r="F88" s="26"/>
      <c r="G88" s="26"/>
      <c r="H88" s="26"/>
      <c r="I88" s="36" t="s">
        <v>401</v>
      </c>
      <c r="J88" s="360">
        <f>SUM(J21+J24+J35+J44+J50+J56+J62+J69+J73+J79+J84+J85+J87)</f>
        <v>2601173403</v>
      </c>
    </row>
    <row r="89" spans="1:10" ht="30" x14ac:dyDescent="0.25">
      <c r="A89" s="26"/>
      <c r="B89" s="26"/>
      <c r="C89" s="26"/>
      <c r="D89" s="26"/>
      <c r="E89" s="26"/>
      <c r="F89" s="26"/>
      <c r="G89" s="26"/>
      <c r="H89" s="26"/>
      <c r="I89" s="36" t="s">
        <v>402</v>
      </c>
      <c r="J89" s="360">
        <f>SUM(J7)</f>
        <v>124423893</v>
      </c>
    </row>
    <row r="90" spans="1:10" x14ac:dyDescent="0.25">
      <c r="A90" s="26"/>
      <c r="B90" s="26"/>
      <c r="C90" s="26"/>
      <c r="D90" s="26"/>
      <c r="E90" s="26"/>
      <c r="F90" s="26"/>
      <c r="G90" s="26"/>
      <c r="H90" s="26"/>
      <c r="I90" s="36" t="s">
        <v>403</v>
      </c>
      <c r="J90" s="360">
        <f t="shared" ref="J90" si="7">SUM(J12)</f>
        <v>29870000</v>
      </c>
    </row>
    <row r="91" spans="1:10" x14ac:dyDescent="0.25">
      <c r="A91" s="26"/>
      <c r="B91" s="26"/>
      <c r="C91" s="26"/>
      <c r="D91" s="26"/>
      <c r="E91" s="26"/>
      <c r="F91" s="26"/>
      <c r="G91" s="26"/>
      <c r="H91" s="26"/>
      <c r="I91" s="36" t="s">
        <v>404</v>
      </c>
      <c r="J91" s="360">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592"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91"/>
      <c r="B1" s="53"/>
      <c r="C1" s="2"/>
      <c r="D1" s="17"/>
      <c r="E1" s="2"/>
      <c r="F1" s="2"/>
      <c r="G1" s="2"/>
      <c r="H1" s="2"/>
      <c r="I1" s="2"/>
      <c r="J1" s="76"/>
      <c r="K1" s="2"/>
      <c r="L1" s="72"/>
      <c r="M1" s="8"/>
      <c r="N1" s="2"/>
      <c r="O1" s="2"/>
      <c r="P1" s="2"/>
      <c r="Q1" s="95"/>
      <c r="R1" s="587"/>
      <c r="S1" s="3"/>
      <c r="T1" s="90"/>
      <c r="U1" s="4"/>
      <c r="V1" s="3"/>
      <c r="W1" s="3"/>
      <c r="X1" s="3"/>
      <c r="Y1" s="54"/>
      <c r="Z1" s="3"/>
      <c r="AA1" s="51"/>
      <c r="AB1" s="3"/>
      <c r="AC1" s="3"/>
      <c r="AD1" s="3"/>
      <c r="AE1" s="3"/>
      <c r="AF1" s="3"/>
      <c r="AG1" s="3"/>
      <c r="AH1" s="3"/>
      <c r="AI1" s="3"/>
      <c r="AJ1" s="3"/>
      <c r="AK1" s="3"/>
      <c r="AL1" s="3"/>
      <c r="AM1" s="18"/>
    </row>
    <row r="2" spans="1:39" ht="26.25" x14ac:dyDescent="0.4">
      <c r="A2" s="92"/>
      <c r="B2" s="747" t="s">
        <v>426</v>
      </c>
      <c r="C2" s="747"/>
      <c r="D2" s="747"/>
      <c r="E2" s="747"/>
      <c r="F2" s="747"/>
      <c r="G2" s="747"/>
      <c r="H2" s="747"/>
      <c r="I2" s="747"/>
      <c r="J2" s="747"/>
      <c r="K2" s="747"/>
      <c r="L2" s="747"/>
      <c r="M2" s="747"/>
      <c r="N2" s="747"/>
      <c r="O2" s="747"/>
      <c r="P2" s="747"/>
      <c r="Q2" s="96"/>
      <c r="R2" s="588"/>
      <c r="S2" s="3"/>
      <c r="T2" s="90"/>
      <c r="U2" s="4"/>
      <c r="V2" s="3"/>
      <c r="W2" s="3"/>
      <c r="X2" s="3"/>
      <c r="Y2" s="54"/>
      <c r="Z2" s="3"/>
      <c r="AA2" s="51"/>
      <c r="AB2" s="3"/>
      <c r="AC2" s="3"/>
      <c r="AD2" s="3"/>
      <c r="AE2" s="3"/>
      <c r="AF2" s="3"/>
      <c r="AG2" s="3"/>
      <c r="AH2" s="3"/>
      <c r="AI2" s="3"/>
      <c r="AJ2" s="3"/>
      <c r="AK2" s="3"/>
      <c r="AL2" s="3"/>
      <c r="AM2" s="18"/>
    </row>
    <row r="3" spans="1:39" ht="26.25" x14ac:dyDescent="0.4">
      <c r="A3" s="91"/>
      <c r="B3" s="53"/>
      <c r="C3" s="40"/>
      <c r="D3" s="19"/>
      <c r="E3" s="2"/>
      <c r="F3" s="2"/>
      <c r="G3" s="2"/>
      <c r="H3" s="2"/>
      <c r="I3" s="2"/>
      <c r="J3" s="76"/>
      <c r="K3" s="2"/>
      <c r="L3" s="72"/>
      <c r="M3" s="8"/>
      <c r="N3" s="2"/>
      <c r="O3" s="2"/>
      <c r="P3" s="2"/>
      <c r="Q3" s="95"/>
      <c r="R3" s="587"/>
      <c r="S3" s="3"/>
      <c r="T3" s="90"/>
      <c r="U3" s="4"/>
      <c r="V3" s="3"/>
      <c r="W3" s="3"/>
      <c r="X3" s="3"/>
      <c r="Y3" s="54"/>
      <c r="Z3" s="3"/>
      <c r="AA3" s="51"/>
      <c r="AB3" s="3"/>
      <c r="AC3" s="3"/>
      <c r="AD3" s="3"/>
      <c r="AE3" s="3"/>
      <c r="AF3" s="3"/>
      <c r="AG3" s="3"/>
      <c r="AH3" s="3"/>
      <c r="AI3" s="3"/>
      <c r="AJ3" s="3"/>
      <c r="AK3" s="3"/>
      <c r="AL3" s="3"/>
      <c r="AM3" s="18"/>
    </row>
    <row r="4" spans="1:39" ht="26.25" x14ac:dyDescent="0.4">
      <c r="A4" s="91"/>
      <c r="B4" s="53"/>
      <c r="C4" s="748" t="s">
        <v>0</v>
      </c>
      <c r="D4" s="748"/>
      <c r="E4" s="2"/>
      <c r="F4" s="2"/>
      <c r="G4" s="2"/>
      <c r="H4" s="2"/>
      <c r="I4" s="2"/>
      <c r="J4" s="76"/>
      <c r="K4" s="2"/>
      <c r="L4" s="72"/>
      <c r="M4" s="8"/>
      <c r="N4" s="2"/>
      <c r="O4" s="2"/>
      <c r="P4" s="2"/>
      <c r="Q4" s="95"/>
      <c r="R4" s="587"/>
      <c r="S4" s="3"/>
      <c r="T4" s="90"/>
      <c r="U4" s="4"/>
      <c r="V4" s="3"/>
      <c r="W4" s="3"/>
      <c r="X4" s="3"/>
      <c r="Y4" s="54"/>
      <c r="Z4" s="3"/>
      <c r="AA4" s="51"/>
      <c r="AB4" s="3"/>
      <c r="AC4" s="3"/>
      <c r="AD4" s="3"/>
      <c r="AE4" s="3"/>
      <c r="AF4" s="3"/>
      <c r="AG4" s="3"/>
      <c r="AH4" s="3"/>
      <c r="AI4" s="3"/>
      <c r="AJ4" s="3"/>
      <c r="AK4" s="3"/>
      <c r="AL4" s="3"/>
      <c r="AM4" s="18"/>
    </row>
    <row r="5" spans="1:39" ht="26.25" x14ac:dyDescent="0.4">
      <c r="A5" s="93"/>
      <c r="B5" s="81"/>
      <c r="C5" s="78" t="s">
        <v>1</v>
      </c>
      <c r="D5" s="749" t="s">
        <v>2</v>
      </c>
      <c r="E5" s="749"/>
      <c r="F5" s="2"/>
      <c r="G5" s="5"/>
      <c r="H5" s="5"/>
      <c r="I5" s="750" t="s">
        <v>274</v>
      </c>
      <c r="J5" s="750"/>
      <c r="K5" s="750"/>
      <c r="L5" s="750"/>
      <c r="M5" s="750"/>
      <c r="N5" s="5"/>
      <c r="O5" s="5"/>
      <c r="P5" s="5"/>
      <c r="Q5" s="97"/>
      <c r="R5" s="589"/>
      <c r="S5" s="3"/>
      <c r="T5" s="90"/>
      <c r="U5" s="4"/>
      <c r="V5" s="3"/>
      <c r="W5" s="3"/>
      <c r="X5" s="3"/>
      <c r="Y5" s="54"/>
      <c r="Z5" s="3"/>
      <c r="AA5" s="51"/>
      <c r="AB5" s="3"/>
      <c r="AC5" s="3"/>
      <c r="AD5" s="3"/>
      <c r="AE5" s="3"/>
      <c r="AF5" s="3"/>
      <c r="AG5" s="3"/>
      <c r="AH5" s="3"/>
      <c r="AI5" s="3"/>
      <c r="AJ5" s="3"/>
      <c r="AK5" s="3"/>
      <c r="AL5" s="3"/>
      <c r="AM5" s="18"/>
    </row>
    <row r="6" spans="1:39" ht="26.25" x14ac:dyDescent="0.4">
      <c r="A6" s="93"/>
      <c r="B6" s="81"/>
      <c r="C6" s="43" t="s">
        <v>3</v>
      </c>
      <c r="D6" s="749" t="s">
        <v>4</v>
      </c>
      <c r="E6" s="749"/>
      <c r="F6" s="2"/>
      <c r="G6" s="5"/>
      <c r="H6" s="5"/>
      <c r="I6" s="750"/>
      <c r="J6" s="750"/>
      <c r="K6" s="750"/>
      <c r="L6" s="750"/>
      <c r="M6" s="750"/>
      <c r="N6" s="5"/>
      <c r="O6" s="5"/>
      <c r="P6" s="5"/>
      <c r="Q6" s="97"/>
      <c r="R6" s="589"/>
      <c r="S6" s="3"/>
      <c r="T6" s="90"/>
      <c r="U6" s="4"/>
      <c r="V6" s="3"/>
      <c r="W6" s="3"/>
      <c r="X6" s="3"/>
      <c r="Y6" s="54"/>
      <c r="Z6" s="3"/>
      <c r="AA6" s="51"/>
      <c r="AB6" s="3"/>
      <c r="AC6" s="3"/>
      <c r="AD6" s="3"/>
      <c r="AE6" s="3"/>
      <c r="AF6" s="3"/>
      <c r="AG6" s="3"/>
      <c r="AH6" s="3"/>
      <c r="AI6" s="3"/>
      <c r="AJ6" s="3"/>
      <c r="AK6" s="3"/>
      <c r="AL6" s="3"/>
      <c r="AM6" s="18"/>
    </row>
    <row r="7" spans="1:39" ht="26.25" x14ac:dyDescent="0.4">
      <c r="A7" s="93"/>
      <c r="B7" s="81"/>
      <c r="C7" s="43" t="s">
        <v>5</v>
      </c>
      <c r="D7" s="751">
        <v>7395656</v>
      </c>
      <c r="E7" s="751"/>
      <c r="F7" s="11"/>
      <c r="G7" s="5"/>
      <c r="H7" s="5"/>
      <c r="I7" s="750"/>
      <c r="J7" s="750"/>
      <c r="K7" s="750"/>
      <c r="L7" s="750"/>
      <c r="M7" s="750"/>
      <c r="N7" s="5"/>
      <c r="O7" s="5"/>
      <c r="P7" s="5"/>
      <c r="Q7" s="97"/>
      <c r="R7" s="589"/>
      <c r="S7" s="3"/>
      <c r="T7" s="90"/>
      <c r="U7" s="4" t="s">
        <v>148</v>
      </c>
      <c r="V7" s="3"/>
      <c r="W7" s="3"/>
      <c r="X7" s="3"/>
      <c r="Y7" s="54"/>
      <c r="Z7" s="3"/>
      <c r="AA7" s="51"/>
      <c r="AB7" s="3"/>
      <c r="AC7" s="3"/>
      <c r="AD7" s="3"/>
      <c r="AE7" s="3"/>
      <c r="AF7" s="3"/>
      <c r="AG7" s="3"/>
      <c r="AH7" s="3"/>
      <c r="AI7" s="3"/>
      <c r="AJ7" s="3"/>
      <c r="AK7" s="3"/>
      <c r="AL7" s="3"/>
      <c r="AM7" s="18"/>
    </row>
    <row r="8" spans="1:39" ht="39" customHeight="1" x14ac:dyDescent="0.4">
      <c r="A8" s="93"/>
      <c r="B8" s="81"/>
      <c r="C8" s="43" t="s">
        <v>6</v>
      </c>
      <c r="D8" s="752" t="s">
        <v>47</v>
      </c>
      <c r="E8" s="752"/>
      <c r="F8" s="12"/>
      <c r="G8" s="5"/>
      <c r="H8" s="5"/>
      <c r="I8" s="750"/>
      <c r="J8" s="750"/>
      <c r="K8" s="750"/>
      <c r="L8" s="750"/>
      <c r="M8" s="750"/>
      <c r="N8" s="5"/>
      <c r="O8" s="5"/>
      <c r="P8" s="5"/>
      <c r="Q8" s="97"/>
      <c r="R8" s="589"/>
      <c r="S8" s="3"/>
      <c r="T8" s="90"/>
      <c r="U8" s="4"/>
      <c r="V8" s="3"/>
      <c r="W8" s="3"/>
      <c r="X8" s="3"/>
      <c r="Y8" s="54"/>
      <c r="Z8" s="3"/>
      <c r="AA8" s="51"/>
      <c r="AB8" s="3"/>
      <c r="AC8" s="3"/>
      <c r="AD8" s="3"/>
      <c r="AE8" s="3"/>
      <c r="AF8" s="3"/>
      <c r="AG8" s="3"/>
      <c r="AH8" s="3"/>
      <c r="AI8" s="3"/>
      <c r="AJ8" s="3"/>
      <c r="AK8" s="3"/>
      <c r="AL8" s="3"/>
      <c r="AM8" s="18"/>
    </row>
    <row r="9" spans="1:39" ht="78" customHeight="1" x14ac:dyDescent="0.4">
      <c r="A9" s="93"/>
      <c r="B9" s="81"/>
      <c r="C9" s="43" t="s">
        <v>7</v>
      </c>
      <c r="D9" s="749" t="s">
        <v>427</v>
      </c>
      <c r="E9" s="749"/>
      <c r="F9" s="2"/>
      <c r="G9" s="5"/>
      <c r="H9" s="5"/>
      <c r="I9" s="750"/>
      <c r="J9" s="750"/>
      <c r="K9" s="750"/>
      <c r="L9" s="750"/>
      <c r="M9" s="750"/>
      <c r="N9" s="5"/>
      <c r="O9" s="5"/>
      <c r="P9" s="5"/>
      <c r="Q9" s="97"/>
      <c r="R9" s="589"/>
      <c r="S9" s="3"/>
      <c r="T9" s="90"/>
      <c r="U9" s="4"/>
      <c r="V9" s="3"/>
      <c r="W9" s="3"/>
      <c r="X9" s="3"/>
      <c r="Y9" s="54"/>
      <c r="Z9" s="3"/>
      <c r="AA9" s="51"/>
      <c r="AB9" s="3"/>
      <c r="AC9" s="3"/>
      <c r="AD9" s="3"/>
      <c r="AE9" s="3"/>
      <c r="AF9" s="3"/>
      <c r="AG9" s="3"/>
      <c r="AH9" s="3"/>
      <c r="AI9" s="3"/>
      <c r="AJ9" s="3"/>
      <c r="AK9" s="3"/>
      <c r="AL9" s="3"/>
      <c r="AM9" s="18"/>
    </row>
    <row r="10" spans="1:39" ht="84.6" customHeight="1" x14ac:dyDescent="0.4">
      <c r="A10" s="93"/>
      <c r="B10" s="81"/>
      <c r="C10" s="43" t="s">
        <v>8</v>
      </c>
      <c r="D10" s="757" t="s">
        <v>9</v>
      </c>
      <c r="E10" s="757"/>
      <c r="F10" s="1"/>
      <c r="G10" s="5"/>
      <c r="H10" s="5"/>
      <c r="I10" s="6"/>
      <c r="J10" s="6"/>
      <c r="K10" s="6"/>
      <c r="L10" s="73"/>
      <c r="M10" s="9"/>
      <c r="N10" s="5"/>
      <c r="O10" s="5"/>
      <c r="P10" s="5"/>
      <c r="Q10" s="97"/>
      <c r="R10" s="589"/>
      <c r="S10" s="3"/>
      <c r="T10" s="90"/>
      <c r="U10" s="4"/>
      <c r="V10" s="3"/>
      <c r="W10" s="3"/>
      <c r="X10" s="3"/>
      <c r="Y10" s="54"/>
      <c r="Z10" s="3"/>
      <c r="AA10" s="51"/>
      <c r="AB10" s="3"/>
      <c r="AC10" s="3"/>
      <c r="AD10" s="3"/>
      <c r="AE10" s="3"/>
      <c r="AF10" s="3"/>
      <c r="AG10" s="3"/>
      <c r="AH10" s="3"/>
      <c r="AI10" s="3"/>
      <c r="AJ10" s="3"/>
      <c r="AK10" s="3"/>
      <c r="AL10" s="3"/>
      <c r="AM10" s="18"/>
    </row>
    <row r="11" spans="1:39" ht="48" customHeight="1" x14ac:dyDescent="0.4">
      <c r="A11" s="93"/>
      <c r="B11" s="81"/>
      <c r="C11" s="43" t="s">
        <v>10</v>
      </c>
      <c r="D11" s="758" t="s">
        <v>224</v>
      </c>
      <c r="E11" s="759"/>
      <c r="F11" s="2"/>
      <c r="G11" s="5"/>
      <c r="H11" s="5"/>
      <c r="I11" s="760" t="s">
        <v>11</v>
      </c>
      <c r="J11" s="761"/>
      <c r="K11" s="761"/>
      <c r="L11" s="761"/>
      <c r="M11" s="762"/>
      <c r="N11" s="5"/>
      <c r="O11" s="5"/>
      <c r="P11" s="5"/>
      <c r="Q11" s="97"/>
      <c r="R11" s="589"/>
      <c r="S11" s="3"/>
      <c r="T11" s="90"/>
      <c r="U11" s="4"/>
      <c r="V11" s="3"/>
      <c r="W11" s="3"/>
      <c r="X11" s="3"/>
      <c r="Y11" s="54"/>
      <c r="Z11" s="3"/>
      <c r="AA11" s="51"/>
      <c r="AB11" s="3"/>
      <c r="AC11" s="3"/>
      <c r="AD11" s="3"/>
      <c r="AE11" s="3"/>
      <c r="AF11" s="3"/>
      <c r="AG11" s="3"/>
      <c r="AH11" s="3"/>
      <c r="AI11" s="3"/>
      <c r="AJ11" s="3"/>
      <c r="AK11" s="3"/>
      <c r="AL11" s="3"/>
      <c r="AM11" s="18"/>
    </row>
    <row r="12" spans="1:39" ht="50.45" customHeight="1" x14ac:dyDescent="0.4">
      <c r="A12" s="93"/>
      <c r="B12" s="81"/>
      <c r="C12" s="43" t="s">
        <v>12</v>
      </c>
      <c r="D12" s="769" t="s">
        <v>428</v>
      </c>
      <c r="E12" s="770"/>
      <c r="F12" s="13"/>
      <c r="G12" s="5"/>
      <c r="H12" s="5"/>
      <c r="I12" s="763"/>
      <c r="J12" s="764"/>
      <c r="K12" s="764"/>
      <c r="L12" s="764"/>
      <c r="M12" s="765"/>
      <c r="N12" s="5"/>
      <c r="O12" s="5"/>
      <c r="P12" s="5"/>
      <c r="Q12" s="97"/>
      <c r="R12" s="589"/>
      <c r="S12" s="3"/>
      <c r="T12" s="90"/>
      <c r="U12" s="4"/>
      <c r="V12" s="3"/>
      <c r="W12" s="3"/>
      <c r="X12" s="3"/>
      <c r="Y12" s="54"/>
      <c r="Z12" s="3"/>
      <c r="AA12" s="51"/>
      <c r="AB12" s="3"/>
      <c r="AC12" s="3"/>
      <c r="AD12" s="3"/>
      <c r="AE12" s="3"/>
      <c r="AF12" s="3"/>
      <c r="AG12" s="3"/>
      <c r="AH12" s="3"/>
      <c r="AI12" s="3"/>
      <c r="AJ12" s="3"/>
      <c r="AK12" s="3"/>
      <c r="AL12" s="3"/>
      <c r="AM12" s="18"/>
    </row>
    <row r="13" spans="1:39" ht="37.5" x14ac:dyDescent="0.4">
      <c r="A13" s="93"/>
      <c r="B13" s="81"/>
      <c r="C13" s="43" t="s">
        <v>13</v>
      </c>
      <c r="D13" s="771"/>
      <c r="E13" s="771"/>
      <c r="F13" s="88"/>
      <c r="G13" s="5"/>
      <c r="H13" s="5"/>
      <c r="I13" s="763"/>
      <c r="J13" s="764"/>
      <c r="K13" s="764"/>
      <c r="L13" s="764"/>
      <c r="M13" s="765"/>
      <c r="N13" s="5"/>
      <c r="O13" s="5"/>
      <c r="P13" s="76"/>
      <c r="Q13" s="97"/>
      <c r="R13" s="589"/>
      <c r="S13" s="3"/>
      <c r="T13" s="90"/>
      <c r="U13" s="4"/>
      <c r="V13" s="3"/>
      <c r="W13" s="3"/>
      <c r="X13" s="3"/>
      <c r="Y13" s="54"/>
      <c r="Z13" s="3"/>
      <c r="AA13" s="51"/>
      <c r="AB13" s="3"/>
      <c r="AC13" s="3"/>
      <c r="AD13" s="3"/>
      <c r="AE13" s="3"/>
      <c r="AF13" s="3"/>
      <c r="AG13" s="3"/>
      <c r="AH13" s="3"/>
      <c r="AI13" s="3"/>
      <c r="AJ13" s="3"/>
      <c r="AK13" s="3"/>
      <c r="AL13" s="3"/>
      <c r="AM13" s="18"/>
    </row>
    <row r="14" spans="1:39" ht="37.5" x14ac:dyDescent="0.4">
      <c r="A14" s="93"/>
      <c r="B14" s="81"/>
      <c r="C14" s="43" t="s">
        <v>14</v>
      </c>
      <c r="D14" s="772"/>
      <c r="E14" s="772"/>
      <c r="F14" s="88"/>
      <c r="G14" s="5"/>
      <c r="H14" s="5"/>
      <c r="I14" s="763"/>
      <c r="J14" s="764"/>
      <c r="K14" s="764"/>
      <c r="L14" s="764"/>
      <c r="M14" s="765"/>
      <c r="N14" s="5"/>
      <c r="O14" s="5"/>
      <c r="P14" s="5"/>
      <c r="Q14" s="97"/>
      <c r="R14" s="589"/>
      <c r="S14" s="3"/>
      <c r="T14" s="90"/>
      <c r="U14" s="4"/>
      <c r="V14" s="3"/>
      <c r="W14" s="3"/>
      <c r="X14" s="3"/>
      <c r="Y14" s="54"/>
      <c r="Z14" s="3"/>
      <c r="AA14" s="51"/>
      <c r="AB14" s="3"/>
      <c r="AC14" s="3"/>
      <c r="AD14" s="3"/>
      <c r="AE14" s="3"/>
      <c r="AF14" s="3"/>
      <c r="AG14" s="3"/>
      <c r="AH14" s="3"/>
      <c r="AI14" s="3"/>
      <c r="AJ14" s="3"/>
      <c r="AK14" s="3"/>
      <c r="AL14" s="3"/>
      <c r="AM14" s="18"/>
    </row>
    <row r="15" spans="1:39" ht="38.25" thickBot="1" x14ac:dyDescent="0.45">
      <c r="A15" s="93"/>
      <c r="B15" s="81"/>
      <c r="C15" s="44" t="s">
        <v>15</v>
      </c>
      <c r="D15" s="773">
        <v>43103</v>
      </c>
      <c r="E15" s="774"/>
      <c r="F15" s="89"/>
      <c r="G15" s="5"/>
      <c r="H15" s="5"/>
      <c r="I15" s="766"/>
      <c r="J15" s="767"/>
      <c r="K15" s="767"/>
      <c r="L15" s="767"/>
      <c r="M15" s="768"/>
      <c r="N15" s="5"/>
      <c r="O15" s="5"/>
      <c r="P15" s="5"/>
      <c r="Q15" s="97"/>
      <c r="R15" s="589"/>
      <c r="S15" s="3"/>
      <c r="T15" s="90"/>
      <c r="U15" s="4"/>
      <c r="V15" s="3"/>
      <c r="W15" s="3"/>
      <c r="X15" s="3"/>
      <c r="Y15" s="54"/>
      <c r="Z15" s="3"/>
      <c r="AA15" s="51"/>
      <c r="AB15" s="3"/>
      <c r="AC15" s="3"/>
      <c r="AD15" s="3"/>
      <c r="AE15" s="3"/>
      <c r="AF15" s="3"/>
      <c r="AG15" s="3"/>
      <c r="AH15" s="3"/>
      <c r="AI15" s="3"/>
      <c r="AJ15" s="3"/>
      <c r="AK15" s="3"/>
      <c r="AL15" s="3"/>
      <c r="AM15" s="18"/>
    </row>
    <row r="16" spans="1:39" ht="26.25" x14ac:dyDescent="0.4">
      <c r="A16" s="93"/>
      <c r="B16" s="81"/>
      <c r="C16" s="2"/>
      <c r="D16" s="20"/>
      <c r="E16" s="7"/>
      <c r="F16" s="7"/>
      <c r="G16" s="5"/>
      <c r="H16" s="5"/>
      <c r="I16" s="76"/>
      <c r="J16" s="14"/>
      <c r="L16" s="74"/>
      <c r="M16" s="41"/>
      <c r="N16" s="5"/>
      <c r="O16" s="5"/>
      <c r="P16" s="79"/>
      <c r="Q16" s="98"/>
      <c r="R16" s="590"/>
      <c r="S16" s="3"/>
      <c r="T16" s="90"/>
      <c r="U16" s="4"/>
      <c r="V16" s="3"/>
      <c r="W16" s="3"/>
      <c r="X16" s="82"/>
      <c r="Y16" s="54"/>
      <c r="Z16" s="3"/>
      <c r="AA16" s="51"/>
      <c r="AB16" s="3"/>
      <c r="AC16" s="3"/>
      <c r="AD16" s="3"/>
      <c r="AE16" s="3"/>
      <c r="AF16" s="3"/>
      <c r="AG16" s="3"/>
      <c r="AH16" s="3"/>
      <c r="AI16" s="3"/>
      <c r="AJ16" s="3"/>
      <c r="AK16" s="3"/>
      <c r="AL16" s="3"/>
      <c r="AM16" s="18"/>
    </row>
    <row r="17" spans="1:39" ht="62.25" thickBot="1" x14ac:dyDescent="0.45">
      <c r="A17" s="93"/>
      <c r="B17" s="81"/>
      <c r="C17" s="753" t="s">
        <v>16</v>
      </c>
      <c r="D17" s="753"/>
      <c r="E17" s="5"/>
      <c r="F17" s="5"/>
      <c r="G17" s="5"/>
      <c r="H17" s="5"/>
      <c r="I17" s="5"/>
      <c r="J17" s="16"/>
      <c r="K17" s="87"/>
      <c r="L17" s="83" t="s">
        <v>100</v>
      </c>
      <c r="M17" s="84" t="s">
        <v>285</v>
      </c>
      <c r="N17" s="5"/>
      <c r="O17" s="5"/>
      <c r="P17" s="16"/>
      <c r="Q17" s="99"/>
      <c r="R17" s="591"/>
      <c r="S17" s="3"/>
      <c r="T17" s="90"/>
      <c r="U17" s="4"/>
      <c r="V17" s="3"/>
      <c r="W17" s="3"/>
      <c r="X17" s="15"/>
      <c r="Y17" s="55"/>
      <c r="Z17" s="15"/>
      <c r="AA17" s="86" t="s">
        <v>92</v>
      </c>
      <c r="AB17" s="3"/>
      <c r="AC17" s="3"/>
      <c r="AD17" s="3"/>
      <c r="AE17" s="3"/>
      <c r="AF17" s="3"/>
      <c r="AG17" s="3"/>
      <c r="AH17" s="3"/>
      <c r="AI17" s="3"/>
      <c r="AJ17" s="3"/>
      <c r="AK17" s="3"/>
      <c r="AL17" s="3"/>
      <c r="AM17" s="18"/>
    </row>
    <row r="18" spans="1:39" ht="36" x14ac:dyDescent="0.4">
      <c r="A18" s="93"/>
      <c r="B18" s="81"/>
      <c r="C18" s="40"/>
      <c r="D18" s="21"/>
      <c r="E18" s="5"/>
      <c r="F18" s="5"/>
      <c r="G18" s="5"/>
      <c r="H18" s="5"/>
      <c r="I18" s="5"/>
      <c r="J18" s="6"/>
      <c r="K18" s="5"/>
      <c r="L18" s="582">
        <f>SUBTOTAL(9,L20:L185)</f>
        <v>799232500</v>
      </c>
      <c r="M18" s="582">
        <f>SUBTOTAL(9,M20:M185)</f>
        <v>799232500</v>
      </c>
      <c r="N18" s="5"/>
      <c r="O18" s="5"/>
      <c r="P18" s="5"/>
      <c r="Q18" s="97"/>
      <c r="R18" s="589"/>
      <c r="S18" s="3"/>
      <c r="T18" s="90"/>
      <c r="U18" s="4"/>
      <c r="V18" s="3"/>
      <c r="W18" s="3"/>
      <c r="X18" s="85">
        <f t="shared" ref="X18:AA18" si="0">SUBTOTAL(9,X20:X185)</f>
        <v>0</v>
      </c>
      <c r="Y18" s="85">
        <f t="shared" si="0"/>
        <v>0</v>
      </c>
      <c r="Z18" s="85">
        <f t="shared" si="0"/>
        <v>0</v>
      </c>
      <c r="AA18" s="85">
        <f t="shared" si="0"/>
        <v>0</v>
      </c>
      <c r="AB18" s="75"/>
      <c r="AC18" s="75"/>
      <c r="AD18" s="75"/>
      <c r="AE18" s="75"/>
      <c r="AF18" s="3"/>
      <c r="AG18" s="3"/>
      <c r="AH18" s="3"/>
      <c r="AI18" s="3"/>
      <c r="AJ18" s="3"/>
      <c r="AK18" s="3"/>
      <c r="AL18" s="3"/>
      <c r="AM18" s="18"/>
    </row>
    <row r="19" spans="1:39" ht="126" customHeight="1" x14ac:dyDescent="0.25">
      <c r="A19" s="565" t="s">
        <v>297</v>
      </c>
      <c r="B19" s="565" t="s">
        <v>298</v>
      </c>
      <c r="C19" s="565" t="s">
        <v>17</v>
      </c>
      <c r="D19" s="565" t="s">
        <v>175</v>
      </c>
      <c r="E19" s="565" t="s">
        <v>160</v>
      </c>
      <c r="F19" s="565" t="s">
        <v>159</v>
      </c>
      <c r="G19" s="565" t="s">
        <v>18</v>
      </c>
      <c r="H19" s="565" t="s">
        <v>138</v>
      </c>
      <c r="I19" s="565" t="s">
        <v>19</v>
      </c>
      <c r="J19" s="565" t="s">
        <v>20</v>
      </c>
      <c r="K19" s="565" t="s">
        <v>189</v>
      </c>
      <c r="L19" s="583" t="s">
        <v>190</v>
      </c>
      <c r="M19" s="584" t="s">
        <v>191</v>
      </c>
      <c r="N19" s="565" t="s">
        <v>192</v>
      </c>
      <c r="O19" s="565" t="s">
        <v>21</v>
      </c>
      <c r="P19" s="565" t="s">
        <v>22</v>
      </c>
      <c r="Q19" s="566"/>
      <c r="R19" s="593" t="s">
        <v>544</v>
      </c>
      <c r="S19" s="567" t="s">
        <v>23</v>
      </c>
      <c r="T19" s="567" t="s">
        <v>164</v>
      </c>
      <c r="U19" s="568" t="s">
        <v>24</v>
      </c>
      <c r="V19" s="567" t="s">
        <v>25</v>
      </c>
      <c r="W19" s="567" t="s">
        <v>26</v>
      </c>
      <c r="X19" s="569" t="s">
        <v>269</v>
      </c>
      <c r="Y19" s="569" t="s">
        <v>182</v>
      </c>
      <c r="Z19" s="569" t="s">
        <v>163</v>
      </c>
      <c r="AA19" s="570" t="s">
        <v>232</v>
      </c>
      <c r="AB19" s="567" t="s">
        <v>27</v>
      </c>
      <c r="AC19" s="567" t="s">
        <v>83</v>
      </c>
      <c r="AD19" s="567" t="s">
        <v>84</v>
      </c>
      <c r="AE19" s="567" t="s">
        <v>28</v>
      </c>
      <c r="AF19" s="567" t="s">
        <v>29</v>
      </c>
      <c r="AG19" s="567" t="s">
        <v>85</v>
      </c>
      <c r="AH19" s="567" t="s">
        <v>30</v>
      </c>
      <c r="AI19" s="567" t="s">
        <v>31</v>
      </c>
      <c r="AJ19" s="567" t="s">
        <v>32</v>
      </c>
      <c r="AK19" s="567" t="s">
        <v>33</v>
      </c>
      <c r="AL19" s="567" t="s">
        <v>86</v>
      </c>
      <c r="AM19" s="571" t="s">
        <v>34</v>
      </c>
    </row>
    <row r="20" spans="1:39" ht="93" hidden="1" x14ac:dyDescent="0.25">
      <c r="A20" s="572">
        <v>1</v>
      </c>
      <c r="B20" s="573" t="s">
        <v>262</v>
      </c>
      <c r="C20" s="574">
        <v>78181701</v>
      </c>
      <c r="D20" s="575" t="s">
        <v>219</v>
      </c>
      <c r="E20" s="573" t="s">
        <v>48</v>
      </c>
      <c r="F20" s="573">
        <v>1</v>
      </c>
      <c r="G20" s="576" t="s">
        <v>73</v>
      </c>
      <c r="H20" s="577">
        <v>12</v>
      </c>
      <c r="I20" s="573" t="s">
        <v>50</v>
      </c>
      <c r="J20" s="573" t="s">
        <v>35</v>
      </c>
      <c r="K20" s="573" t="s">
        <v>158</v>
      </c>
      <c r="L20" s="578">
        <v>43000000</v>
      </c>
      <c r="M20" s="579">
        <v>43000000</v>
      </c>
      <c r="N20" s="573" t="s">
        <v>51</v>
      </c>
      <c r="O20" s="573" t="s">
        <v>36</v>
      </c>
      <c r="P20" s="573" t="s">
        <v>317</v>
      </c>
      <c r="Q20" s="80"/>
      <c r="R20" s="594"/>
      <c r="S20" s="581"/>
      <c r="T20" s="581"/>
      <c r="U20" s="581"/>
      <c r="V20" s="581"/>
      <c r="W20" s="581"/>
      <c r="X20" s="581"/>
      <c r="Y20" s="581"/>
      <c r="Z20" s="581"/>
      <c r="AA20" s="581"/>
      <c r="AB20" s="581"/>
      <c r="AC20" s="581"/>
      <c r="AD20" s="581"/>
      <c r="AE20" s="581"/>
      <c r="AF20" s="581"/>
      <c r="AG20" s="581"/>
      <c r="AH20" s="581"/>
      <c r="AI20" s="581"/>
      <c r="AJ20" s="581"/>
      <c r="AK20" s="581"/>
      <c r="AL20" s="581"/>
      <c r="AM20" s="581"/>
    </row>
    <row r="21" spans="1:39" ht="93" hidden="1" x14ac:dyDescent="0.25">
      <c r="A21" s="572">
        <f>1+A20</f>
        <v>2</v>
      </c>
      <c r="B21" s="573" t="s">
        <v>262</v>
      </c>
      <c r="C21" s="574">
        <v>25172504</v>
      </c>
      <c r="D21" s="575" t="s">
        <v>52</v>
      </c>
      <c r="E21" s="573" t="s">
        <v>48</v>
      </c>
      <c r="F21" s="573">
        <v>1</v>
      </c>
      <c r="G21" s="576" t="s">
        <v>79</v>
      </c>
      <c r="H21" s="577" t="s">
        <v>156</v>
      </c>
      <c r="I21" s="573" t="s">
        <v>53</v>
      </c>
      <c r="J21" s="573" t="s">
        <v>35</v>
      </c>
      <c r="K21" s="573" t="s">
        <v>54</v>
      </c>
      <c r="L21" s="578">
        <v>4000000</v>
      </c>
      <c r="M21" s="579">
        <v>4000000</v>
      </c>
      <c r="N21" s="573" t="s">
        <v>51</v>
      </c>
      <c r="O21" s="573" t="s">
        <v>36</v>
      </c>
      <c r="P21" s="573" t="s">
        <v>317</v>
      </c>
      <c r="Q21" s="80"/>
      <c r="R21" s="594"/>
      <c r="S21" s="581"/>
      <c r="T21" s="581"/>
      <c r="U21" s="581"/>
      <c r="V21" s="581"/>
      <c r="W21" s="581"/>
      <c r="X21" s="581"/>
      <c r="Y21" s="581"/>
      <c r="Z21" s="581"/>
      <c r="AA21" s="581"/>
      <c r="AB21" s="581"/>
      <c r="AC21" s="581"/>
      <c r="AD21" s="581"/>
      <c r="AE21" s="581"/>
      <c r="AF21" s="581"/>
      <c r="AG21" s="581"/>
      <c r="AH21" s="581"/>
      <c r="AI21" s="581"/>
      <c r="AJ21" s="581"/>
      <c r="AK21" s="581"/>
      <c r="AL21" s="581"/>
      <c r="AM21" s="581"/>
    </row>
    <row r="22" spans="1:39" ht="255" hidden="1" customHeight="1" x14ac:dyDescent="0.25">
      <c r="A22" s="572">
        <f>SUM(A21+1)</f>
        <v>3</v>
      </c>
      <c r="B22" s="573" t="s">
        <v>262</v>
      </c>
      <c r="C22" s="574" t="s">
        <v>67</v>
      </c>
      <c r="D22" s="575" t="s">
        <v>40</v>
      </c>
      <c r="E22" s="573" t="s">
        <v>48</v>
      </c>
      <c r="F22" s="573">
        <v>1</v>
      </c>
      <c r="G22" s="576" t="s">
        <v>76</v>
      </c>
      <c r="H22" s="577">
        <v>2</v>
      </c>
      <c r="I22" s="573" t="s">
        <v>173</v>
      </c>
      <c r="J22" s="573" t="s">
        <v>35</v>
      </c>
      <c r="K22" s="573" t="s">
        <v>41</v>
      </c>
      <c r="L22" s="578">
        <v>40000000</v>
      </c>
      <c r="M22" s="579">
        <v>40000000</v>
      </c>
      <c r="N22" s="573" t="s">
        <v>51</v>
      </c>
      <c r="O22" s="573" t="s">
        <v>36</v>
      </c>
      <c r="P22" s="573" t="s">
        <v>317</v>
      </c>
      <c r="Q22" s="80"/>
      <c r="R22" s="594"/>
      <c r="S22" s="581"/>
      <c r="T22" s="581"/>
      <c r="U22" s="581"/>
      <c r="V22" s="581"/>
      <c r="W22" s="581"/>
      <c r="X22" s="581"/>
      <c r="Y22" s="581"/>
      <c r="Z22" s="581"/>
      <c r="AA22" s="581"/>
      <c r="AB22" s="581"/>
      <c r="AC22" s="581"/>
      <c r="AD22" s="581"/>
      <c r="AE22" s="581"/>
      <c r="AF22" s="581"/>
      <c r="AG22" s="581"/>
      <c r="AH22" s="581"/>
      <c r="AI22" s="581"/>
      <c r="AJ22" s="581"/>
      <c r="AK22" s="581"/>
      <c r="AL22" s="581"/>
      <c r="AM22" s="581"/>
    </row>
    <row r="23" spans="1:39" ht="93" hidden="1" x14ac:dyDescent="0.25">
      <c r="A23" s="572">
        <f t="shared" ref="A23:A25" si="1">SUM(A22+1)</f>
        <v>4</v>
      </c>
      <c r="B23" s="573" t="s">
        <v>262</v>
      </c>
      <c r="C23" s="574">
        <v>44103103</v>
      </c>
      <c r="D23" s="575" t="s">
        <v>201</v>
      </c>
      <c r="E23" s="573" t="s">
        <v>48</v>
      </c>
      <c r="F23" s="573">
        <v>1</v>
      </c>
      <c r="G23" s="576" t="s">
        <v>75</v>
      </c>
      <c r="H23" s="577" t="s">
        <v>157</v>
      </c>
      <c r="I23" s="573" t="s">
        <v>173</v>
      </c>
      <c r="J23" s="573" t="s">
        <v>35</v>
      </c>
      <c r="K23" s="573" t="s">
        <v>41</v>
      </c>
      <c r="L23" s="608">
        <v>55000000</v>
      </c>
      <c r="M23" s="609">
        <v>55000000</v>
      </c>
      <c r="N23" s="573" t="s">
        <v>51</v>
      </c>
      <c r="O23" s="573" t="s">
        <v>36</v>
      </c>
      <c r="P23" s="573" t="s">
        <v>317</v>
      </c>
      <c r="Q23" s="80"/>
      <c r="R23" s="594"/>
      <c r="S23" s="581"/>
      <c r="T23" s="581"/>
      <c r="U23" s="581"/>
      <c r="V23" s="581"/>
      <c r="W23" s="581"/>
      <c r="X23" s="581"/>
      <c r="Y23" s="581"/>
      <c r="Z23" s="581"/>
      <c r="AA23" s="581"/>
      <c r="AB23" s="581"/>
      <c r="AC23" s="581"/>
      <c r="AD23" s="581"/>
      <c r="AE23" s="581"/>
      <c r="AF23" s="581"/>
      <c r="AG23" s="581"/>
      <c r="AH23" s="581"/>
      <c r="AI23" s="581"/>
      <c r="AJ23" s="581"/>
      <c r="AK23" s="581"/>
      <c r="AL23" s="581"/>
      <c r="AM23" s="581"/>
    </row>
    <row r="24" spans="1:39" ht="93" hidden="1" x14ac:dyDescent="0.25">
      <c r="A24" s="572">
        <f t="shared" si="1"/>
        <v>5</v>
      </c>
      <c r="B24" s="573" t="s">
        <v>262</v>
      </c>
      <c r="C24" s="574">
        <v>44103104</v>
      </c>
      <c r="D24" s="575" t="s">
        <v>201</v>
      </c>
      <c r="E24" s="573" t="s">
        <v>48</v>
      </c>
      <c r="F24" s="573">
        <v>1</v>
      </c>
      <c r="G24" s="576" t="s">
        <v>75</v>
      </c>
      <c r="H24" s="577" t="s">
        <v>157</v>
      </c>
      <c r="I24" s="573" t="s">
        <v>303</v>
      </c>
      <c r="J24" s="573" t="s">
        <v>35</v>
      </c>
      <c r="K24" s="573" t="s">
        <v>41</v>
      </c>
      <c r="L24" s="608">
        <v>55000000</v>
      </c>
      <c r="M24" s="609">
        <v>55000000</v>
      </c>
      <c r="N24" s="573" t="s">
        <v>51</v>
      </c>
      <c r="O24" s="573" t="s">
        <v>36</v>
      </c>
      <c r="P24" s="573" t="s">
        <v>317</v>
      </c>
      <c r="Q24" s="80"/>
      <c r="R24" s="594"/>
      <c r="S24" s="581"/>
      <c r="T24" s="581"/>
      <c r="U24" s="581"/>
      <c r="V24" s="581"/>
      <c r="W24" s="581"/>
      <c r="X24" s="581"/>
      <c r="Y24" s="581"/>
      <c r="Z24" s="581"/>
      <c r="AA24" s="581"/>
      <c r="AB24" s="581"/>
      <c r="AC24" s="581"/>
      <c r="AD24" s="581"/>
      <c r="AE24" s="581"/>
      <c r="AF24" s="581"/>
      <c r="AG24" s="581"/>
      <c r="AH24" s="581"/>
      <c r="AI24" s="581"/>
      <c r="AJ24" s="581"/>
      <c r="AK24" s="581"/>
      <c r="AL24" s="581"/>
      <c r="AM24" s="581"/>
    </row>
    <row r="25" spans="1:39" ht="93" hidden="1" x14ac:dyDescent="0.25">
      <c r="A25" s="572">
        <f t="shared" si="1"/>
        <v>6</v>
      </c>
      <c r="B25" s="573" t="s">
        <v>262</v>
      </c>
      <c r="C25" s="574">
        <v>80101706</v>
      </c>
      <c r="D25" s="598" t="s">
        <v>429</v>
      </c>
      <c r="E25" s="573" t="s">
        <v>48</v>
      </c>
      <c r="F25" s="573">
        <v>1</v>
      </c>
      <c r="G25" s="576" t="s">
        <v>79</v>
      </c>
      <c r="H25" s="577" t="s">
        <v>231</v>
      </c>
      <c r="I25" s="573" t="s">
        <v>61</v>
      </c>
      <c r="J25" s="573" t="s">
        <v>35</v>
      </c>
      <c r="K25" s="573" t="s">
        <v>430</v>
      </c>
      <c r="L25" s="578">
        <v>18000000</v>
      </c>
      <c r="M25" s="579">
        <v>18000000</v>
      </c>
      <c r="N25" s="573" t="s">
        <v>51</v>
      </c>
      <c r="O25" s="573" t="s">
        <v>36</v>
      </c>
      <c r="P25" s="573" t="s">
        <v>317</v>
      </c>
      <c r="Q25" s="80"/>
      <c r="R25" s="594"/>
      <c r="S25" s="581"/>
      <c r="T25" s="581"/>
      <c r="U25" s="581"/>
      <c r="V25" s="581"/>
      <c r="W25" s="581"/>
      <c r="X25" s="581"/>
      <c r="Y25" s="581"/>
      <c r="Z25" s="581"/>
      <c r="AA25" s="581"/>
      <c r="AB25" s="581"/>
      <c r="AC25" s="581"/>
      <c r="AD25" s="581"/>
      <c r="AE25" s="581"/>
      <c r="AF25" s="581"/>
      <c r="AG25" s="581"/>
      <c r="AH25" s="581"/>
      <c r="AI25" s="581"/>
      <c r="AJ25" s="581"/>
      <c r="AK25" s="581"/>
      <c r="AL25" s="581"/>
      <c r="AM25" s="581"/>
    </row>
    <row r="26" spans="1:39" ht="116.25" hidden="1" x14ac:dyDescent="0.25">
      <c r="A26" s="572">
        <f t="shared" ref="A26:A57" si="2">SUM(A25+1)</f>
        <v>7</v>
      </c>
      <c r="B26" s="573" t="s">
        <v>262</v>
      </c>
      <c r="C26" s="574">
        <v>72101506</v>
      </c>
      <c r="D26" s="575" t="s">
        <v>302</v>
      </c>
      <c r="E26" s="573" t="s">
        <v>48</v>
      </c>
      <c r="F26" s="573">
        <v>1</v>
      </c>
      <c r="G26" s="576" t="s">
        <v>73</v>
      </c>
      <c r="H26" s="577" t="s">
        <v>282</v>
      </c>
      <c r="I26" s="573" t="s">
        <v>55</v>
      </c>
      <c r="J26" s="573" t="s">
        <v>35</v>
      </c>
      <c r="K26" s="573" t="s">
        <v>46</v>
      </c>
      <c r="L26" s="578">
        <v>3000000</v>
      </c>
      <c r="M26" s="579">
        <v>3000000</v>
      </c>
      <c r="N26" s="573" t="s">
        <v>51</v>
      </c>
      <c r="O26" s="573" t="s">
        <v>36</v>
      </c>
      <c r="P26" s="573" t="s">
        <v>317</v>
      </c>
      <c r="Q26" s="80"/>
      <c r="R26" s="594"/>
      <c r="S26" s="581"/>
      <c r="T26" s="581"/>
      <c r="U26" s="581"/>
      <c r="V26" s="581"/>
      <c r="W26" s="581"/>
      <c r="X26" s="581"/>
      <c r="Y26" s="581"/>
      <c r="Z26" s="581"/>
      <c r="AA26" s="581"/>
      <c r="AB26" s="581"/>
      <c r="AC26" s="581"/>
      <c r="AD26" s="581"/>
      <c r="AE26" s="581"/>
      <c r="AF26" s="581"/>
      <c r="AG26" s="581"/>
      <c r="AH26" s="581"/>
      <c r="AI26" s="581"/>
      <c r="AJ26" s="581"/>
      <c r="AK26" s="581"/>
      <c r="AL26" s="581"/>
      <c r="AM26" s="581"/>
    </row>
    <row r="27" spans="1:39" ht="93" hidden="1" x14ac:dyDescent="0.25">
      <c r="A27" s="572">
        <f t="shared" si="2"/>
        <v>8</v>
      </c>
      <c r="B27" s="573" t="s">
        <v>262</v>
      </c>
      <c r="C27" s="574" t="s">
        <v>457</v>
      </c>
      <c r="D27" s="575" t="s">
        <v>458</v>
      </c>
      <c r="E27" s="573" t="s">
        <v>48</v>
      </c>
      <c r="F27" s="573">
        <v>1</v>
      </c>
      <c r="G27" s="576" t="s">
        <v>80</v>
      </c>
      <c r="H27" s="577">
        <v>8</v>
      </c>
      <c r="I27" s="573" t="s">
        <v>55</v>
      </c>
      <c r="J27" s="573" t="s">
        <v>35</v>
      </c>
      <c r="K27" s="573" t="s">
        <v>46</v>
      </c>
      <c r="L27" s="578">
        <v>10000000</v>
      </c>
      <c r="M27" s="579">
        <v>10000000</v>
      </c>
      <c r="N27" s="573" t="s">
        <v>51</v>
      </c>
      <c r="O27" s="573" t="s">
        <v>36</v>
      </c>
      <c r="P27" s="573" t="s">
        <v>317</v>
      </c>
      <c r="Q27" s="80"/>
      <c r="R27" s="594"/>
      <c r="S27" s="581"/>
      <c r="T27" s="581"/>
      <c r="U27" s="581"/>
      <c r="V27" s="581"/>
      <c r="W27" s="581"/>
      <c r="X27" s="581"/>
      <c r="Y27" s="581"/>
      <c r="Z27" s="581"/>
      <c r="AA27" s="581"/>
      <c r="AB27" s="581"/>
      <c r="AC27" s="581"/>
      <c r="AD27" s="581"/>
      <c r="AE27" s="581"/>
      <c r="AF27" s="581"/>
      <c r="AG27" s="581"/>
      <c r="AH27" s="581"/>
      <c r="AI27" s="581"/>
      <c r="AJ27" s="581"/>
      <c r="AK27" s="581"/>
      <c r="AL27" s="581"/>
      <c r="AM27" s="581"/>
    </row>
    <row r="28" spans="1:39" ht="136.15" hidden="1" customHeight="1" x14ac:dyDescent="0.25">
      <c r="A28" s="572">
        <f t="shared" si="2"/>
        <v>9</v>
      </c>
      <c r="B28" s="573" t="s">
        <v>467</v>
      </c>
      <c r="C28" s="574">
        <v>72101506</v>
      </c>
      <c r="D28" s="575" t="s">
        <v>215</v>
      </c>
      <c r="E28" s="573" t="s">
        <v>48</v>
      </c>
      <c r="F28" s="573">
        <v>1</v>
      </c>
      <c r="G28" s="576" t="s">
        <v>75</v>
      </c>
      <c r="H28" s="577" t="s">
        <v>157</v>
      </c>
      <c r="I28" s="573" t="s">
        <v>55</v>
      </c>
      <c r="J28" s="573" t="s">
        <v>35</v>
      </c>
      <c r="K28" s="573" t="s">
        <v>46</v>
      </c>
      <c r="L28" s="578">
        <v>10000000</v>
      </c>
      <c r="M28" s="579">
        <v>10000000</v>
      </c>
      <c r="N28" s="573" t="s">
        <v>51</v>
      </c>
      <c r="O28" s="573" t="s">
        <v>36</v>
      </c>
      <c r="P28" s="573" t="s">
        <v>466</v>
      </c>
      <c r="Q28" s="80"/>
      <c r="R28" s="594"/>
      <c r="S28" s="581"/>
      <c r="T28" s="581"/>
      <c r="U28" s="581"/>
      <c r="V28" s="581"/>
      <c r="W28" s="581"/>
      <c r="X28" s="581"/>
      <c r="Y28" s="581"/>
      <c r="Z28" s="581"/>
      <c r="AA28" s="581"/>
      <c r="AB28" s="581"/>
      <c r="AC28" s="581"/>
      <c r="AD28" s="581"/>
      <c r="AE28" s="581"/>
      <c r="AF28" s="581"/>
      <c r="AG28" s="581"/>
      <c r="AH28" s="581"/>
      <c r="AI28" s="581"/>
      <c r="AJ28" s="581"/>
      <c r="AK28" s="581"/>
      <c r="AL28" s="581"/>
      <c r="AM28" s="581"/>
    </row>
    <row r="29" spans="1:39" ht="93" hidden="1" x14ac:dyDescent="0.25">
      <c r="A29" s="572">
        <f t="shared" si="2"/>
        <v>10</v>
      </c>
      <c r="B29" s="573" t="s">
        <v>262</v>
      </c>
      <c r="C29" s="574">
        <v>72102900</v>
      </c>
      <c r="D29" s="575" t="s">
        <v>56</v>
      </c>
      <c r="E29" s="573" t="s">
        <v>48</v>
      </c>
      <c r="F29" s="573">
        <v>1</v>
      </c>
      <c r="G29" s="576" t="s">
        <v>434</v>
      </c>
      <c r="H29" s="577" t="s">
        <v>435</v>
      </c>
      <c r="I29" s="573" t="s">
        <v>50</v>
      </c>
      <c r="J29" s="573" t="s">
        <v>35</v>
      </c>
      <c r="K29" s="573" t="s">
        <v>57</v>
      </c>
      <c r="L29" s="578">
        <v>290000000</v>
      </c>
      <c r="M29" s="579">
        <v>99000000</v>
      </c>
      <c r="N29" s="573" t="s">
        <v>49</v>
      </c>
      <c r="O29" s="573" t="s">
        <v>436</v>
      </c>
      <c r="P29" s="573" t="s">
        <v>317</v>
      </c>
      <c r="Q29" s="80"/>
      <c r="R29" s="594"/>
      <c r="S29" s="581"/>
      <c r="T29" s="581"/>
      <c r="U29" s="581"/>
      <c r="V29" s="581"/>
      <c r="W29" s="581"/>
      <c r="X29" s="581"/>
      <c r="Y29" s="581"/>
      <c r="Z29" s="581"/>
      <c r="AA29" s="581"/>
      <c r="AB29" s="581"/>
      <c r="AC29" s="581"/>
      <c r="AD29" s="581"/>
      <c r="AE29" s="581"/>
      <c r="AF29" s="581"/>
      <c r="AG29" s="581"/>
      <c r="AH29" s="581"/>
      <c r="AI29" s="581"/>
      <c r="AJ29" s="581"/>
      <c r="AK29" s="581"/>
      <c r="AL29" s="581"/>
      <c r="AM29" s="581"/>
    </row>
    <row r="30" spans="1:39" ht="93" hidden="1" x14ac:dyDescent="0.25">
      <c r="A30" s="572">
        <f t="shared" si="2"/>
        <v>11</v>
      </c>
      <c r="B30" s="573" t="s">
        <v>262</v>
      </c>
      <c r="C30" s="574">
        <v>84131603</v>
      </c>
      <c r="D30" s="575" t="s">
        <v>62</v>
      </c>
      <c r="E30" s="573" t="s">
        <v>48</v>
      </c>
      <c r="F30" s="573">
        <v>1</v>
      </c>
      <c r="G30" s="576" t="s">
        <v>73</v>
      </c>
      <c r="H30" s="577" t="s">
        <v>156</v>
      </c>
      <c r="I30" s="573" t="s">
        <v>50</v>
      </c>
      <c r="J30" s="573" t="s">
        <v>35</v>
      </c>
      <c r="K30" s="573" t="s">
        <v>39</v>
      </c>
      <c r="L30" s="578">
        <v>4000000</v>
      </c>
      <c r="M30" s="579">
        <v>4000000</v>
      </c>
      <c r="N30" s="573" t="s">
        <v>51</v>
      </c>
      <c r="O30" s="573" t="s">
        <v>36</v>
      </c>
      <c r="P30" s="573" t="s">
        <v>317</v>
      </c>
      <c r="Q30" s="80"/>
      <c r="R30" s="594"/>
      <c r="S30" s="581"/>
      <c r="T30" s="581"/>
      <c r="U30" s="581"/>
      <c r="V30" s="581"/>
      <c r="W30" s="581"/>
      <c r="X30" s="581"/>
      <c r="Y30" s="581"/>
      <c r="Z30" s="581"/>
      <c r="AA30" s="581"/>
      <c r="AB30" s="581"/>
      <c r="AC30" s="581"/>
      <c r="AD30" s="581"/>
      <c r="AE30" s="581"/>
      <c r="AF30" s="581"/>
      <c r="AG30" s="581"/>
      <c r="AH30" s="581"/>
      <c r="AI30" s="581"/>
      <c r="AJ30" s="581"/>
      <c r="AK30" s="581"/>
      <c r="AL30" s="581"/>
      <c r="AM30" s="581"/>
    </row>
    <row r="31" spans="1:39" ht="93" hidden="1" x14ac:dyDescent="0.25">
      <c r="A31" s="572">
        <f t="shared" si="2"/>
        <v>12</v>
      </c>
      <c r="B31" s="573" t="s">
        <v>262</v>
      </c>
      <c r="C31" s="574">
        <v>20102302</v>
      </c>
      <c r="D31" s="575" t="s">
        <v>204</v>
      </c>
      <c r="E31" s="573" t="s">
        <v>48</v>
      </c>
      <c r="F31" s="573">
        <v>1</v>
      </c>
      <c r="G31" s="576" t="s">
        <v>80</v>
      </c>
      <c r="H31" s="577" t="s">
        <v>156</v>
      </c>
      <c r="I31" s="573" t="s">
        <v>55</v>
      </c>
      <c r="J31" s="573" t="s">
        <v>35</v>
      </c>
      <c r="K31" s="573" t="s">
        <v>218</v>
      </c>
      <c r="L31" s="578">
        <v>2400000</v>
      </c>
      <c r="M31" s="579">
        <v>2400000</v>
      </c>
      <c r="N31" s="573" t="s">
        <v>51</v>
      </c>
      <c r="O31" s="573" t="s">
        <v>36</v>
      </c>
      <c r="P31" s="573" t="s">
        <v>317</v>
      </c>
      <c r="Q31" s="80"/>
      <c r="R31" s="594"/>
      <c r="S31" s="581"/>
      <c r="T31" s="581"/>
      <c r="U31" s="581"/>
      <c r="V31" s="581"/>
      <c r="W31" s="581"/>
      <c r="X31" s="581"/>
      <c r="Y31" s="581"/>
      <c r="Z31" s="581"/>
      <c r="AA31" s="581"/>
      <c r="AB31" s="581"/>
      <c r="AC31" s="581"/>
      <c r="AD31" s="581"/>
      <c r="AE31" s="581"/>
      <c r="AF31" s="581"/>
      <c r="AG31" s="581"/>
      <c r="AH31" s="581"/>
      <c r="AI31" s="581"/>
      <c r="AJ31" s="581"/>
      <c r="AK31" s="581"/>
      <c r="AL31" s="581"/>
      <c r="AM31" s="581"/>
    </row>
    <row r="32" spans="1:39" ht="93" hidden="1" x14ac:dyDescent="0.25">
      <c r="A32" s="572">
        <f t="shared" si="2"/>
        <v>13</v>
      </c>
      <c r="B32" s="573" t="s">
        <v>262</v>
      </c>
      <c r="C32" s="574">
        <v>55101519</v>
      </c>
      <c r="D32" s="575" t="s">
        <v>179</v>
      </c>
      <c r="E32" s="573" t="s">
        <v>48</v>
      </c>
      <c r="F32" s="573">
        <v>1</v>
      </c>
      <c r="G32" s="576" t="s">
        <v>78</v>
      </c>
      <c r="H32" s="577" t="s">
        <v>206</v>
      </c>
      <c r="I32" s="573" t="s">
        <v>55</v>
      </c>
      <c r="J32" s="573" t="s">
        <v>35</v>
      </c>
      <c r="K32" s="573" t="s">
        <v>193</v>
      </c>
      <c r="L32" s="578">
        <v>2500000</v>
      </c>
      <c r="M32" s="579">
        <v>2500000</v>
      </c>
      <c r="N32" s="573" t="s">
        <v>51</v>
      </c>
      <c r="O32" s="573" t="s">
        <v>36</v>
      </c>
      <c r="P32" s="573" t="s">
        <v>317</v>
      </c>
      <c r="Q32" s="80"/>
      <c r="R32" s="594"/>
      <c r="S32" s="581"/>
      <c r="T32" s="581"/>
      <c r="U32" s="581"/>
      <c r="V32" s="581"/>
      <c r="W32" s="581"/>
      <c r="X32" s="581"/>
      <c r="Y32" s="581"/>
      <c r="Z32" s="581"/>
      <c r="AA32" s="581"/>
      <c r="AB32" s="581"/>
      <c r="AC32" s="581"/>
      <c r="AD32" s="581"/>
      <c r="AE32" s="581"/>
      <c r="AF32" s="581"/>
      <c r="AG32" s="581"/>
      <c r="AH32" s="581"/>
      <c r="AI32" s="581"/>
      <c r="AJ32" s="581"/>
      <c r="AK32" s="581"/>
      <c r="AL32" s="581"/>
      <c r="AM32" s="581"/>
    </row>
    <row r="33" spans="1:39" ht="93" hidden="1" x14ac:dyDescent="0.25">
      <c r="A33" s="572">
        <f t="shared" si="2"/>
        <v>14</v>
      </c>
      <c r="B33" s="573" t="s">
        <v>262</v>
      </c>
      <c r="C33" s="574">
        <v>72101516</v>
      </c>
      <c r="D33" s="575" t="s">
        <v>437</v>
      </c>
      <c r="E33" s="573" t="s">
        <v>48</v>
      </c>
      <c r="F33" s="573">
        <v>1</v>
      </c>
      <c r="G33" s="576" t="s">
        <v>76</v>
      </c>
      <c r="H33" s="577" t="s">
        <v>157</v>
      </c>
      <c r="I33" s="573" t="s">
        <v>55</v>
      </c>
      <c r="J33" s="573" t="s">
        <v>35</v>
      </c>
      <c r="K33" s="573" t="s">
        <v>37</v>
      </c>
      <c r="L33" s="578">
        <v>2800000</v>
      </c>
      <c r="M33" s="579">
        <v>2800000</v>
      </c>
      <c r="N33" s="573" t="s">
        <v>51</v>
      </c>
      <c r="O33" s="573" t="s">
        <v>36</v>
      </c>
      <c r="P33" s="573" t="s">
        <v>317</v>
      </c>
      <c r="Q33" s="80"/>
      <c r="R33" s="594"/>
      <c r="S33" s="581"/>
      <c r="T33" s="581"/>
      <c r="U33" s="581"/>
      <c r="V33" s="581"/>
      <c r="W33" s="581"/>
      <c r="X33" s="581"/>
      <c r="Y33" s="581"/>
      <c r="Z33" s="581"/>
      <c r="AA33" s="581"/>
      <c r="AB33" s="581"/>
      <c r="AC33" s="581"/>
      <c r="AD33" s="581"/>
      <c r="AE33" s="581"/>
      <c r="AF33" s="581"/>
      <c r="AG33" s="581"/>
      <c r="AH33" s="581"/>
      <c r="AI33" s="581"/>
      <c r="AJ33" s="581"/>
      <c r="AK33" s="581"/>
      <c r="AL33" s="581"/>
      <c r="AM33" s="581"/>
    </row>
    <row r="34" spans="1:39" ht="93" hidden="1" x14ac:dyDescent="0.25">
      <c r="A34" s="572">
        <f t="shared" si="2"/>
        <v>15</v>
      </c>
      <c r="B34" s="573" t="s">
        <v>262</v>
      </c>
      <c r="C34" s="574" t="s">
        <v>205</v>
      </c>
      <c r="D34" s="575" t="s">
        <v>438</v>
      </c>
      <c r="E34" s="573" t="s">
        <v>48</v>
      </c>
      <c r="F34" s="573">
        <v>1</v>
      </c>
      <c r="G34" s="576" t="s">
        <v>80</v>
      </c>
      <c r="H34" s="577" t="s">
        <v>249</v>
      </c>
      <c r="I34" s="573" t="s">
        <v>55</v>
      </c>
      <c r="J34" s="573" t="s">
        <v>35</v>
      </c>
      <c r="K34" s="573" t="s">
        <v>37</v>
      </c>
      <c r="L34" s="578">
        <v>8000000</v>
      </c>
      <c r="M34" s="579">
        <v>8000000</v>
      </c>
      <c r="N34" s="573" t="s">
        <v>51</v>
      </c>
      <c r="O34" s="573" t="s">
        <v>36</v>
      </c>
      <c r="P34" s="573" t="s">
        <v>317</v>
      </c>
      <c r="Q34" s="80"/>
      <c r="R34" s="594"/>
      <c r="S34" s="581"/>
      <c r="T34" s="581"/>
      <c r="U34" s="581"/>
      <c r="V34" s="581"/>
      <c r="W34" s="581"/>
      <c r="X34" s="581"/>
      <c r="Y34" s="581"/>
      <c r="Z34" s="581"/>
      <c r="AA34" s="581"/>
      <c r="AB34" s="581"/>
      <c r="AC34" s="581"/>
      <c r="AD34" s="581"/>
      <c r="AE34" s="581"/>
      <c r="AF34" s="581"/>
      <c r="AG34" s="581"/>
      <c r="AH34" s="581"/>
      <c r="AI34" s="581"/>
      <c r="AJ34" s="581"/>
      <c r="AK34" s="581"/>
      <c r="AL34" s="581"/>
      <c r="AM34" s="581"/>
    </row>
    <row r="35" spans="1:39" ht="93" hidden="1" x14ac:dyDescent="0.25">
      <c r="A35" s="572">
        <f t="shared" si="2"/>
        <v>16</v>
      </c>
      <c r="B35" s="573" t="s">
        <v>262</v>
      </c>
      <c r="C35" s="574" t="s">
        <v>205</v>
      </c>
      <c r="D35" s="575" t="s">
        <v>577</v>
      </c>
      <c r="E35" s="573" t="s">
        <v>48</v>
      </c>
      <c r="F35" s="573">
        <v>1</v>
      </c>
      <c r="G35" s="576" t="s">
        <v>80</v>
      </c>
      <c r="H35" s="577" t="s">
        <v>249</v>
      </c>
      <c r="I35" s="573" t="s">
        <v>55</v>
      </c>
      <c r="J35" s="573" t="s">
        <v>35</v>
      </c>
      <c r="K35" s="573" t="s">
        <v>44</v>
      </c>
      <c r="L35" s="578">
        <v>2000000</v>
      </c>
      <c r="M35" s="579">
        <v>2000000</v>
      </c>
      <c r="N35" s="573" t="s">
        <v>51</v>
      </c>
      <c r="O35" s="573" t="s">
        <v>36</v>
      </c>
      <c r="P35" s="573" t="s">
        <v>317</v>
      </c>
      <c r="Q35" s="80"/>
      <c r="R35" s="594"/>
      <c r="S35" s="581"/>
      <c r="T35" s="581"/>
      <c r="U35" s="581"/>
      <c r="V35" s="581"/>
      <c r="W35" s="581"/>
      <c r="X35" s="581"/>
      <c r="Y35" s="581"/>
      <c r="Z35" s="581"/>
      <c r="AA35" s="581"/>
      <c r="AB35" s="581"/>
      <c r="AC35" s="581"/>
      <c r="AD35" s="581"/>
      <c r="AE35" s="581"/>
      <c r="AF35" s="581"/>
      <c r="AG35" s="581"/>
      <c r="AH35" s="581"/>
      <c r="AI35" s="581"/>
      <c r="AJ35" s="581"/>
      <c r="AK35" s="581"/>
      <c r="AL35" s="581"/>
      <c r="AM35" s="581"/>
    </row>
    <row r="36" spans="1:39" ht="93" hidden="1" x14ac:dyDescent="0.25">
      <c r="A36" s="572">
        <f t="shared" si="2"/>
        <v>17</v>
      </c>
      <c r="B36" s="573" t="s">
        <v>262</v>
      </c>
      <c r="C36" s="574" t="s">
        <v>205</v>
      </c>
      <c r="D36" s="598" t="s">
        <v>439</v>
      </c>
      <c r="E36" s="573" t="s">
        <v>48</v>
      </c>
      <c r="F36" s="573">
        <v>1</v>
      </c>
      <c r="G36" s="576" t="s">
        <v>166</v>
      </c>
      <c r="H36" s="577" t="s">
        <v>292</v>
      </c>
      <c r="I36" s="573" t="s">
        <v>432</v>
      </c>
      <c r="J36" s="573" t="s">
        <v>35</v>
      </c>
      <c r="K36" s="573" t="s">
        <v>37</v>
      </c>
      <c r="L36" s="578">
        <v>150000000</v>
      </c>
      <c r="M36" s="579">
        <v>150000000</v>
      </c>
      <c r="N36" s="573" t="s">
        <v>51</v>
      </c>
      <c r="O36" s="573" t="s">
        <v>36</v>
      </c>
      <c r="P36" s="573" t="s">
        <v>317</v>
      </c>
      <c r="Q36" s="80"/>
      <c r="R36" s="594"/>
      <c r="S36" s="581"/>
      <c r="T36" s="581"/>
      <c r="U36" s="581"/>
      <c r="V36" s="581"/>
      <c r="W36" s="581"/>
      <c r="X36" s="581"/>
      <c r="Y36" s="581"/>
      <c r="Z36" s="581"/>
      <c r="AA36" s="581"/>
      <c r="AB36" s="581"/>
      <c r="AC36" s="581"/>
      <c r="AD36" s="581"/>
      <c r="AE36" s="581"/>
      <c r="AF36" s="581"/>
      <c r="AG36" s="581"/>
      <c r="AH36" s="581"/>
      <c r="AI36" s="581"/>
      <c r="AJ36" s="581"/>
      <c r="AK36" s="581"/>
      <c r="AL36" s="581"/>
      <c r="AM36" s="581"/>
    </row>
    <row r="37" spans="1:39" ht="93" hidden="1" x14ac:dyDescent="0.25">
      <c r="A37" s="572">
        <f t="shared" si="2"/>
        <v>18</v>
      </c>
      <c r="B37" s="573" t="s">
        <v>313</v>
      </c>
      <c r="C37" s="574" t="s">
        <v>440</v>
      </c>
      <c r="D37" s="575" t="s">
        <v>441</v>
      </c>
      <c r="E37" s="573" t="s">
        <v>48</v>
      </c>
      <c r="F37" s="573">
        <v>1</v>
      </c>
      <c r="G37" s="576" t="s">
        <v>79</v>
      </c>
      <c r="H37" s="577" t="s">
        <v>156</v>
      </c>
      <c r="I37" s="573" t="s">
        <v>55</v>
      </c>
      <c r="J37" s="573" t="s">
        <v>35</v>
      </c>
      <c r="K37" s="573" t="s">
        <v>442</v>
      </c>
      <c r="L37" s="578">
        <v>20000000</v>
      </c>
      <c r="M37" s="579">
        <v>20000000</v>
      </c>
      <c r="N37" s="573" t="s">
        <v>51</v>
      </c>
      <c r="O37" s="573" t="s">
        <v>36</v>
      </c>
      <c r="P37" s="573" t="s">
        <v>317</v>
      </c>
      <c r="Q37" s="80"/>
      <c r="R37" s="594"/>
      <c r="S37" s="581"/>
      <c r="T37" s="581"/>
      <c r="U37" s="581"/>
      <c r="V37" s="581"/>
      <c r="W37" s="581"/>
      <c r="X37" s="581"/>
      <c r="Y37" s="581"/>
      <c r="Z37" s="581"/>
      <c r="AA37" s="581"/>
      <c r="AB37" s="581"/>
      <c r="AC37" s="581"/>
      <c r="AD37" s="581"/>
      <c r="AE37" s="581"/>
      <c r="AF37" s="581"/>
      <c r="AG37" s="581"/>
      <c r="AH37" s="581"/>
      <c r="AI37" s="581"/>
      <c r="AJ37" s="581"/>
      <c r="AK37" s="581"/>
      <c r="AL37" s="581"/>
      <c r="AM37" s="581"/>
    </row>
    <row r="38" spans="1:39" ht="93" hidden="1" x14ac:dyDescent="0.25">
      <c r="A38" s="572">
        <f t="shared" si="2"/>
        <v>19</v>
      </c>
      <c r="B38" s="573" t="s">
        <v>313</v>
      </c>
      <c r="C38" s="574" t="s">
        <v>443</v>
      </c>
      <c r="D38" s="598" t="s">
        <v>444</v>
      </c>
      <c r="E38" s="573" t="s">
        <v>48</v>
      </c>
      <c r="F38" s="573">
        <v>1</v>
      </c>
      <c r="G38" s="576" t="s">
        <v>78</v>
      </c>
      <c r="H38" s="577" t="s">
        <v>157</v>
      </c>
      <c r="I38" s="573" t="s">
        <v>445</v>
      </c>
      <c r="J38" s="573" t="s">
        <v>35</v>
      </c>
      <c r="K38" s="573" t="s">
        <v>430</v>
      </c>
      <c r="L38" s="578">
        <v>52000000</v>
      </c>
      <c r="M38" s="579">
        <v>52000000</v>
      </c>
      <c r="N38" s="573" t="s">
        <v>51</v>
      </c>
      <c r="O38" s="573" t="s">
        <v>36</v>
      </c>
      <c r="P38" s="573" t="s">
        <v>317</v>
      </c>
      <c r="Q38" s="80"/>
      <c r="R38" s="594"/>
      <c r="S38" s="581"/>
      <c r="T38" s="581"/>
      <c r="U38" s="581"/>
      <c r="V38" s="581"/>
      <c r="W38" s="581"/>
      <c r="X38" s="581"/>
      <c r="Y38" s="581"/>
      <c r="Z38" s="581"/>
      <c r="AA38" s="581"/>
      <c r="AB38" s="581"/>
      <c r="AC38" s="581"/>
      <c r="AD38" s="581"/>
      <c r="AE38" s="581"/>
      <c r="AF38" s="581"/>
      <c r="AG38" s="581"/>
      <c r="AH38" s="581"/>
      <c r="AI38" s="581"/>
      <c r="AJ38" s="581"/>
      <c r="AK38" s="581"/>
      <c r="AL38" s="581"/>
      <c r="AM38" s="581"/>
    </row>
    <row r="39" spans="1:39" ht="93" hidden="1" x14ac:dyDescent="0.25">
      <c r="A39" s="572">
        <f t="shared" si="2"/>
        <v>20</v>
      </c>
      <c r="B39" s="573" t="s">
        <v>262</v>
      </c>
      <c r="C39" s="574">
        <v>27110000</v>
      </c>
      <c r="D39" s="575" t="s">
        <v>181</v>
      </c>
      <c r="E39" s="573" t="s">
        <v>48</v>
      </c>
      <c r="F39" s="573">
        <v>1</v>
      </c>
      <c r="G39" s="576" t="s">
        <v>75</v>
      </c>
      <c r="H39" s="577" t="s">
        <v>156</v>
      </c>
      <c r="I39" s="573" t="s">
        <v>55</v>
      </c>
      <c r="J39" s="573" t="s">
        <v>35</v>
      </c>
      <c r="K39" s="573" t="s">
        <v>44</v>
      </c>
      <c r="L39" s="578">
        <v>5000000</v>
      </c>
      <c r="M39" s="579">
        <v>5000000</v>
      </c>
      <c r="N39" s="573" t="s">
        <v>51</v>
      </c>
      <c r="O39" s="573" t="s">
        <v>36</v>
      </c>
      <c r="P39" s="573" t="s">
        <v>317</v>
      </c>
      <c r="Q39" s="80"/>
      <c r="R39" s="594"/>
      <c r="S39" s="581"/>
      <c r="T39" s="581"/>
      <c r="U39" s="581"/>
      <c r="V39" s="581"/>
      <c r="W39" s="581"/>
      <c r="X39" s="581"/>
      <c r="Y39" s="581"/>
      <c r="Z39" s="581"/>
      <c r="AA39" s="581"/>
      <c r="AB39" s="581"/>
      <c r="AC39" s="581"/>
      <c r="AD39" s="581"/>
      <c r="AE39" s="581"/>
      <c r="AF39" s="581"/>
      <c r="AG39" s="581"/>
      <c r="AH39" s="581"/>
      <c r="AI39" s="581"/>
      <c r="AJ39" s="581"/>
      <c r="AK39" s="581"/>
      <c r="AL39" s="581"/>
      <c r="AM39" s="581"/>
    </row>
    <row r="40" spans="1:39" ht="93" hidden="1" x14ac:dyDescent="0.25">
      <c r="A40" s="572">
        <f t="shared" si="2"/>
        <v>21</v>
      </c>
      <c r="B40" s="573" t="s">
        <v>262</v>
      </c>
      <c r="C40" s="574">
        <v>84131512</v>
      </c>
      <c r="D40" s="575" t="s">
        <v>183</v>
      </c>
      <c r="E40" s="573" t="s">
        <v>48</v>
      </c>
      <c r="F40" s="573">
        <v>1</v>
      </c>
      <c r="G40" s="576" t="s">
        <v>81</v>
      </c>
      <c r="H40" s="577">
        <v>12</v>
      </c>
      <c r="I40" s="573" t="s">
        <v>55</v>
      </c>
      <c r="J40" s="573" t="s">
        <v>35</v>
      </c>
      <c r="K40" s="573" t="s">
        <v>39</v>
      </c>
      <c r="L40" s="578">
        <v>10000000</v>
      </c>
      <c r="M40" s="579">
        <v>10000000</v>
      </c>
      <c r="N40" s="573" t="s">
        <v>51</v>
      </c>
      <c r="O40" s="573" t="s">
        <v>36</v>
      </c>
      <c r="P40" s="573" t="s">
        <v>317</v>
      </c>
      <c r="Q40" s="80"/>
      <c r="R40" s="594"/>
      <c r="S40" s="581"/>
      <c r="T40" s="581"/>
      <c r="U40" s="581"/>
      <c r="V40" s="581"/>
      <c r="W40" s="581"/>
      <c r="X40" s="581"/>
      <c r="Y40" s="581"/>
      <c r="Z40" s="581"/>
      <c r="AA40" s="581"/>
      <c r="AB40" s="581"/>
      <c r="AC40" s="581"/>
      <c r="AD40" s="581"/>
      <c r="AE40" s="581"/>
      <c r="AF40" s="581"/>
      <c r="AG40" s="581"/>
      <c r="AH40" s="581"/>
      <c r="AI40" s="581"/>
      <c r="AJ40" s="581"/>
      <c r="AK40" s="581"/>
      <c r="AL40" s="581"/>
      <c r="AM40" s="581"/>
    </row>
    <row r="41" spans="1:39" ht="93" hidden="1" x14ac:dyDescent="0.25">
      <c r="A41" s="572">
        <f t="shared" si="2"/>
        <v>22</v>
      </c>
      <c r="B41" s="573" t="s">
        <v>313</v>
      </c>
      <c r="C41" s="574" t="s">
        <v>308</v>
      </c>
      <c r="D41" s="598" t="s">
        <v>431</v>
      </c>
      <c r="E41" s="573" t="s">
        <v>48</v>
      </c>
      <c r="F41" s="573">
        <v>1</v>
      </c>
      <c r="G41" s="576" t="s">
        <v>78</v>
      </c>
      <c r="H41" s="577" t="s">
        <v>157</v>
      </c>
      <c r="I41" s="573" t="s">
        <v>432</v>
      </c>
      <c r="J41" s="573" t="s">
        <v>35</v>
      </c>
      <c r="K41" s="573" t="s">
        <v>46</v>
      </c>
      <c r="L41" s="578">
        <v>125000000</v>
      </c>
      <c r="M41" s="579">
        <v>125000000</v>
      </c>
      <c r="N41" s="573" t="s">
        <v>51</v>
      </c>
      <c r="O41" s="573" t="s">
        <v>36</v>
      </c>
      <c r="P41" s="573" t="s">
        <v>317</v>
      </c>
      <c r="Q41" s="80"/>
      <c r="R41" s="594"/>
      <c r="S41" s="581"/>
      <c r="T41" s="581"/>
      <c r="U41" s="581"/>
      <c r="V41" s="581"/>
      <c r="W41" s="581"/>
      <c r="X41" s="581"/>
      <c r="Y41" s="581"/>
      <c r="Z41" s="581"/>
      <c r="AA41" s="581"/>
      <c r="AB41" s="581"/>
      <c r="AC41" s="581"/>
      <c r="AD41" s="581"/>
      <c r="AE41" s="581"/>
      <c r="AF41" s="581"/>
      <c r="AG41" s="581"/>
      <c r="AH41" s="581"/>
      <c r="AI41" s="581"/>
      <c r="AJ41" s="581"/>
      <c r="AK41" s="581"/>
      <c r="AL41" s="581"/>
      <c r="AM41" s="581"/>
    </row>
    <row r="42" spans="1:39" ht="93" hidden="1" x14ac:dyDescent="0.25">
      <c r="A42" s="572">
        <f t="shared" si="2"/>
        <v>23</v>
      </c>
      <c r="B42" s="573" t="s">
        <v>262</v>
      </c>
      <c r="C42" s="574">
        <v>44101501</v>
      </c>
      <c r="D42" s="575" t="s">
        <v>453</v>
      </c>
      <c r="E42" s="573" t="s">
        <v>48</v>
      </c>
      <c r="F42" s="573">
        <v>1</v>
      </c>
      <c r="G42" s="576" t="s">
        <v>78</v>
      </c>
      <c r="H42" s="577">
        <v>2</v>
      </c>
      <c r="I42" s="573" t="s">
        <v>55</v>
      </c>
      <c r="J42" s="573" t="s">
        <v>35</v>
      </c>
      <c r="K42" s="573" t="s">
        <v>195</v>
      </c>
      <c r="L42" s="578">
        <v>20000000</v>
      </c>
      <c r="M42" s="578">
        <v>20000000</v>
      </c>
      <c r="N42" s="573" t="s">
        <v>51</v>
      </c>
      <c r="O42" s="573" t="s">
        <v>36</v>
      </c>
      <c r="P42" s="573" t="s">
        <v>317</v>
      </c>
      <c r="Q42" s="80"/>
      <c r="R42" s="594"/>
      <c r="S42" s="581"/>
      <c r="T42" s="581"/>
      <c r="U42" s="581"/>
      <c r="V42" s="581"/>
      <c r="W42" s="581"/>
      <c r="X42" s="581"/>
      <c r="Y42" s="581"/>
      <c r="Z42" s="581"/>
      <c r="AA42" s="581"/>
      <c r="AB42" s="581"/>
      <c r="AC42" s="581"/>
      <c r="AD42" s="581"/>
      <c r="AE42" s="581"/>
      <c r="AF42" s="581"/>
      <c r="AG42" s="581"/>
      <c r="AH42" s="581"/>
      <c r="AI42" s="581"/>
      <c r="AJ42" s="581"/>
      <c r="AK42" s="581"/>
      <c r="AL42" s="581"/>
      <c r="AM42" s="581"/>
    </row>
    <row r="43" spans="1:39" ht="121.15" hidden="1" customHeight="1" x14ac:dyDescent="0.25">
      <c r="A43" s="572">
        <f t="shared" si="2"/>
        <v>24</v>
      </c>
      <c r="B43" s="573" t="s">
        <v>313</v>
      </c>
      <c r="C43" s="574">
        <v>78180000</v>
      </c>
      <c r="D43" s="575" t="s">
        <v>448</v>
      </c>
      <c r="E43" s="573" t="s">
        <v>48</v>
      </c>
      <c r="F43" s="573">
        <v>1</v>
      </c>
      <c r="G43" s="576" t="s">
        <v>80</v>
      </c>
      <c r="H43" s="577" t="s">
        <v>449</v>
      </c>
      <c r="I43" s="573" t="s">
        <v>432</v>
      </c>
      <c r="J43" s="573" t="s">
        <v>35</v>
      </c>
      <c r="K43" s="573" t="s">
        <v>450</v>
      </c>
      <c r="L43" s="578">
        <v>140000000</v>
      </c>
      <c r="M43" s="579">
        <v>20000000</v>
      </c>
      <c r="N43" s="573" t="s">
        <v>49</v>
      </c>
      <c r="O43" s="573" t="s">
        <v>436</v>
      </c>
      <c r="P43" s="573" t="s">
        <v>317</v>
      </c>
      <c r="Q43" s="80"/>
      <c r="R43" s="594"/>
      <c r="S43" s="581"/>
      <c r="T43" s="581"/>
      <c r="U43" s="581"/>
      <c r="V43" s="581"/>
      <c r="W43" s="581"/>
      <c r="X43" s="581"/>
      <c r="Y43" s="581"/>
      <c r="Z43" s="581"/>
      <c r="AA43" s="581"/>
      <c r="AB43" s="581"/>
      <c r="AC43" s="581"/>
      <c r="AD43" s="581"/>
      <c r="AE43" s="581"/>
      <c r="AF43" s="581"/>
      <c r="AG43" s="581"/>
      <c r="AH43" s="581"/>
      <c r="AI43" s="581"/>
      <c r="AJ43" s="581"/>
      <c r="AK43" s="581"/>
      <c r="AL43" s="581"/>
      <c r="AM43" s="581"/>
    </row>
    <row r="44" spans="1:39" ht="93" hidden="1" x14ac:dyDescent="0.25">
      <c r="A44" s="572">
        <f t="shared" si="2"/>
        <v>25</v>
      </c>
      <c r="B44" s="573" t="s">
        <v>313</v>
      </c>
      <c r="C44" s="574">
        <v>92101501</v>
      </c>
      <c r="D44" s="575" t="s">
        <v>451</v>
      </c>
      <c r="E44" s="573" t="s">
        <v>48</v>
      </c>
      <c r="F44" s="573">
        <v>1</v>
      </c>
      <c r="G44" s="576" t="s">
        <v>80</v>
      </c>
      <c r="H44" s="577" t="s">
        <v>449</v>
      </c>
      <c r="I44" s="573" t="s">
        <v>225</v>
      </c>
      <c r="J44" s="573" t="s">
        <v>35</v>
      </c>
      <c r="K44" s="573" t="s">
        <v>452</v>
      </c>
      <c r="L44" s="578">
        <v>646695000</v>
      </c>
      <c r="M44" s="579">
        <v>80526523</v>
      </c>
      <c r="N44" s="573" t="s">
        <v>49</v>
      </c>
      <c r="O44" s="573" t="s">
        <v>436</v>
      </c>
      <c r="P44" s="573" t="s">
        <v>317</v>
      </c>
      <c r="Q44" s="80"/>
      <c r="R44" s="594"/>
      <c r="S44" s="581"/>
      <c r="T44" s="581"/>
      <c r="U44" s="581"/>
      <c r="V44" s="581"/>
      <c r="W44" s="581"/>
      <c r="X44" s="581"/>
      <c r="Y44" s="581"/>
      <c r="Z44" s="581"/>
      <c r="AA44" s="581"/>
      <c r="AB44" s="581"/>
      <c r="AC44" s="581"/>
      <c r="AD44" s="581"/>
      <c r="AE44" s="581"/>
      <c r="AF44" s="581"/>
      <c r="AG44" s="581"/>
      <c r="AH44" s="581"/>
      <c r="AI44" s="581"/>
      <c r="AJ44" s="581"/>
      <c r="AK44" s="581"/>
      <c r="AL44" s="581"/>
      <c r="AM44" s="581"/>
    </row>
    <row r="45" spans="1:39" ht="93" hidden="1" x14ac:dyDescent="0.25">
      <c r="A45" s="572">
        <f t="shared" si="2"/>
        <v>26</v>
      </c>
      <c r="B45" s="573" t="s">
        <v>262</v>
      </c>
      <c r="C45" s="574">
        <v>44110000</v>
      </c>
      <c r="D45" s="575" t="s">
        <v>227</v>
      </c>
      <c r="E45" s="573" t="s">
        <v>48</v>
      </c>
      <c r="F45" s="573">
        <v>1</v>
      </c>
      <c r="G45" s="576" t="s">
        <v>78</v>
      </c>
      <c r="H45" s="577" t="s">
        <v>156</v>
      </c>
      <c r="I45" s="573" t="s">
        <v>55</v>
      </c>
      <c r="J45" s="573" t="s">
        <v>35</v>
      </c>
      <c r="K45" s="573" t="s">
        <v>41</v>
      </c>
      <c r="L45" s="578">
        <v>450000</v>
      </c>
      <c r="M45" s="579">
        <v>450000</v>
      </c>
      <c r="N45" s="573" t="s">
        <v>51</v>
      </c>
      <c r="O45" s="573" t="s">
        <v>36</v>
      </c>
      <c r="P45" s="573" t="s">
        <v>317</v>
      </c>
      <c r="Q45" s="80"/>
      <c r="R45" s="594"/>
      <c r="S45" s="581"/>
      <c r="T45" s="581"/>
      <c r="U45" s="581"/>
      <c r="V45" s="581"/>
      <c r="W45" s="581"/>
      <c r="X45" s="581"/>
      <c r="Y45" s="581"/>
      <c r="Z45" s="581"/>
      <c r="AA45" s="581"/>
      <c r="AB45" s="581"/>
      <c r="AC45" s="581"/>
      <c r="AD45" s="581"/>
      <c r="AE45" s="581"/>
      <c r="AF45" s="581"/>
      <c r="AG45" s="581"/>
      <c r="AH45" s="581"/>
      <c r="AI45" s="581"/>
      <c r="AJ45" s="581"/>
      <c r="AK45" s="581"/>
      <c r="AL45" s="581"/>
      <c r="AM45" s="581"/>
    </row>
    <row r="46" spans="1:39" ht="93" hidden="1" x14ac:dyDescent="0.25">
      <c r="A46" s="572">
        <f t="shared" si="2"/>
        <v>27</v>
      </c>
      <c r="B46" s="573" t="s">
        <v>262</v>
      </c>
      <c r="C46" s="574">
        <v>81111820</v>
      </c>
      <c r="D46" s="575" t="s">
        <v>576</v>
      </c>
      <c r="E46" s="573" t="s">
        <v>48</v>
      </c>
      <c r="F46" s="573">
        <v>1</v>
      </c>
      <c r="G46" s="576" t="s">
        <v>73</v>
      </c>
      <c r="H46" s="577">
        <v>12</v>
      </c>
      <c r="I46" s="573" t="s">
        <v>61</v>
      </c>
      <c r="J46" s="573" t="s">
        <v>35</v>
      </c>
      <c r="K46" s="573" t="s">
        <v>37</v>
      </c>
      <c r="L46" s="578">
        <v>13014073</v>
      </c>
      <c r="M46" s="579">
        <v>13014073</v>
      </c>
      <c r="N46" s="573" t="s">
        <v>51</v>
      </c>
      <c r="O46" s="573" t="s">
        <v>36</v>
      </c>
      <c r="P46" s="573" t="s">
        <v>317</v>
      </c>
      <c r="Q46" s="80"/>
      <c r="R46" s="594"/>
      <c r="S46" s="581"/>
      <c r="T46" s="581"/>
      <c r="U46" s="581"/>
      <c r="V46" s="581"/>
      <c r="W46" s="581"/>
      <c r="X46" s="581"/>
      <c r="Y46" s="581"/>
      <c r="Z46" s="581"/>
      <c r="AA46" s="581"/>
      <c r="AB46" s="581"/>
      <c r="AC46" s="581"/>
      <c r="AD46" s="581"/>
      <c r="AE46" s="581"/>
      <c r="AF46" s="581"/>
      <c r="AG46" s="581"/>
      <c r="AH46" s="581"/>
      <c r="AI46" s="581"/>
      <c r="AJ46" s="581"/>
      <c r="AK46" s="581"/>
      <c r="AL46" s="581"/>
      <c r="AM46" s="581"/>
    </row>
    <row r="47" spans="1:39" ht="93" hidden="1" x14ac:dyDescent="0.25">
      <c r="A47" s="572">
        <f t="shared" si="2"/>
        <v>28</v>
      </c>
      <c r="B47" s="573" t="s">
        <v>481</v>
      </c>
      <c r="C47" s="574">
        <v>43211701</v>
      </c>
      <c r="D47" s="575" t="s">
        <v>482</v>
      </c>
      <c r="E47" s="573" t="s">
        <v>48</v>
      </c>
      <c r="F47" s="573">
        <v>1</v>
      </c>
      <c r="G47" s="576" t="s">
        <v>75</v>
      </c>
      <c r="H47" s="577" t="s">
        <v>156</v>
      </c>
      <c r="I47" s="573" t="s">
        <v>53</v>
      </c>
      <c r="J47" s="573" t="s">
        <v>35</v>
      </c>
      <c r="K47" s="573" t="s">
        <v>195</v>
      </c>
      <c r="L47" s="578">
        <v>20000000</v>
      </c>
      <c r="M47" s="579">
        <v>20000000</v>
      </c>
      <c r="N47" s="573" t="s">
        <v>51</v>
      </c>
      <c r="O47" s="573" t="s">
        <v>36</v>
      </c>
      <c r="P47" s="573" t="s">
        <v>306</v>
      </c>
      <c r="Q47" s="80"/>
      <c r="R47" s="595"/>
      <c r="S47" s="581"/>
      <c r="T47" s="581"/>
      <c r="U47" s="581"/>
      <c r="V47" s="581"/>
      <c r="W47" s="581"/>
      <c r="X47" s="581"/>
      <c r="Y47" s="581"/>
      <c r="Z47" s="581"/>
      <c r="AA47" s="581"/>
      <c r="AB47" s="581"/>
      <c r="AC47" s="581"/>
      <c r="AD47" s="581"/>
      <c r="AE47" s="581"/>
      <c r="AF47" s="581"/>
      <c r="AG47" s="581"/>
      <c r="AH47" s="581"/>
      <c r="AI47" s="581"/>
      <c r="AJ47" s="581"/>
      <c r="AK47" s="581"/>
      <c r="AL47" s="581"/>
      <c r="AM47" s="581"/>
    </row>
    <row r="48" spans="1:39" ht="93" hidden="1" x14ac:dyDescent="0.25">
      <c r="A48" s="572">
        <f t="shared" si="2"/>
        <v>29</v>
      </c>
      <c r="B48" s="573" t="s">
        <v>262</v>
      </c>
      <c r="C48" s="574">
        <v>44101706</v>
      </c>
      <c r="D48" s="575" t="s">
        <v>454</v>
      </c>
      <c r="E48" s="573" t="s">
        <v>48</v>
      </c>
      <c r="F48" s="573">
        <v>1</v>
      </c>
      <c r="G48" s="576" t="s">
        <v>75</v>
      </c>
      <c r="H48" s="577">
        <v>2</v>
      </c>
      <c r="I48" s="573" t="s">
        <v>53</v>
      </c>
      <c r="J48" s="573" t="s">
        <v>35</v>
      </c>
      <c r="K48" s="573" t="s">
        <v>44</v>
      </c>
      <c r="L48" s="578">
        <v>3000000</v>
      </c>
      <c r="M48" s="578">
        <v>3000000</v>
      </c>
      <c r="N48" s="573" t="s">
        <v>51</v>
      </c>
      <c r="O48" s="573" t="s">
        <v>36</v>
      </c>
      <c r="P48" s="573" t="s">
        <v>317</v>
      </c>
      <c r="Q48" s="80"/>
      <c r="R48" s="594"/>
      <c r="S48" s="581"/>
      <c r="T48" s="581"/>
      <c r="U48" s="581"/>
      <c r="V48" s="581"/>
      <c r="W48" s="581"/>
      <c r="X48" s="581"/>
      <c r="Y48" s="581"/>
      <c r="Z48" s="581"/>
      <c r="AA48" s="581"/>
      <c r="AB48" s="581"/>
      <c r="AC48" s="581"/>
      <c r="AD48" s="581"/>
      <c r="AE48" s="581"/>
      <c r="AF48" s="581"/>
      <c r="AG48" s="581"/>
      <c r="AH48" s="581"/>
      <c r="AI48" s="581"/>
      <c r="AJ48" s="581"/>
      <c r="AK48" s="581"/>
      <c r="AL48" s="581"/>
      <c r="AM48" s="581"/>
    </row>
    <row r="49" spans="1:39" ht="116.25" hidden="1" x14ac:dyDescent="0.25">
      <c r="A49" s="572">
        <f t="shared" si="2"/>
        <v>30</v>
      </c>
      <c r="B49" s="573" t="s">
        <v>536</v>
      </c>
      <c r="C49" s="574">
        <v>204415</v>
      </c>
      <c r="D49" s="575" t="s">
        <v>537</v>
      </c>
      <c r="E49" s="573" t="s">
        <v>48</v>
      </c>
      <c r="F49" s="573">
        <v>1</v>
      </c>
      <c r="G49" s="576" t="s">
        <v>80</v>
      </c>
      <c r="H49" s="577" t="s">
        <v>156</v>
      </c>
      <c r="I49" s="573" t="s">
        <v>173</v>
      </c>
      <c r="J49" s="573" t="s">
        <v>35</v>
      </c>
      <c r="K49" s="573" t="s">
        <v>195</v>
      </c>
      <c r="L49" s="578">
        <v>200000</v>
      </c>
      <c r="M49" s="579">
        <v>200000</v>
      </c>
      <c r="N49" s="573" t="s">
        <v>51</v>
      </c>
      <c r="O49" s="573" t="s">
        <v>36</v>
      </c>
      <c r="P49" s="573" t="s">
        <v>535</v>
      </c>
      <c r="Q49" s="80"/>
      <c r="R49" s="597"/>
      <c r="S49" s="581"/>
      <c r="T49" s="581"/>
      <c r="U49" s="581"/>
      <c r="V49" s="581"/>
      <c r="W49" s="581"/>
      <c r="X49" s="581"/>
      <c r="Y49" s="581"/>
      <c r="Z49" s="581"/>
      <c r="AA49" s="581"/>
      <c r="AB49" s="581"/>
      <c r="AC49" s="581"/>
      <c r="AD49" s="581"/>
      <c r="AE49" s="581"/>
      <c r="AF49" s="581"/>
      <c r="AG49" s="581"/>
      <c r="AH49" s="581"/>
      <c r="AI49" s="581"/>
      <c r="AJ49" s="581"/>
      <c r="AK49" s="581"/>
      <c r="AL49" s="581"/>
      <c r="AM49" s="581"/>
    </row>
    <row r="50" spans="1:39" ht="93" hidden="1" x14ac:dyDescent="0.25">
      <c r="A50" s="572">
        <f t="shared" si="2"/>
        <v>31</v>
      </c>
      <c r="B50" s="573" t="s">
        <v>313</v>
      </c>
      <c r="C50" s="574">
        <v>72152302</v>
      </c>
      <c r="D50" s="575" t="s">
        <v>456</v>
      </c>
      <c r="E50" s="573" t="s">
        <v>59</v>
      </c>
      <c r="F50" s="573">
        <v>1</v>
      </c>
      <c r="G50" s="576" t="s">
        <v>80</v>
      </c>
      <c r="H50" s="577" t="s">
        <v>156</v>
      </c>
      <c r="I50" s="573" t="s">
        <v>55</v>
      </c>
      <c r="J50" s="573" t="s">
        <v>35</v>
      </c>
      <c r="K50" s="573" t="s">
        <v>37</v>
      </c>
      <c r="L50" s="578">
        <v>1400000</v>
      </c>
      <c r="M50" s="578">
        <v>1400000</v>
      </c>
      <c r="N50" s="573" t="s">
        <v>51</v>
      </c>
      <c r="O50" s="573" t="s">
        <v>36</v>
      </c>
      <c r="P50" s="573" t="s">
        <v>317</v>
      </c>
      <c r="Q50" s="80"/>
      <c r="R50" s="594"/>
      <c r="S50" s="581"/>
      <c r="T50" s="581"/>
      <c r="U50" s="581"/>
      <c r="V50" s="581"/>
      <c r="W50" s="581"/>
      <c r="X50" s="581"/>
      <c r="Y50" s="581"/>
      <c r="Z50" s="581"/>
      <c r="AA50" s="581"/>
      <c r="AB50" s="581"/>
      <c r="AC50" s="581"/>
      <c r="AD50" s="581"/>
      <c r="AE50" s="581"/>
      <c r="AF50" s="581"/>
      <c r="AG50" s="581"/>
      <c r="AH50" s="581"/>
      <c r="AI50" s="581"/>
      <c r="AJ50" s="581"/>
      <c r="AK50" s="581"/>
      <c r="AL50" s="581"/>
      <c r="AM50" s="581"/>
    </row>
    <row r="51" spans="1:39" ht="93" hidden="1" x14ac:dyDescent="0.25">
      <c r="A51" s="572">
        <f t="shared" si="2"/>
        <v>32</v>
      </c>
      <c r="B51" s="573" t="s">
        <v>313</v>
      </c>
      <c r="C51" s="574">
        <v>56120000</v>
      </c>
      <c r="D51" s="575" t="s">
        <v>295</v>
      </c>
      <c r="E51" s="573" t="s">
        <v>48</v>
      </c>
      <c r="F51" s="573">
        <v>1</v>
      </c>
      <c r="G51" s="576" t="s">
        <v>81</v>
      </c>
      <c r="H51" s="577" t="s">
        <v>157</v>
      </c>
      <c r="I51" s="573" t="s">
        <v>55</v>
      </c>
      <c r="J51" s="573" t="s">
        <v>35</v>
      </c>
      <c r="K51" s="573" t="s">
        <v>294</v>
      </c>
      <c r="L51" s="578">
        <v>20000000</v>
      </c>
      <c r="M51" s="579">
        <v>20000000</v>
      </c>
      <c r="N51" s="573" t="s">
        <v>51</v>
      </c>
      <c r="O51" s="573" t="s">
        <v>36</v>
      </c>
      <c r="P51" s="573" t="s">
        <v>317</v>
      </c>
      <c r="Q51" s="80"/>
      <c r="R51" s="594"/>
      <c r="S51" s="581"/>
      <c r="T51" s="581"/>
      <c r="U51" s="581"/>
      <c r="V51" s="581"/>
      <c r="W51" s="581"/>
      <c r="X51" s="581"/>
      <c r="Y51" s="581"/>
      <c r="Z51" s="581"/>
      <c r="AA51" s="581"/>
      <c r="AB51" s="581"/>
      <c r="AC51" s="581"/>
      <c r="AD51" s="581"/>
      <c r="AE51" s="581"/>
      <c r="AF51" s="581"/>
      <c r="AG51" s="581"/>
      <c r="AH51" s="581"/>
      <c r="AI51" s="581"/>
      <c r="AJ51" s="581"/>
      <c r="AK51" s="581"/>
      <c r="AL51" s="581"/>
      <c r="AM51" s="581"/>
    </row>
    <row r="52" spans="1:39" ht="93" hidden="1" x14ac:dyDescent="0.25">
      <c r="A52" s="572">
        <f t="shared" si="2"/>
        <v>33</v>
      </c>
      <c r="B52" s="573" t="s">
        <v>313</v>
      </c>
      <c r="C52" s="574" t="s">
        <v>205</v>
      </c>
      <c r="D52" s="598" t="s">
        <v>433</v>
      </c>
      <c r="E52" s="573" t="s">
        <v>48</v>
      </c>
      <c r="F52" s="573">
        <v>1</v>
      </c>
      <c r="G52" s="576" t="s">
        <v>75</v>
      </c>
      <c r="H52" s="577" t="s">
        <v>157</v>
      </c>
      <c r="I52" s="573" t="s">
        <v>225</v>
      </c>
      <c r="J52" s="573" t="s">
        <v>35</v>
      </c>
      <c r="K52" s="573" t="s">
        <v>46</v>
      </c>
      <c r="L52" s="578">
        <v>220000000</v>
      </c>
      <c r="M52" s="579">
        <v>220000000</v>
      </c>
      <c r="N52" s="573" t="s">
        <v>51</v>
      </c>
      <c r="O52" s="573" t="s">
        <v>36</v>
      </c>
      <c r="P52" s="573" t="s">
        <v>317</v>
      </c>
      <c r="Q52" s="80"/>
      <c r="R52" s="594"/>
      <c r="S52" s="581"/>
      <c r="T52" s="581"/>
      <c r="U52" s="581"/>
      <c r="V52" s="581"/>
      <c r="W52" s="581"/>
      <c r="X52" s="581"/>
      <c r="Y52" s="581"/>
      <c r="Z52" s="581"/>
      <c r="AA52" s="581"/>
      <c r="AB52" s="581"/>
      <c r="AC52" s="581"/>
      <c r="AD52" s="581"/>
      <c r="AE52" s="581"/>
      <c r="AF52" s="581"/>
      <c r="AG52" s="581"/>
      <c r="AH52" s="581"/>
      <c r="AI52" s="581"/>
      <c r="AJ52" s="581"/>
      <c r="AK52" s="581"/>
      <c r="AL52" s="581"/>
      <c r="AM52" s="581"/>
    </row>
    <row r="53" spans="1:39" ht="119.45" hidden="1" customHeight="1" x14ac:dyDescent="0.25">
      <c r="A53" s="572">
        <f t="shared" si="2"/>
        <v>34</v>
      </c>
      <c r="B53" s="573" t="s">
        <v>313</v>
      </c>
      <c r="C53" s="574" t="s">
        <v>205</v>
      </c>
      <c r="D53" s="598" t="s">
        <v>446</v>
      </c>
      <c r="E53" s="573" t="s">
        <v>48</v>
      </c>
      <c r="F53" s="573">
        <v>1</v>
      </c>
      <c r="G53" s="576" t="s">
        <v>76</v>
      </c>
      <c r="H53" s="577" t="s">
        <v>157</v>
      </c>
      <c r="I53" s="573" t="s">
        <v>55</v>
      </c>
      <c r="J53" s="573" t="s">
        <v>35</v>
      </c>
      <c r="K53" s="573" t="s">
        <v>46</v>
      </c>
      <c r="L53" s="578">
        <v>21000000</v>
      </c>
      <c r="M53" s="579">
        <v>21000000</v>
      </c>
      <c r="N53" s="573" t="s">
        <v>51</v>
      </c>
      <c r="O53" s="573" t="s">
        <v>36</v>
      </c>
      <c r="P53" s="573" t="s">
        <v>317</v>
      </c>
      <c r="Q53" s="80"/>
      <c r="R53" s="594"/>
      <c r="S53" s="581"/>
      <c r="T53" s="581"/>
      <c r="U53" s="581"/>
      <c r="V53" s="581"/>
      <c r="W53" s="581"/>
      <c r="X53" s="581"/>
      <c r="Y53" s="581"/>
      <c r="Z53" s="581"/>
      <c r="AA53" s="581"/>
      <c r="AB53" s="581"/>
      <c r="AC53" s="581"/>
      <c r="AD53" s="581"/>
      <c r="AE53" s="581"/>
      <c r="AF53" s="581"/>
      <c r="AG53" s="581"/>
      <c r="AH53" s="581"/>
      <c r="AI53" s="581"/>
      <c r="AJ53" s="581"/>
      <c r="AK53" s="581"/>
      <c r="AL53" s="581"/>
      <c r="AM53" s="581"/>
    </row>
    <row r="54" spans="1:39" ht="93" hidden="1" x14ac:dyDescent="0.25">
      <c r="A54" s="572">
        <f t="shared" si="2"/>
        <v>35</v>
      </c>
      <c r="B54" s="573" t="s">
        <v>313</v>
      </c>
      <c r="C54" s="574" t="s">
        <v>459</v>
      </c>
      <c r="D54" s="575" t="s">
        <v>460</v>
      </c>
      <c r="E54" s="573" t="s">
        <v>48</v>
      </c>
      <c r="F54" s="573">
        <v>1</v>
      </c>
      <c r="G54" s="576" t="s">
        <v>80</v>
      </c>
      <c r="H54" s="577" t="s">
        <v>249</v>
      </c>
      <c r="I54" s="573" t="s">
        <v>55</v>
      </c>
      <c r="J54" s="573" t="s">
        <v>35</v>
      </c>
      <c r="K54" s="573" t="s">
        <v>37</v>
      </c>
      <c r="L54" s="578">
        <v>5000000</v>
      </c>
      <c r="M54" s="579">
        <v>5000000</v>
      </c>
      <c r="N54" s="573" t="s">
        <v>51</v>
      </c>
      <c r="O54" s="573" t="s">
        <v>36</v>
      </c>
      <c r="P54" s="573" t="s">
        <v>317</v>
      </c>
      <c r="Q54" s="80"/>
      <c r="R54" s="594"/>
      <c r="S54" s="581"/>
      <c r="T54" s="581"/>
      <c r="U54" s="581"/>
      <c r="V54" s="581"/>
      <c r="W54" s="581"/>
      <c r="X54" s="581"/>
      <c r="Y54" s="581"/>
      <c r="Z54" s="581"/>
      <c r="AA54" s="581"/>
      <c r="AB54" s="581"/>
      <c r="AC54" s="581"/>
      <c r="AD54" s="581"/>
      <c r="AE54" s="581"/>
      <c r="AF54" s="581"/>
      <c r="AG54" s="581"/>
      <c r="AH54" s="581"/>
      <c r="AI54" s="581"/>
      <c r="AJ54" s="581"/>
      <c r="AK54" s="581"/>
      <c r="AL54" s="581"/>
      <c r="AM54" s="581"/>
    </row>
    <row r="55" spans="1:39" ht="116.25" hidden="1" x14ac:dyDescent="0.25">
      <c r="A55" s="572">
        <f t="shared" si="2"/>
        <v>36</v>
      </c>
      <c r="B55" s="573" t="s">
        <v>313</v>
      </c>
      <c r="C55" s="574" t="s">
        <v>314</v>
      </c>
      <c r="D55" s="575" t="s">
        <v>315</v>
      </c>
      <c r="E55" s="573" t="s">
        <v>48</v>
      </c>
      <c r="F55" s="573">
        <v>1</v>
      </c>
      <c r="G55" s="576" t="s">
        <v>76</v>
      </c>
      <c r="H55" s="577" t="s">
        <v>156</v>
      </c>
      <c r="I55" s="573" t="s">
        <v>53</v>
      </c>
      <c r="J55" s="573" t="s">
        <v>35</v>
      </c>
      <c r="K55" s="573" t="s">
        <v>41</v>
      </c>
      <c r="L55" s="578">
        <v>1500000</v>
      </c>
      <c r="M55" s="579">
        <v>1500000</v>
      </c>
      <c r="N55" s="573" t="s">
        <v>51</v>
      </c>
      <c r="O55" s="573" t="s">
        <v>36</v>
      </c>
      <c r="P55" s="573" t="s">
        <v>316</v>
      </c>
      <c r="Q55" s="80"/>
      <c r="R55" s="594"/>
      <c r="S55" s="581"/>
      <c r="T55" s="581"/>
      <c r="U55" s="581"/>
      <c r="V55" s="581"/>
      <c r="W55" s="581"/>
      <c r="X55" s="581"/>
      <c r="Y55" s="581"/>
      <c r="Z55" s="581"/>
      <c r="AA55" s="581"/>
      <c r="AB55" s="581"/>
      <c r="AC55" s="581"/>
      <c r="AD55" s="581"/>
      <c r="AE55" s="581"/>
      <c r="AF55" s="581"/>
      <c r="AG55" s="581"/>
      <c r="AH55" s="581"/>
      <c r="AI55" s="581"/>
      <c r="AJ55" s="581"/>
      <c r="AK55" s="581"/>
      <c r="AL55" s="581"/>
      <c r="AM55" s="581"/>
    </row>
    <row r="56" spans="1:39" ht="93" hidden="1" x14ac:dyDescent="0.25">
      <c r="A56" s="572">
        <f t="shared" si="2"/>
        <v>37</v>
      </c>
      <c r="B56" s="573" t="s">
        <v>313</v>
      </c>
      <c r="C56" s="574" t="s">
        <v>71</v>
      </c>
      <c r="D56" s="575" t="s">
        <v>226</v>
      </c>
      <c r="E56" s="573" t="s">
        <v>48</v>
      </c>
      <c r="F56" s="573">
        <v>1</v>
      </c>
      <c r="G56" s="576" t="s">
        <v>73</v>
      </c>
      <c r="H56" s="577" t="s">
        <v>461</v>
      </c>
      <c r="I56" s="573" t="s">
        <v>50</v>
      </c>
      <c r="J56" s="573" t="s">
        <v>35</v>
      </c>
      <c r="K56" s="573" t="s">
        <v>203</v>
      </c>
      <c r="L56" s="578">
        <v>35000000</v>
      </c>
      <c r="M56" s="579">
        <v>35000000</v>
      </c>
      <c r="N56" s="573" t="s">
        <v>51</v>
      </c>
      <c r="O56" s="573" t="s">
        <v>36</v>
      </c>
      <c r="P56" s="573" t="s">
        <v>317</v>
      </c>
      <c r="Q56" s="80"/>
      <c r="R56" s="595"/>
      <c r="S56" s="581"/>
      <c r="T56" s="581"/>
      <c r="U56" s="581"/>
      <c r="V56" s="581"/>
      <c r="W56" s="581"/>
      <c r="X56" s="581"/>
      <c r="Y56" s="581"/>
      <c r="Z56" s="581"/>
      <c r="AA56" s="581"/>
      <c r="AB56" s="581"/>
      <c r="AC56" s="581"/>
      <c r="AD56" s="581"/>
      <c r="AE56" s="581"/>
      <c r="AF56" s="581"/>
      <c r="AG56" s="581"/>
      <c r="AH56" s="581"/>
      <c r="AI56" s="581"/>
      <c r="AJ56" s="581"/>
      <c r="AK56" s="581"/>
      <c r="AL56" s="581"/>
      <c r="AM56" s="581"/>
    </row>
    <row r="57" spans="1:39" ht="93" hidden="1" x14ac:dyDescent="0.25">
      <c r="A57" s="572">
        <f t="shared" si="2"/>
        <v>38</v>
      </c>
      <c r="B57" s="573" t="s">
        <v>313</v>
      </c>
      <c r="C57" s="574">
        <v>80101706</v>
      </c>
      <c r="D57" s="598" t="s">
        <v>462</v>
      </c>
      <c r="E57" s="573" t="s">
        <v>48</v>
      </c>
      <c r="F57" s="573">
        <v>1</v>
      </c>
      <c r="G57" s="576" t="s">
        <v>73</v>
      </c>
      <c r="H57" s="577" t="s">
        <v>194</v>
      </c>
      <c r="I57" s="573" t="s">
        <v>61</v>
      </c>
      <c r="J57" s="573" t="s">
        <v>35</v>
      </c>
      <c r="K57" s="573" t="s">
        <v>430</v>
      </c>
      <c r="L57" s="578">
        <v>1600000</v>
      </c>
      <c r="M57" s="579">
        <v>1600000</v>
      </c>
      <c r="N57" s="573" t="s">
        <v>51</v>
      </c>
      <c r="O57" s="573" t="s">
        <v>36</v>
      </c>
      <c r="P57" s="573" t="s">
        <v>317</v>
      </c>
      <c r="Q57" s="80"/>
      <c r="R57" s="594"/>
      <c r="S57" s="581"/>
      <c r="T57" s="581"/>
      <c r="U57" s="581"/>
      <c r="V57" s="581"/>
      <c r="W57" s="581"/>
      <c r="X57" s="581"/>
      <c r="Y57" s="581"/>
      <c r="Z57" s="581"/>
      <c r="AA57" s="581"/>
      <c r="AB57" s="581"/>
      <c r="AC57" s="581"/>
      <c r="AD57" s="581"/>
      <c r="AE57" s="581"/>
      <c r="AF57" s="581"/>
      <c r="AG57" s="581"/>
      <c r="AH57" s="581"/>
      <c r="AI57" s="581"/>
      <c r="AJ57" s="581"/>
      <c r="AK57" s="581"/>
      <c r="AL57" s="581"/>
      <c r="AM57" s="581"/>
    </row>
    <row r="58" spans="1:39" ht="93" hidden="1" x14ac:dyDescent="0.25">
      <c r="A58" s="572">
        <f t="shared" ref="A58:A89" si="3">SUM(A57+1)</f>
        <v>39</v>
      </c>
      <c r="B58" s="573" t="s">
        <v>263</v>
      </c>
      <c r="C58" s="574">
        <v>80101706</v>
      </c>
      <c r="D58" s="575" t="s">
        <v>492</v>
      </c>
      <c r="E58" s="573" t="s">
        <v>48</v>
      </c>
      <c r="F58" s="573">
        <v>1</v>
      </c>
      <c r="G58" s="576" t="s">
        <v>73</v>
      </c>
      <c r="H58" s="577">
        <v>5</v>
      </c>
      <c r="I58" s="573" t="s">
        <v>61</v>
      </c>
      <c r="J58" s="573" t="s">
        <v>66</v>
      </c>
      <c r="K58" s="573" t="s">
        <v>464</v>
      </c>
      <c r="L58" s="578">
        <v>22500000</v>
      </c>
      <c r="M58" s="579">
        <v>22500000</v>
      </c>
      <c r="N58" s="573" t="s">
        <v>51</v>
      </c>
      <c r="O58" s="573" t="s">
        <v>36</v>
      </c>
      <c r="P58" s="573" t="s">
        <v>493</v>
      </c>
      <c r="Q58" s="80"/>
      <c r="R58" s="596" t="s">
        <v>545</v>
      </c>
      <c r="S58" s="581"/>
      <c r="T58" s="581"/>
      <c r="U58" s="581"/>
      <c r="V58" s="581"/>
      <c r="W58" s="581"/>
      <c r="X58" s="581"/>
      <c r="Y58" s="581"/>
      <c r="Z58" s="581"/>
      <c r="AA58" s="581"/>
      <c r="AB58" s="581"/>
      <c r="AC58" s="581"/>
      <c r="AD58" s="581"/>
      <c r="AE58" s="581"/>
      <c r="AF58" s="581"/>
      <c r="AG58" s="581"/>
      <c r="AH58" s="581"/>
      <c r="AI58" s="581"/>
      <c r="AJ58" s="581"/>
      <c r="AK58" s="581"/>
      <c r="AL58" s="581"/>
      <c r="AM58" s="581"/>
    </row>
    <row r="59" spans="1:39" ht="111" hidden="1" customHeight="1" x14ac:dyDescent="0.25">
      <c r="A59" s="572">
        <f t="shared" si="3"/>
        <v>40</v>
      </c>
      <c r="B59" s="573" t="s">
        <v>465</v>
      </c>
      <c r="C59" s="574" t="s">
        <v>251</v>
      </c>
      <c r="D59" s="575" t="s">
        <v>250</v>
      </c>
      <c r="E59" s="573" t="s">
        <v>48</v>
      </c>
      <c r="F59" s="573">
        <v>1</v>
      </c>
      <c r="G59" s="576" t="s">
        <v>80</v>
      </c>
      <c r="H59" s="577" t="s">
        <v>194</v>
      </c>
      <c r="I59" s="573" t="s">
        <v>55</v>
      </c>
      <c r="J59" s="573" t="s">
        <v>35</v>
      </c>
      <c r="K59" s="573" t="s">
        <v>161</v>
      </c>
      <c r="L59" s="578">
        <v>10000000</v>
      </c>
      <c r="M59" s="579">
        <v>10000000</v>
      </c>
      <c r="N59" s="573" t="s">
        <v>51</v>
      </c>
      <c r="O59" s="573" t="s">
        <v>36</v>
      </c>
      <c r="P59" s="573" t="s">
        <v>466</v>
      </c>
      <c r="Q59" s="80"/>
      <c r="R59" s="594"/>
      <c r="S59" s="581"/>
      <c r="T59" s="581"/>
      <c r="U59" s="581"/>
      <c r="V59" s="581"/>
      <c r="W59" s="581"/>
      <c r="X59" s="581"/>
      <c r="Y59" s="581"/>
      <c r="Z59" s="581"/>
      <c r="AA59" s="581"/>
      <c r="AB59" s="581"/>
      <c r="AC59" s="581"/>
      <c r="AD59" s="581"/>
      <c r="AE59" s="581"/>
      <c r="AF59" s="581"/>
      <c r="AG59" s="581"/>
      <c r="AH59" s="581"/>
      <c r="AI59" s="581"/>
      <c r="AJ59" s="581"/>
      <c r="AK59" s="581"/>
      <c r="AL59" s="581"/>
      <c r="AM59" s="581"/>
    </row>
    <row r="60" spans="1:39" ht="139.5" hidden="1" x14ac:dyDescent="0.25">
      <c r="A60" s="572">
        <f t="shared" si="3"/>
        <v>41</v>
      </c>
      <c r="B60" s="573" t="s">
        <v>465</v>
      </c>
      <c r="C60" s="574">
        <v>78102200</v>
      </c>
      <c r="D60" s="575" t="s">
        <v>196</v>
      </c>
      <c r="E60" s="573" t="s">
        <v>48</v>
      </c>
      <c r="F60" s="573">
        <v>1</v>
      </c>
      <c r="G60" s="576" t="s">
        <v>79</v>
      </c>
      <c r="H60" s="577" t="s">
        <v>449</v>
      </c>
      <c r="I60" s="573" t="s">
        <v>61</v>
      </c>
      <c r="J60" s="573" t="s">
        <v>35</v>
      </c>
      <c r="K60" s="573" t="s">
        <v>58</v>
      </c>
      <c r="L60" s="578">
        <v>444017000</v>
      </c>
      <c r="M60" s="579">
        <v>10500000</v>
      </c>
      <c r="N60" s="573" t="s">
        <v>49</v>
      </c>
      <c r="O60" s="573" t="s">
        <v>436</v>
      </c>
      <c r="P60" s="573" t="s">
        <v>466</v>
      </c>
      <c r="Q60" s="80"/>
      <c r="R60" s="594"/>
      <c r="S60" s="581"/>
      <c r="T60" s="581"/>
      <c r="U60" s="581"/>
      <c r="V60" s="581"/>
      <c r="W60" s="581"/>
      <c r="X60" s="581"/>
      <c r="Y60" s="581"/>
      <c r="Z60" s="581"/>
      <c r="AA60" s="581"/>
      <c r="AB60" s="581"/>
      <c r="AC60" s="581"/>
      <c r="AD60" s="581"/>
      <c r="AE60" s="581"/>
      <c r="AF60" s="581"/>
      <c r="AG60" s="581"/>
      <c r="AH60" s="581"/>
      <c r="AI60" s="581"/>
      <c r="AJ60" s="581"/>
      <c r="AK60" s="581"/>
      <c r="AL60" s="581"/>
      <c r="AM60" s="581"/>
    </row>
    <row r="61" spans="1:39" ht="145.9" hidden="1" customHeight="1" x14ac:dyDescent="0.25">
      <c r="A61" s="572">
        <f t="shared" si="3"/>
        <v>42</v>
      </c>
      <c r="B61" s="573" t="s">
        <v>313</v>
      </c>
      <c r="C61" s="574" t="s">
        <v>308</v>
      </c>
      <c r="D61" s="575" t="s">
        <v>307</v>
      </c>
      <c r="E61" s="573" t="s">
        <v>48</v>
      </c>
      <c r="F61" s="573">
        <v>1</v>
      </c>
      <c r="G61" s="576" t="s">
        <v>75</v>
      </c>
      <c r="H61" s="577" t="s">
        <v>231</v>
      </c>
      <c r="I61" s="573" t="s">
        <v>303</v>
      </c>
      <c r="J61" s="573" t="s">
        <v>35</v>
      </c>
      <c r="K61" s="573" t="s">
        <v>46</v>
      </c>
      <c r="L61" s="578">
        <v>30000000</v>
      </c>
      <c r="M61" s="579">
        <v>30000000</v>
      </c>
      <c r="N61" s="573" t="s">
        <v>51</v>
      </c>
      <c r="O61" s="573" t="s">
        <v>36</v>
      </c>
      <c r="P61" s="573" t="s">
        <v>317</v>
      </c>
      <c r="Q61" s="80"/>
      <c r="R61" s="594"/>
      <c r="S61" s="581"/>
      <c r="T61" s="581"/>
      <c r="U61" s="581"/>
      <c r="V61" s="581"/>
      <c r="W61" s="581"/>
      <c r="X61" s="581"/>
      <c r="Y61" s="581"/>
      <c r="Z61" s="581"/>
      <c r="AA61" s="581"/>
      <c r="AB61" s="581"/>
      <c r="AC61" s="581"/>
      <c r="AD61" s="581"/>
      <c r="AE61" s="581"/>
      <c r="AF61" s="581"/>
      <c r="AG61" s="581"/>
      <c r="AH61" s="581"/>
      <c r="AI61" s="581"/>
      <c r="AJ61" s="581"/>
      <c r="AK61" s="581"/>
      <c r="AL61" s="581"/>
      <c r="AM61" s="581"/>
    </row>
    <row r="62" spans="1:39" ht="93" hidden="1" x14ac:dyDescent="0.25">
      <c r="A62" s="572">
        <f t="shared" si="3"/>
        <v>43</v>
      </c>
      <c r="B62" s="573" t="s">
        <v>467</v>
      </c>
      <c r="C62" s="574">
        <v>41110000</v>
      </c>
      <c r="D62" s="575" t="s">
        <v>468</v>
      </c>
      <c r="E62" s="573" t="s">
        <v>48</v>
      </c>
      <c r="F62" s="573">
        <v>1</v>
      </c>
      <c r="G62" s="576" t="s">
        <v>75</v>
      </c>
      <c r="H62" s="577" t="s">
        <v>156</v>
      </c>
      <c r="I62" s="573" t="s">
        <v>55</v>
      </c>
      <c r="J62" s="573" t="s">
        <v>35</v>
      </c>
      <c r="K62" s="573" t="s">
        <v>41</v>
      </c>
      <c r="L62" s="578">
        <v>382336</v>
      </c>
      <c r="M62" s="579">
        <v>382336</v>
      </c>
      <c r="N62" s="573" t="s">
        <v>51</v>
      </c>
      <c r="O62" s="573" t="s">
        <v>36</v>
      </c>
      <c r="P62" s="573" t="s">
        <v>466</v>
      </c>
      <c r="Q62" s="80"/>
      <c r="R62" s="594"/>
      <c r="S62" s="581"/>
      <c r="T62" s="581"/>
      <c r="U62" s="581"/>
      <c r="V62" s="581"/>
      <c r="W62" s="581"/>
      <c r="X62" s="581"/>
      <c r="Y62" s="581"/>
      <c r="Z62" s="581"/>
      <c r="AA62" s="581"/>
      <c r="AB62" s="581"/>
      <c r="AC62" s="581"/>
      <c r="AD62" s="581"/>
      <c r="AE62" s="581"/>
      <c r="AF62" s="581"/>
      <c r="AG62" s="581"/>
      <c r="AH62" s="581"/>
      <c r="AI62" s="581"/>
      <c r="AJ62" s="581"/>
      <c r="AK62" s="581"/>
      <c r="AL62" s="581"/>
      <c r="AM62" s="581"/>
    </row>
    <row r="63" spans="1:39" ht="93" hidden="1" x14ac:dyDescent="0.25">
      <c r="A63" s="572">
        <f t="shared" si="3"/>
        <v>44</v>
      </c>
      <c r="B63" s="573" t="s">
        <v>467</v>
      </c>
      <c r="C63" s="574">
        <v>44103124</v>
      </c>
      <c r="D63" s="575" t="s">
        <v>469</v>
      </c>
      <c r="E63" s="573" t="s">
        <v>48</v>
      </c>
      <c r="F63" s="573">
        <v>1</v>
      </c>
      <c r="G63" s="576" t="s">
        <v>75</v>
      </c>
      <c r="H63" s="577" t="s">
        <v>156</v>
      </c>
      <c r="I63" s="573" t="s">
        <v>55</v>
      </c>
      <c r="J63" s="573" t="s">
        <v>35</v>
      </c>
      <c r="K63" s="573" t="s">
        <v>41</v>
      </c>
      <c r="L63" s="578">
        <v>450000</v>
      </c>
      <c r="M63" s="579">
        <v>450000</v>
      </c>
      <c r="N63" s="573" t="s">
        <v>51</v>
      </c>
      <c r="O63" s="573" t="s">
        <v>36</v>
      </c>
      <c r="P63" s="573" t="s">
        <v>466</v>
      </c>
      <c r="Q63" s="80"/>
      <c r="R63" s="594"/>
      <c r="S63" s="581"/>
      <c r="T63" s="581"/>
      <c r="U63" s="581"/>
      <c r="V63" s="581"/>
      <c r="W63" s="581"/>
      <c r="X63" s="581"/>
      <c r="Y63" s="581"/>
      <c r="Z63" s="581"/>
      <c r="AA63" s="581"/>
      <c r="AB63" s="581"/>
      <c r="AC63" s="581"/>
      <c r="AD63" s="581"/>
      <c r="AE63" s="581"/>
      <c r="AF63" s="581"/>
      <c r="AG63" s="581"/>
      <c r="AH63" s="581"/>
      <c r="AI63" s="581"/>
      <c r="AJ63" s="581"/>
      <c r="AK63" s="581"/>
      <c r="AL63" s="581"/>
      <c r="AM63" s="581"/>
    </row>
    <row r="64" spans="1:39" ht="93" hidden="1" x14ac:dyDescent="0.25">
      <c r="A64" s="572">
        <f t="shared" si="3"/>
        <v>45</v>
      </c>
      <c r="B64" s="573" t="s">
        <v>467</v>
      </c>
      <c r="C64" s="574">
        <v>44121634</v>
      </c>
      <c r="D64" s="575" t="s">
        <v>470</v>
      </c>
      <c r="E64" s="573" t="s">
        <v>48</v>
      </c>
      <c r="F64" s="573">
        <v>1</v>
      </c>
      <c r="G64" s="576" t="s">
        <v>75</v>
      </c>
      <c r="H64" s="577" t="s">
        <v>156</v>
      </c>
      <c r="I64" s="573" t="s">
        <v>55</v>
      </c>
      <c r="J64" s="573" t="s">
        <v>35</v>
      </c>
      <c r="K64" s="573" t="s">
        <v>41</v>
      </c>
      <c r="L64" s="578">
        <v>300000</v>
      </c>
      <c r="M64" s="579">
        <v>300000</v>
      </c>
      <c r="N64" s="573" t="s">
        <v>51</v>
      </c>
      <c r="O64" s="573" t="s">
        <v>36</v>
      </c>
      <c r="P64" s="573" t="s">
        <v>466</v>
      </c>
      <c r="Q64" s="80"/>
      <c r="R64" s="594"/>
      <c r="S64" s="581"/>
      <c r="T64" s="581"/>
      <c r="U64" s="581"/>
      <c r="V64" s="581"/>
      <c r="W64" s="581"/>
      <c r="X64" s="581"/>
      <c r="Y64" s="581"/>
      <c r="Z64" s="581"/>
      <c r="AA64" s="581"/>
      <c r="AB64" s="581"/>
      <c r="AC64" s="581"/>
      <c r="AD64" s="581"/>
      <c r="AE64" s="581"/>
      <c r="AF64" s="581"/>
      <c r="AG64" s="581"/>
      <c r="AH64" s="581"/>
      <c r="AI64" s="581"/>
      <c r="AJ64" s="581"/>
      <c r="AK64" s="581"/>
      <c r="AL64" s="581"/>
      <c r="AM64" s="581"/>
    </row>
    <row r="65" spans="1:39" ht="93" hidden="1" x14ac:dyDescent="0.25">
      <c r="A65" s="572">
        <f t="shared" si="3"/>
        <v>46</v>
      </c>
      <c r="B65" s="573" t="s">
        <v>467</v>
      </c>
      <c r="C65" s="574">
        <v>44122003</v>
      </c>
      <c r="D65" s="575" t="s">
        <v>471</v>
      </c>
      <c r="E65" s="573" t="s">
        <v>48</v>
      </c>
      <c r="F65" s="573">
        <v>1</v>
      </c>
      <c r="G65" s="576" t="s">
        <v>75</v>
      </c>
      <c r="H65" s="577" t="s">
        <v>156</v>
      </c>
      <c r="I65" s="573" t="s">
        <v>55</v>
      </c>
      <c r="J65" s="573" t="s">
        <v>35</v>
      </c>
      <c r="K65" s="573" t="s">
        <v>41</v>
      </c>
      <c r="L65" s="578">
        <v>4800000</v>
      </c>
      <c r="M65" s="579">
        <v>4800000</v>
      </c>
      <c r="N65" s="573" t="s">
        <v>51</v>
      </c>
      <c r="O65" s="573" t="s">
        <v>36</v>
      </c>
      <c r="P65" s="573" t="s">
        <v>466</v>
      </c>
      <c r="Q65" s="80"/>
      <c r="R65" s="594"/>
      <c r="S65" s="581"/>
      <c r="T65" s="581"/>
      <c r="U65" s="581"/>
      <c r="V65" s="581"/>
      <c r="W65" s="581"/>
      <c r="X65" s="581"/>
      <c r="Y65" s="581"/>
      <c r="Z65" s="581"/>
      <c r="AA65" s="581"/>
      <c r="AB65" s="581"/>
      <c r="AC65" s="581"/>
      <c r="AD65" s="581"/>
      <c r="AE65" s="581"/>
      <c r="AF65" s="581"/>
      <c r="AG65" s="581"/>
      <c r="AH65" s="581"/>
      <c r="AI65" s="581"/>
      <c r="AJ65" s="581"/>
      <c r="AK65" s="581"/>
      <c r="AL65" s="581"/>
      <c r="AM65" s="581"/>
    </row>
    <row r="66" spans="1:39" ht="93" hidden="1" x14ac:dyDescent="0.25">
      <c r="A66" s="572">
        <f t="shared" si="3"/>
        <v>47</v>
      </c>
      <c r="B66" s="573" t="s">
        <v>467</v>
      </c>
      <c r="C66" s="574">
        <v>44111515</v>
      </c>
      <c r="D66" s="575" t="s">
        <v>472</v>
      </c>
      <c r="E66" s="573" t="s">
        <v>48</v>
      </c>
      <c r="F66" s="573">
        <v>1</v>
      </c>
      <c r="G66" s="576" t="s">
        <v>75</v>
      </c>
      <c r="H66" s="577" t="s">
        <v>156</v>
      </c>
      <c r="I66" s="573" t="s">
        <v>55</v>
      </c>
      <c r="J66" s="573" t="s">
        <v>35</v>
      </c>
      <c r="K66" s="573" t="s">
        <v>41</v>
      </c>
      <c r="L66" s="578">
        <v>1537500</v>
      </c>
      <c r="M66" s="579">
        <v>1537500</v>
      </c>
      <c r="N66" s="573" t="s">
        <v>51</v>
      </c>
      <c r="O66" s="573" t="s">
        <v>36</v>
      </c>
      <c r="P66" s="573" t="s">
        <v>466</v>
      </c>
      <c r="Q66" s="80"/>
      <c r="R66" s="594"/>
      <c r="S66" s="581"/>
      <c r="T66" s="581"/>
      <c r="U66" s="581"/>
      <c r="V66" s="581"/>
      <c r="W66" s="581"/>
      <c r="X66" s="581"/>
      <c r="Y66" s="581"/>
      <c r="Z66" s="581"/>
      <c r="AA66" s="581"/>
      <c r="AB66" s="581"/>
      <c r="AC66" s="581"/>
      <c r="AD66" s="581"/>
      <c r="AE66" s="581"/>
      <c r="AF66" s="581"/>
      <c r="AG66" s="581"/>
      <c r="AH66" s="581"/>
      <c r="AI66" s="581"/>
      <c r="AJ66" s="581"/>
      <c r="AK66" s="581"/>
      <c r="AL66" s="581"/>
      <c r="AM66" s="581"/>
    </row>
    <row r="67" spans="1:39" ht="139.5" hidden="1" x14ac:dyDescent="0.25">
      <c r="A67" s="572">
        <f t="shared" si="3"/>
        <v>48</v>
      </c>
      <c r="B67" s="573" t="s">
        <v>473</v>
      </c>
      <c r="C67" s="574" t="s">
        <v>70</v>
      </c>
      <c r="D67" s="575" t="s">
        <v>197</v>
      </c>
      <c r="E67" s="573" t="s">
        <v>48</v>
      </c>
      <c r="F67" s="573">
        <v>1</v>
      </c>
      <c r="G67" s="576" t="s">
        <v>78</v>
      </c>
      <c r="H67" s="577">
        <v>10</v>
      </c>
      <c r="I67" s="573" t="s">
        <v>173</v>
      </c>
      <c r="J67" s="573" t="s">
        <v>35</v>
      </c>
      <c r="K67" s="573" t="s">
        <v>42</v>
      </c>
      <c r="L67" s="578">
        <v>24000000</v>
      </c>
      <c r="M67" s="579">
        <v>24000000</v>
      </c>
      <c r="N67" s="573" t="s">
        <v>51</v>
      </c>
      <c r="O67" s="573" t="s">
        <v>36</v>
      </c>
      <c r="P67" s="573" t="s">
        <v>316</v>
      </c>
      <c r="Q67" s="80"/>
      <c r="R67" s="594"/>
      <c r="S67" s="581"/>
      <c r="T67" s="581"/>
      <c r="U67" s="581"/>
      <c r="V67" s="581"/>
      <c r="W67" s="581"/>
      <c r="X67" s="581"/>
      <c r="Y67" s="581"/>
      <c r="Z67" s="581"/>
      <c r="AA67" s="581"/>
      <c r="AB67" s="581"/>
      <c r="AC67" s="581"/>
      <c r="AD67" s="581"/>
      <c r="AE67" s="581"/>
      <c r="AF67" s="581"/>
      <c r="AG67" s="581"/>
      <c r="AH67" s="581"/>
      <c r="AI67" s="581"/>
      <c r="AJ67" s="581"/>
      <c r="AK67" s="581"/>
      <c r="AL67" s="581"/>
      <c r="AM67" s="581"/>
    </row>
    <row r="68" spans="1:39" ht="139.5" hidden="1" x14ac:dyDescent="0.25">
      <c r="A68" s="572">
        <f t="shared" si="3"/>
        <v>49</v>
      </c>
      <c r="B68" s="573" t="s">
        <v>473</v>
      </c>
      <c r="C68" s="574" t="s">
        <v>70</v>
      </c>
      <c r="D68" s="598" t="s">
        <v>310</v>
      </c>
      <c r="E68" s="573" t="s">
        <v>48</v>
      </c>
      <c r="F68" s="573">
        <v>1</v>
      </c>
      <c r="G68" s="576" t="s">
        <v>180</v>
      </c>
      <c r="H68" s="577" t="s">
        <v>156</v>
      </c>
      <c r="I68" s="573" t="s">
        <v>173</v>
      </c>
      <c r="J68" s="573" t="s">
        <v>35</v>
      </c>
      <c r="K68" s="573" t="s">
        <v>42</v>
      </c>
      <c r="L68" s="578">
        <v>10000000</v>
      </c>
      <c r="M68" s="579">
        <v>10000000</v>
      </c>
      <c r="N68" s="573" t="s">
        <v>51</v>
      </c>
      <c r="O68" s="573" t="s">
        <v>36</v>
      </c>
      <c r="P68" s="573" t="s">
        <v>316</v>
      </c>
      <c r="Q68" s="80"/>
      <c r="R68" s="594"/>
      <c r="S68" s="581"/>
      <c r="T68" s="581"/>
      <c r="U68" s="581"/>
      <c r="V68" s="581"/>
      <c r="W68" s="581"/>
      <c r="X68" s="581"/>
      <c r="Y68" s="581"/>
      <c r="Z68" s="581"/>
      <c r="AA68" s="581"/>
      <c r="AB68" s="581"/>
      <c r="AC68" s="581"/>
      <c r="AD68" s="581"/>
      <c r="AE68" s="581"/>
      <c r="AF68" s="581"/>
      <c r="AG68" s="581"/>
      <c r="AH68" s="581"/>
      <c r="AI68" s="581"/>
      <c r="AJ68" s="581"/>
      <c r="AK68" s="581"/>
      <c r="AL68" s="581"/>
      <c r="AM68" s="581"/>
    </row>
    <row r="69" spans="1:39" ht="116.25" hidden="1" x14ac:dyDescent="0.25">
      <c r="A69" s="572">
        <f t="shared" si="3"/>
        <v>50</v>
      </c>
      <c r="B69" s="573" t="s">
        <v>473</v>
      </c>
      <c r="C69" s="574">
        <v>80101706</v>
      </c>
      <c r="D69" s="575" t="s">
        <v>63</v>
      </c>
      <c r="E69" s="573" t="s">
        <v>48</v>
      </c>
      <c r="F69" s="573">
        <v>1</v>
      </c>
      <c r="G69" s="576" t="s">
        <v>80</v>
      </c>
      <c r="H69" s="577">
        <v>11</v>
      </c>
      <c r="I69" s="573" t="s">
        <v>55</v>
      </c>
      <c r="J69" s="573" t="s">
        <v>35</v>
      </c>
      <c r="K69" s="573" t="s">
        <v>43</v>
      </c>
      <c r="L69" s="578">
        <v>10075000</v>
      </c>
      <c r="M69" s="579">
        <v>10075000</v>
      </c>
      <c r="N69" s="573" t="s">
        <v>51</v>
      </c>
      <c r="O69" s="573" t="s">
        <v>36</v>
      </c>
      <c r="P69" s="573" t="s">
        <v>316</v>
      </c>
      <c r="Q69" s="80"/>
      <c r="R69" s="595"/>
      <c r="S69" s="581"/>
      <c r="T69" s="581"/>
      <c r="U69" s="581"/>
      <c r="V69" s="581"/>
      <c r="W69" s="581"/>
      <c r="X69" s="581"/>
      <c r="Y69" s="581"/>
      <c r="Z69" s="581"/>
      <c r="AA69" s="581"/>
      <c r="AB69" s="581"/>
      <c r="AC69" s="581"/>
      <c r="AD69" s="581"/>
      <c r="AE69" s="581"/>
      <c r="AF69" s="581"/>
      <c r="AG69" s="581"/>
      <c r="AH69" s="581"/>
      <c r="AI69" s="581"/>
      <c r="AJ69" s="581"/>
      <c r="AK69" s="581"/>
      <c r="AL69" s="581"/>
      <c r="AM69" s="581"/>
    </row>
    <row r="70" spans="1:39" ht="86.45" hidden="1" customHeight="1" x14ac:dyDescent="0.25">
      <c r="A70" s="572">
        <f t="shared" si="3"/>
        <v>51</v>
      </c>
      <c r="B70" s="573" t="s">
        <v>473</v>
      </c>
      <c r="C70" s="574">
        <v>78111803</v>
      </c>
      <c r="D70" s="575" t="s">
        <v>64</v>
      </c>
      <c r="E70" s="573" t="s">
        <v>48</v>
      </c>
      <c r="F70" s="573">
        <v>1</v>
      </c>
      <c r="G70" s="576" t="s">
        <v>180</v>
      </c>
      <c r="H70" s="577" t="s">
        <v>156</v>
      </c>
      <c r="I70" s="573" t="s">
        <v>55</v>
      </c>
      <c r="J70" s="573" t="s">
        <v>35</v>
      </c>
      <c r="K70" s="573" t="s">
        <v>43</v>
      </c>
      <c r="L70" s="578">
        <v>15000000</v>
      </c>
      <c r="M70" s="579">
        <v>15000000</v>
      </c>
      <c r="N70" s="573" t="s">
        <v>51</v>
      </c>
      <c r="O70" s="573" t="s">
        <v>36</v>
      </c>
      <c r="P70" s="573" t="s">
        <v>316</v>
      </c>
      <c r="Q70" s="80"/>
      <c r="R70" s="595"/>
      <c r="S70" s="581"/>
      <c r="T70" s="581"/>
      <c r="U70" s="581"/>
      <c r="V70" s="581"/>
      <c r="W70" s="581"/>
      <c r="X70" s="581"/>
      <c r="Y70" s="581"/>
      <c r="Z70" s="581"/>
      <c r="AA70" s="581"/>
      <c r="AB70" s="581"/>
      <c r="AC70" s="581"/>
      <c r="AD70" s="581"/>
      <c r="AE70" s="581"/>
      <c r="AF70" s="581"/>
      <c r="AG70" s="581"/>
      <c r="AH70" s="581"/>
      <c r="AI70" s="581"/>
      <c r="AJ70" s="581"/>
      <c r="AK70" s="581"/>
      <c r="AL70" s="581"/>
      <c r="AM70" s="581"/>
    </row>
    <row r="71" spans="1:39" ht="69.75" hidden="1" x14ac:dyDescent="0.25">
      <c r="A71" s="572">
        <f t="shared" si="3"/>
        <v>52</v>
      </c>
      <c r="B71" s="573" t="s">
        <v>473</v>
      </c>
      <c r="C71" s="574" t="s">
        <v>72</v>
      </c>
      <c r="D71" s="575" t="s">
        <v>65</v>
      </c>
      <c r="E71" s="573" t="s">
        <v>48</v>
      </c>
      <c r="F71" s="573">
        <v>1</v>
      </c>
      <c r="G71" s="576" t="s">
        <v>180</v>
      </c>
      <c r="H71" s="577" t="s">
        <v>156</v>
      </c>
      <c r="I71" s="573" t="s">
        <v>55</v>
      </c>
      <c r="J71" s="573" t="s">
        <v>35</v>
      </c>
      <c r="K71" s="573" t="s">
        <v>45</v>
      </c>
      <c r="L71" s="608">
        <v>17000000</v>
      </c>
      <c r="M71" s="609">
        <v>17000000</v>
      </c>
      <c r="N71" s="573" t="s">
        <v>51</v>
      </c>
      <c r="O71" s="573" t="s">
        <v>36</v>
      </c>
      <c r="P71" s="573" t="s">
        <v>316</v>
      </c>
      <c r="Q71" s="80"/>
      <c r="R71" s="595"/>
      <c r="S71" s="581"/>
      <c r="T71" s="581"/>
      <c r="U71" s="581"/>
      <c r="V71" s="581"/>
      <c r="W71" s="581"/>
      <c r="X71" s="581"/>
      <c r="Y71" s="581"/>
      <c r="Z71" s="581"/>
      <c r="AA71" s="581"/>
      <c r="AB71" s="581"/>
      <c r="AC71" s="581"/>
      <c r="AD71" s="581"/>
      <c r="AE71" s="581"/>
      <c r="AF71" s="581"/>
      <c r="AG71" s="581"/>
      <c r="AH71" s="581"/>
      <c r="AI71" s="581"/>
      <c r="AJ71" s="581"/>
      <c r="AK71" s="581"/>
      <c r="AL71" s="581"/>
      <c r="AM71" s="581"/>
    </row>
    <row r="72" spans="1:39" ht="93" hidden="1" x14ac:dyDescent="0.25">
      <c r="A72" s="572">
        <f t="shared" si="3"/>
        <v>53</v>
      </c>
      <c r="B72" s="573" t="s">
        <v>313</v>
      </c>
      <c r="C72" s="574">
        <v>5216512</v>
      </c>
      <c r="D72" s="598" t="s">
        <v>447</v>
      </c>
      <c r="E72" s="573" t="s">
        <v>48</v>
      </c>
      <c r="F72" s="573">
        <v>1</v>
      </c>
      <c r="G72" s="576" t="s">
        <v>76</v>
      </c>
      <c r="H72" s="577" t="s">
        <v>156</v>
      </c>
      <c r="I72" s="573" t="s">
        <v>55</v>
      </c>
      <c r="J72" s="573" t="s">
        <v>35</v>
      </c>
      <c r="K72" s="573" t="s">
        <v>195</v>
      </c>
      <c r="L72" s="578">
        <v>6000000</v>
      </c>
      <c r="M72" s="579">
        <v>6000000</v>
      </c>
      <c r="N72" s="573" t="s">
        <v>51</v>
      </c>
      <c r="O72" s="573" t="s">
        <v>36</v>
      </c>
      <c r="P72" s="573" t="s">
        <v>317</v>
      </c>
      <c r="Q72" s="80"/>
      <c r="R72" s="594"/>
      <c r="S72" s="581"/>
      <c r="T72" s="581"/>
      <c r="U72" s="581"/>
      <c r="V72" s="581"/>
      <c r="W72" s="581"/>
      <c r="X72" s="581"/>
      <c r="Y72" s="581"/>
      <c r="Z72" s="581"/>
      <c r="AA72" s="581"/>
      <c r="AB72" s="581"/>
      <c r="AC72" s="581"/>
      <c r="AD72" s="581"/>
      <c r="AE72" s="581"/>
      <c r="AF72" s="581"/>
      <c r="AG72" s="581"/>
      <c r="AH72" s="581"/>
      <c r="AI72" s="581"/>
      <c r="AJ72" s="581"/>
      <c r="AK72" s="581"/>
      <c r="AL72" s="581"/>
      <c r="AM72" s="581"/>
    </row>
    <row r="73" spans="1:39" ht="57.6" hidden="1" customHeight="1" x14ac:dyDescent="0.25">
      <c r="A73" s="572">
        <f t="shared" si="3"/>
        <v>54</v>
      </c>
      <c r="B73" s="573" t="s">
        <v>474</v>
      </c>
      <c r="C73" s="574">
        <v>42000000</v>
      </c>
      <c r="D73" s="598" t="s">
        <v>476</v>
      </c>
      <c r="E73" s="573" t="s">
        <v>48</v>
      </c>
      <c r="F73" s="573">
        <v>1</v>
      </c>
      <c r="G73" s="576" t="s">
        <v>81</v>
      </c>
      <c r="H73" s="577" t="s">
        <v>156</v>
      </c>
      <c r="I73" s="573" t="s">
        <v>55</v>
      </c>
      <c r="J73" s="573" t="s">
        <v>35</v>
      </c>
      <c r="K73" s="573" t="s">
        <v>43</v>
      </c>
      <c r="L73" s="578">
        <v>5000000</v>
      </c>
      <c r="M73" s="579">
        <v>5000000</v>
      </c>
      <c r="N73" s="573" t="s">
        <v>51</v>
      </c>
      <c r="O73" s="573" t="s">
        <v>36</v>
      </c>
      <c r="P73" s="573" t="s">
        <v>316</v>
      </c>
      <c r="Q73" s="80"/>
      <c r="R73" s="595"/>
      <c r="S73" s="581"/>
      <c r="T73" s="581"/>
      <c r="U73" s="581"/>
      <c r="V73" s="581"/>
      <c r="W73" s="581"/>
      <c r="X73" s="581"/>
      <c r="Y73" s="581"/>
      <c r="Z73" s="581"/>
      <c r="AA73" s="581"/>
      <c r="AB73" s="581"/>
      <c r="AC73" s="581"/>
      <c r="AD73" s="581"/>
      <c r="AE73" s="581"/>
      <c r="AF73" s="581"/>
      <c r="AG73" s="581"/>
      <c r="AH73" s="581"/>
      <c r="AI73" s="581"/>
      <c r="AJ73" s="581"/>
      <c r="AK73" s="581"/>
      <c r="AL73" s="581"/>
      <c r="AM73" s="581"/>
    </row>
    <row r="74" spans="1:39" ht="65.45" hidden="1" customHeight="1" x14ac:dyDescent="0.25">
      <c r="A74" s="572">
        <f t="shared" si="3"/>
        <v>55</v>
      </c>
      <c r="B74" s="573" t="s">
        <v>474</v>
      </c>
      <c r="C74" s="580"/>
      <c r="D74" s="598" t="s">
        <v>477</v>
      </c>
      <c r="E74" s="573" t="s">
        <v>48</v>
      </c>
      <c r="F74" s="573">
        <v>1</v>
      </c>
      <c r="G74" s="576" t="s">
        <v>80</v>
      </c>
      <c r="H74" s="577" t="s">
        <v>156</v>
      </c>
      <c r="I74" s="573" t="s">
        <v>55</v>
      </c>
      <c r="J74" s="573" t="s">
        <v>35</v>
      </c>
      <c r="K74" s="573" t="s">
        <v>43</v>
      </c>
      <c r="L74" s="578">
        <v>5000000</v>
      </c>
      <c r="M74" s="579">
        <v>5000000</v>
      </c>
      <c r="N74" s="573" t="s">
        <v>51</v>
      </c>
      <c r="O74" s="573" t="s">
        <v>36</v>
      </c>
      <c r="P74" s="573" t="s">
        <v>316</v>
      </c>
      <c r="Q74" s="80"/>
      <c r="R74" s="595"/>
      <c r="S74" s="581"/>
      <c r="T74" s="581"/>
      <c r="U74" s="581"/>
      <c r="V74" s="581"/>
      <c r="W74" s="581"/>
      <c r="X74" s="581"/>
      <c r="Y74" s="581"/>
      <c r="Z74" s="581"/>
      <c r="AA74" s="581"/>
      <c r="AB74" s="581"/>
      <c r="AC74" s="581"/>
      <c r="AD74" s="581"/>
      <c r="AE74" s="581"/>
      <c r="AF74" s="581"/>
      <c r="AG74" s="581"/>
      <c r="AH74" s="581"/>
      <c r="AI74" s="581"/>
      <c r="AJ74" s="581"/>
      <c r="AK74" s="581"/>
      <c r="AL74" s="581"/>
      <c r="AM74" s="581"/>
    </row>
    <row r="75" spans="1:39" ht="186.75" hidden="1" customHeight="1" x14ac:dyDescent="0.25">
      <c r="A75" s="572">
        <f t="shared" si="3"/>
        <v>56</v>
      </c>
      <c r="B75" s="573" t="s">
        <v>474</v>
      </c>
      <c r="C75" s="599" t="s">
        <v>67</v>
      </c>
      <c r="D75" s="575" t="s">
        <v>575</v>
      </c>
      <c r="E75" s="573" t="s">
        <v>48</v>
      </c>
      <c r="F75" s="573">
        <v>1</v>
      </c>
      <c r="G75" s="576" t="s">
        <v>80</v>
      </c>
      <c r="H75" s="577" t="s">
        <v>177</v>
      </c>
      <c r="I75" s="573" t="s">
        <v>55</v>
      </c>
      <c r="J75" s="573" t="s">
        <v>35</v>
      </c>
      <c r="K75" s="573" t="s">
        <v>43</v>
      </c>
      <c r="L75" s="578">
        <v>5000000</v>
      </c>
      <c r="M75" s="579">
        <v>5000000</v>
      </c>
      <c r="N75" s="573" t="s">
        <v>51</v>
      </c>
      <c r="O75" s="573" t="s">
        <v>36</v>
      </c>
      <c r="P75" s="573" t="s">
        <v>316</v>
      </c>
      <c r="Q75" s="80"/>
      <c r="R75" s="595"/>
      <c r="S75" s="581"/>
      <c r="T75" s="581"/>
      <c r="U75" s="581"/>
      <c r="V75" s="581"/>
      <c r="W75" s="581"/>
      <c r="X75" s="581"/>
      <c r="Y75" s="581"/>
      <c r="Z75" s="581"/>
      <c r="AA75" s="581"/>
      <c r="AB75" s="581"/>
      <c r="AC75" s="581"/>
      <c r="AD75" s="581"/>
      <c r="AE75" s="581"/>
      <c r="AF75" s="581"/>
      <c r="AG75" s="581"/>
      <c r="AH75" s="581"/>
      <c r="AI75" s="581"/>
      <c r="AJ75" s="581"/>
      <c r="AK75" s="581"/>
      <c r="AL75" s="581"/>
      <c r="AM75" s="581"/>
    </row>
    <row r="76" spans="1:39" ht="119.45" hidden="1" customHeight="1" x14ac:dyDescent="0.25">
      <c r="A76" s="572">
        <f t="shared" si="3"/>
        <v>57</v>
      </c>
      <c r="B76" s="573" t="s">
        <v>474</v>
      </c>
      <c r="C76" s="580"/>
      <c r="D76" s="598" t="s">
        <v>478</v>
      </c>
      <c r="E76" s="573" t="s">
        <v>48</v>
      </c>
      <c r="F76" s="573">
        <v>1</v>
      </c>
      <c r="G76" s="576" t="s">
        <v>80</v>
      </c>
      <c r="H76" s="577" t="s">
        <v>157</v>
      </c>
      <c r="I76" s="573" t="s">
        <v>61</v>
      </c>
      <c r="J76" s="573" t="s">
        <v>35</v>
      </c>
      <c r="K76" s="573" t="s">
        <v>430</v>
      </c>
      <c r="L76" s="578">
        <v>343000000</v>
      </c>
      <c r="M76" s="579">
        <v>343000000</v>
      </c>
      <c r="N76" s="573" t="s">
        <v>51</v>
      </c>
      <c r="O76" s="573" t="s">
        <v>36</v>
      </c>
      <c r="P76" s="573" t="s">
        <v>316</v>
      </c>
      <c r="Q76" s="80"/>
      <c r="R76" s="595"/>
      <c r="S76" s="581"/>
      <c r="T76" s="581"/>
      <c r="U76" s="581"/>
      <c r="V76" s="581"/>
      <c r="W76" s="581"/>
      <c r="X76" s="581"/>
      <c r="Y76" s="581"/>
      <c r="Z76" s="581"/>
      <c r="AA76" s="581"/>
      <c r="AB76" s="581"/>
      <c r="AC76" s="581"/>
      <c r="AD76" s="581"/>
      <c r="AE76" s="581"/>
      <c r="AF76" s="581"/>
      <c r="AG76" s="581"/>
      <c r="AH76" s="581"/>
      <c r="AI76" s="581"/>
      <c r="AJ76" s="581"/>
      <c r="AK76" s="581"/>
      <c r="AL76" s="581"/>
      <c r="AM76" s="581"/>
    </row>
    <row r="77" spans="1:39" ht="46.5" hidden="1" x14ac:dyDescent="0.25">
      <c r="A77" s="572">
        <f t="shared" si="3"/>
        <v>58</v>
      </c>
      <c r="B77" s="573" t="s">
        <v>474</v>
      </c>
      <c r="C77" s="580"/>
      <c r="D77" s="598" t="s">
        <v>479</v>
      </c>
      <c r="E77" s="573" t="s">
        <v>48</v>
      </c>
      <c r="F77" s="573">
        <v>1</v>
      </c>
      <c r="G77" s="576" t="s">
        <v>81</v>
      </c>
      <c r="H77" s="577">
        <v>2</v>
      </c>
      <c r="I77" s="573" t="s">
        <v>225</v>
      </c>
      <c r="J77" s="573" t="s">
        <v>35</v>
      </c>
      <c r="K77" s="573" t="s">
        <v>480</v>
      </c>
      <c r="L77" s="578">
        <v>600000000</v>
      </c>
      <c r="M77" s="579">
        <v>600000000</v>
      </c>
      <c r="N77" s="573" t="s">
        <v>51</v>
      </c>
      <c r="O77" s="573" t="s">
        <v>36</v>
      </c>
      <c r="P77" s="573" t="s">
        <v>316</v>
      </c>
      <c r="Q77" s="80"/>
      <c r="R77" s="595"/>
      <c r="S77" s="581"/>
      <c r="T77" s="581"/>
      <c r="U77" s="581"/>
      <c r="V77" s="581"/>
      <c r="W77" s="581"/>
      <c r="X77" s="581"/>
      <c r="Y77" s="581"/>
      <c r="Z77" s="581"/>
      <c r="AA77" s="581"/>
      <c r="AB77" s="581"/>
      <c r="AC77" s="581"/>
      <c r="AD77" s="581"/>
      <c r="AE77" s="581"/>
      <c r="AF77" s="581"/>
      <c r="AG77" s="581"/>
      <c r="AH77" s="581"/>
      <c r="AI77" s="581"/>
      <c r="AJ77" s="581"/>
      <c r="AK77" s="581"/>
      <c r="AL77" s="581"/>
      <c r="AM77" s="581"/>
    </row>
    <row r="78" spans="1:39" ht="93" hidden="1" x14ac:dyDescent="0.25">
      <c r="A78" s="572">
        <f t="shared" si="3"/>
        <v>59</v>
      </c>
      <c r="B78" s="573" t="s">
        <v>198</v>
      </c>
      <c r="C78" s="574">
        <v>204415</v>
      </c>
      <c r="D78" s="575" t="s">
        <v>199</v>
      </c>
      <c r="E78" s="573" t="s">
        <v>48</v>
      </c>
      <c r="F78" s="573">
        <v>1</v>
      </c>
      <c r="G78" s="576" t="s">
        <v>78</v>
      </c>
      <c r="H78" s="577" t="s">
        <v>156</v>
      </c>
      <c r="I78" s="573" t="s">
        <v>55</v>
      </c>
      <c r="J78" s="573" t="s">
        <v>35</v>
      </c>
      <c r="K78" s="573" t="s">
        <v>41</v>
      </c>
      <c r="L78" s="578">
        <v>4000000</v>
      </c>
      <c r="M78" s="579">
        <v>4000000</v>
      </c>
      <c r="N78" s="573" t="s">
        <v>51</v>
      </c>
      <c r="O78" s="573" t="s">
        <v>36</v>
      </c>
      <c r="P78" s="573" t="s">
        <v>304</v>
      </c>
      <c r="Q78" s="80"/>
      <c r="R78" s="595"/>
      <c r="S78" s="581"/>
      <c r="T78" s="581"/>
      <c r="U78" s="581"/>
      <c r="V78" s="581"/>
      <c r="W78" s="581"/>
      <c r="X78" s="581"/>
      <c r="Y78" s="581"/>
      <c r="Z78" s="581"/>
      <c r="AA78" s="581"/>
      <c r="AB78" s="581"/>
      <c r="AC78" s="581"/>
      <c r="AD78" s="581"/>
      <c r="AE78" s="581"/>
      <c r="AF78" s="581"/>
      <c r="AG78" s="581"/>
      <c r="AH78" s="581"/>
      <c r="AI78" s="581"/>
      <c r="AJ78" s="581"/>
      <c r="AK78" s="581"/>
      <c r="AL78" s="581"/>
      <c r="AM78" s="581"/>
    </row>
    <row r="79" spans="1:39" ht="93" hidden="1" x14ac:dyDescent="0.25">
      <c r="A79" s="572">
        <f t="shared" si="3"/>
        <v>60</v>
      </c>
      <c r="B79" s="573" t="s">
        <v>198</v>
      </c>
      <c r="C79" s="574">
        <v>55101500</v>
      </c>
      <c r="D79" s="575" t="s">
        <v>200</v>
      </c>
      <c r="E79" s="573" t="s">
        <v>48</v>
      </c>
      <c r="F79" s="573">
        <v>1</v>
      </c>
      <c r="G79" s="576" t="s">
        <v>77</v>
      </c>
      <c r="H79" s="577" t="s">
        <v>156</v>
      </c>
      <c r="I79" s="573" t="s">
        <v>61</v>
      </c>
      <c r="J79" s="573" t="s">
        <v>35</v>
      </c>
      <c r="K79" s="573" t="s">
        <v>41</v>
      </c>
      <c r="L79" s="578">
        <v>15000000</v>
      </c>
      <c r="M79" s="579">
        <v>15000000</v>
      </c>
      <c r="N79" s="573" t="s">
        <v>51</v>
      </c>
      <c r="O79" s="573" t="s">
        <v>36</v>
      </c>
      <c r="P79" s="573" t="s">
        <v>304</v>
      </c>
      <c r="Q79" s="80"/>
      <c r="R79" s="595"/>
      <c r="S79" s="581"/>
      <c r="T79" s="581"/>
      <c r="U79" s="581"/>
      <c r="V79" s="581"/>
      <c r="W79" s="581"/>
      <c r="X79" s="581"/>
      <c r="Y79" s="581"/>
      <c r="Z79" s="581"/>
      <c r="AA79" s="581"/>
      <c r="AB79" s="581"/>
      <c r="AC79" s="581"/>
      <c r="AD79" s="581"/>
      <c r="AE79" s="581"/>
      <c r="AF79" s="581"/>
      <c r="AG79" s="581"/>
      <c r="AH79" s="581"/>
      <c r="AI79" s="581"/>
      <c r="AJ79" s="581"/>
      <c r="AK79" s="581"/>
      <c r="AL79" s="581"/>
      <c r="AM79" s="581"/>
    </row>
    <row r="80" spans="1:39" ht="93" hidden="1" x14ac:dyDescent="0.25">
      <c r="A80" s="572">
        <f t="shared" si="3"/>
        <v>61</v>
      </c>
      <c r="B80" s="573" t="s">
        <v>262</v>
      </c>
      <c r="C80" s="574">
        <v>43212105</v>
      </c>
      <c r="D80" s="598" t="s">
        <v>455</v>
      </c>
      <c r="E80" s="573" t="s">
        <v>48</v>
      </c>
      <c r="F80" s="573">
        <v>1</v>
      </c>
      <c r="G80" s="576" t="s">
        <v>75</v>
      </c>
      <c r="H80" s="577">
        <v>4</v>
      </c>
      <c r="I80" s="573" t="s">
        <v>53</v>
      </c>
      <c r="J80" s="573" t="s">
        <v>35</v>
      </c>
      <c r="K80" s="573" t="s">
        <v>195</v>
      </c>
      <c r="L80" s="578">
        <v>20000000</v>
      </c>
      <c r="M80" s="578">
        <v>20000000</v>
      </c>
      <c r="N80" s="573" t="s">
        <v>51</v>
      </c>
      <c r="O80" s="573" t="s">
        <v>36</v>
      </c>
      <c r="P80" s="573" t="s">
        <v>317</v>
      </c>
      <c r="Q80" s="80"/>
      <c r="R80" s="594"/>
      <c r="S80" s="581"/>
      <c r="T80" s="581"/>
      <c r="U80" s="581"/>
      <c r="V80" s="581"/>
      <c r="W80" s="581"/>
      <c r="X80" s="581"/>
      <c r="Y80" s="581"/>
      <c r="Z80" s="581"/>
      <c r="AA80" s="581"/>
      <c r="AB80" s="581"/>
      <c r="AC80" s="581"/>
      <c r="AD80" s="581"/>
      <c r="AE80" s="581"/>
      <c r="AF80" s="581"/>
      <c r="AG80" s="581"/>
      <c r="AH80" s="581"/>
      <c r="AI80" s="581"/>
      <c r="AJ80" s="581"/>
      <c r="AK80" s="581"/>
      <c r="AL80" s="581"/>
      <c r="AM80" s="581"/>
    </row>
    <row r="81" spans="1:39" ht="93" hidden="1" x14ac:dyDescent="0.25">
      <c r="A81" s="572">
        <f t="shared" si="3"/>
        <v>62</v>
      </c>
      <c r="B81" s="573" t="s">
        <v>481</v>
      </c>
      <c r="C81" s="574">
        <v>43211508</v>
      </c>
      <c r="D81" s="598" t="s">
        <v>424</v>
      </c>
      <c r="E81" s="573" t="s">
        <v>48</v>
      </c>
      <c r="F81" s="573">
        <v>1</v>
      </c>
      <c r="G81" s="576" t="s">
        <v>75</v>
      </c>
      <c r="H81" s="577" t="s">
        <v>156</v>
      </c>
      <c r="I81" s="573" t="s">
        <v>53</v>
      </c>
      <c r="J81" s="573" t="s">
        <v>35</v>
      </c>
      <c r="K81" s="573" t="s">
        <v>319</v>
      </c>
      <c r="L81" s="578">
        <v>20000000</v>
      </c>
      <c r="M81" s="579">
        <v>20000000</v>
      </c>
      <c r="N81" s="573" t="s">
        <v>51</v>
      </c>
      <c r="O81" s="573" t="s">
        <v>36</v>
      </c>
      <c r="P81" s="573" t="s">
        <v>306</v>
      </c>
      <c r="Q81" s="80"/>
      <c r="R81" s="595"/>
      <c r="S81" s="581"/>
      <c r="T81" s="581"/>
      <c r="U81" s="581"/>
      <c r="V81" s="581"/>
      <c r="W81" s="581"/>
      <c r="X81" s="581"/>
      <c r="Y81" s="581"/>
      <c r="Z81" s="581"/>
      <c r="AA81" s="581"/>
      <c r="AB81" s="581"/>
      <c r="AC81" s="581"/>
      <c r="AD81" s="581"/>
      <c r="AE81" s="581"/>
      <c r="AF81" s="581"/>
      <c r="AG81" s="581"/>
      <c r="AH81" s="581"/>
      <c r="AI81" s="581"/>
      <c r="AJ81" s="581"/>
      <c r="AK81" s="581"/>
      <c r="AL81" s="581"/>
      <c r="AM81" s="581"/>
    </row>
    <row r="82" spans="1:39" ht="93" hidden="1" x14ac:dyDescent="0.25">
      <c r="A82" s="572">
        <f t="shared" si="3"/>
        <v>63</v>
      </c>
      <c r="B82" s="573" t="s">
        <v>481</v>
      </c>
      <c r="C82" s="574">
        <v>81112502</v>
      </c>
      <c r="D82" s="575" t="s">
        <v>207</v>
      </c>
      <c r="E82" s="573" t="s">
        <v>48</v>
      </c>
      <c r="F82" s="573">
        <v>1</v>
      </c>
      <c r="G82" s="576" t="s">
        <v>166</v>
      </c>
      <c r="H82" s="577">
        <v>36</v>
      </c>
      <c r="I82" s="573" t="s">
        <v>173</v>
      </c>
      <c r="J82" s="573" t="s">
        <v>35</v>
      </c>
      <c r="K82" s="573" t="s">
        <v>161</v>
      </c>
      <c r="L82" s="578">
        <f>M82/5*36</f>
        <v>742768941.60000002</v>
      </c>
      <c r="M82" s="579">
        <v>103162353</v>
      </c>
      <c r="N82" s="573" t="s">
        <v>49</v>
      </c>
      <c r="O82" s="573" t="s">
        <v>301</v>
      </c>
      <c r="P82" s="573" t="s">
        <v>306</v>
      </c>
      <c r="Q82" s="80"/>
      <c r="R82" s="594"/>
      <c r="S82" s="581"/>
      <c r="T82" s="581"/>
      <c r="U82" s="581"/>
      <c r="V82" s="581"/>
      <c r="W82" s="581"/>
      <c r="X82" s="581"/>
      <c r="Y82" s="581"/>
      <c r="Z82" s="581"/>
      <c r="AA82" s="581"/>
      <c r="AB82" s="581"/>
      <c r="AC82" s="581"/>
      <c r="AD82" s="581"/>
      <c r="AE82" s="581"/>
      <c r="AF82" s="581"/>
      <c r="AG82" s="581"/>
      <c r="AH82" s="581"/>
      <c r="AI82" s="581"/>
      <c r="AJ82" s="581"/>
      <c r="AK82" s="581"/>
      <c r="AL82" s="581"/>
      <c r="AM82" s="581"/>
    </row>
    <row r="83" spans="1:39" ht="93" hidden="1" x14ac:dyDescent="0.25">
      <c r="A83" s="572">
        <f t="shared" si="3"/>
        <v>64</v>
      </c>
      <c r="B83" s="573" t="s">
        <v>481</v>
      </c>
      <c r="C83" s="574">
        <v>43222815</v>
      </c>
      <c r="D83" s="575" t="s">
        <v>213</v>
      </c>
      <c r="E83" s="573" t="s">
        <v>48</v>
      </c>
      <c r="F83" s="573">
        <v>1</v>
      </c>
      <c r="G83" s="576" t="s">
        <v>166</v>
      </c>
      <c r="H83" s="577">
        <v>36</v>
      </c>
      <c r="I83" s="573" t="s">
        <v>173</v>
      </c>
      <c r="J83" s="573" t="s">
        <v>35</v>
      </c>
      <c r="K83" s="573" t="s">
        <v>161</v>
      </c>
      <c r="L83" s="578">
        <f>M83/5*36</f>
        <v>486565344</v>
      </c>
      <c r="M83" s="579">
        <v>67578520</v>
      </c>
      <c r="N83" s="573" t="s">
        <v>49</v>
      </c>
      <c r="O83" s="573" t="s">
        <v>301</v>
      </c>
      <c r="P83" s="573" t="s">
        <v>306</v>
      </c>
      <c r="Q83" s="80"/>
      <c r="R83" s="594"/>
      <c r="S83" s="581"/>
      <c r="T83" s="581"/>
      <c r="U83" s="581"/>
      <c r="V83" s="581"/>
      <c r="W83" s="581"/>
      <c r="X83" s="581"/>
      <c r="Y83" s="581"/>
      <c r="Z83" s="581"/>
      <c r="AA83" s="581"/>
      <c r="AB83" s="581"/>
      <c r="AC83" s="581"/>
      <c r="AD83" s="581"/>
      <c r="AE83" s="581"/>
      <c r="AF83" s="581"/>
      <c r="AG83" s="581"/>
      <c r="AH83" s="581"/>
      <c r="AI83" s="581"/>
      <c r="AJ83" s="581"/>
      <c r="AK83" s="581"/>
      <c r="AL83" s="581"/>
      <c r="AM83" s="581"/>
    </row>
    <row r="84" spans="1:39" ht="93" hidden="1" x14ac:dyDescent="0.25">
      <c r="A84" s="572">
        <f t="shared" si="3"/>
        <v>65</v>
      </c>
      <c r="B84" s="573" t="s">
        <v>481</v>
      </c>
      <c r="C84" s="574">
        <v>93151502</v>
      </c>
      <c r="D84" s="575" t="s">
        <v>214</v>
      </c>
      <c r="E84" s="573" t="s">
        <v>48</v>
      </c>
      <c r="F84" s="573">
        <v>1</v>
      </c>
      <c r="G84" s="576" t="s">
        <v>166</v>
      </c>
      <c r="H84" s="577">
        <v>36</v>
      </c>
      <c r="I84" s="573" t="s">
        <v>303</v>
      </c>
      <c r="J84" s="573" t="s">
        <v>35</v>
      </c>
      <c r="K84" s="573" t="s">
        <v>161</v>
      </c>
      <c r="L84" s="578">
        <f>M84/5*36</f>
        <v>1169603942.3999999</v>
      </c>
      <c r="M84" s="579">
        <v>162444992</v>
      </c>
      <c r="N84" s="573" t="s">
        <v>49</v>
      </c>
      <c r="O84" s="573" t="s">
        <v>301</v>
      </c>
      <c r="P84" s="573" t="s">
        <v>306</v>
      </c>
      <c r="Q84" s="80"/>
      <c r="R84" s="594"/>
      <c r="S84" s="581"/>
      <c r="T84" s="581"/>
      <c r="U84" s="581"/>
      <c r="V84" s="581"/>
      <c r="W84" s="581"/>
      <c r="X84" s="581"/>
      <c r="Y84" s="581"/>
      <c r="Z84" s="581"/>
      <c r="AA84" s="581"/>
      <c r="AB84" s="581"/>
      <c r="AC84" s="581"/>
      <c r="AD84" s="581"/>
      <c r="AE84" s="581"/>
      <c r="AF84" s="581"/>
      <c r="AG84" s="581"/>
      <c r="AH84" s="581"/>
      <c r="AI84" s="581"/>
      <c r="AJ84" s="581"/>
      <c r="AK84" s="581"/>
      <c r="AL84" s="581"/>
      <c r="AM84" s="581"/>
    </row>
    <row r="85" spans="1:39" ht="103.15" hidden="1" customHeight="1" x14ac:dyDescent="0.25">
      <c r="A85" s="572">
        <f t="shared" si="3"/>
        <v>66</v>
      </c>
      <c r="B85" s="573" t="s">
        <v>481</v>
      </c>
      <c r="C85" s="574">
        <v>81112006</v>
      </c>
      <c r="D85" s="575" t="s">
        <v>217</v>
      </c>
      <c r="E85" s="573" t="s">
        <v>48</v>
      </c>
      <c r="F85" s="573">
        <v>1</v>
      </c>
      <c r="G85" s="576" t="s">
        <v>73</v>
      </c>
      <c r="H85" s="577">
        <v>12</v>
      </c>
      <c r="I85" s="573" t="s">
        <v>55</v>
      </c>
      <c r="J85" s="573" t="s">
        <v>35</v>
      </c>
      <c r="K85" s="573" t="s">
        <v>216</v>
      </c>
      <c r="L85" s="578">
        <v>3850000.0000000005</v>
      </c>
      <c r="M85" s="579">
        <v>3850000.0000000005</v>
      </c>
      <c r="N85" s="573" t="s">
        <v>51</v>
      </c>
      <c r="O85" s="573" t="s">
        <v>36</v>
      </c>
      <c r="P85" s="573" t="s">
        <v>306</v>
      </c>
      <c r="Q85" s="80"/>
      <c r="R85" s="594"/>
      <c r="S85" s="581"/>
      <c r="T85" s="581"/>
      <c r="U85" s="581"/>
      <c r="V85" s="581"/>
      <c r="W85" s="581"/>
      <c r="X85" s="581"/>
      <c r="Y85" s="581"/>
      <c r="Z85" s="581"/>
      <c r="AA85" s="581"/>
      <c r="AB85" s="581"/>
      <c r="AC85" s="581"/>
      <c r="AD85" s="581"/>
      <c r="AE85" s="581"/>
      <c r="AF85" s="581"/>
      <c r="AG85" s="581"/>
      <c r="AH85" s="581"/>
      <c r="AI85" s="581"/>
      <c r="AJ85" s="581"/>
      <c r="AK85" s="581"/>
      <c r="AL85" s="581"/>
      <c r="AM85" s="581"/>
    </row>
    <row r="86" spans="1:39" ht="93" hidden="1" x14ac:dyDescent="0.25">
      <c r="A86" s="572">
        <f t="shared" si="3"/>
        <v>67</v>
      </c>
      <c r="B86" s="573" t="s">
        <v>481</v>
      </c>
      <c r="C86" s="574">
        <v>43233004</v>
      </c>
      <c r="D86" s="575" t="s">
        <v>275</v>
      </c>
      <c r="E86" s="573" t="s">
        <v>48</v>
      </c>
      <c r="F86" s="573">
        <v>1</v>
      </c>
      <c r="G86" s="576" t="s">
        <v>80</v>
      </c>
      <c r="H86" s="577">
        <v>12</v>
      </c>
      <c r="I86" s="573" t="s">
        <v>283</v>
      </c>
      <c r="J86" s="573" t="s">
        <v>66</v>
      </c>
      <c r="K86" s="573" t="s">
        <v>574</v>
      </c>
      <c r="L86" s="578">
        <v>44044250.800000004</v>
      </c>
      <c r="M86" s="579">
        <v>44044251</v>
      </c>
      <c r="N86" s="573" t="s">
        <v>51</v>
      </c>
      <c r="O86" s="573" t="s">
        <v>36</v>
      </c>
      <c r="P86" s="573" t="s">
        <v>306</v>
      </c>
      <c r="Q86" s="80"/>
      <c r="R86" s="594"/>
      <c r="S86" s="581"/>
      <c r="T86" s="581"/>
      <c r="U86" s="581"/>
      <c r="V86" s="581"/>
      <c r="W86" s="581"/>
      <c r="X86" s="581"/>
      <c r="Y86" s="581"/>
      <c r="Z86" s="581"/>
      <c r="AA86" s="581"/>
      <c r="AB86" s="581"/>
      <c r="AC86" s="581"/>
      <c r="AD86" s="581"/>
      <c r="AE86" s="581"/>
      <c r="AF86" s="581"/>
      <c r="AG86" s="581"/>
      <c r="AH86" s="581"/>
      <c r="AI86" s="581"/>
      <c r="AJ86" s="581"/>
      <c r="AK86" s="581"/>
      <c r="AL86" s="581"/>
      <c r="AM86" s="581"/>
    </row>
    <row r="87" spans="1:39" ht="93" hidden="1" x14ac:dyDescent="0.25">
      <c r="A87" s="572">
        <f t="shared" si="3"/>
        <v>68</v>
      </c>
      <c r="B87" s="573" t="s">
        <v>481</v>
      </c>
      <c r="C87" s="574">
        <v>81111812</v>
      </c>
      <c r="D87" s="575" t="s">
        <v>165</v>
      </c>
      <c r="E87" s="573" t="s">
        <v>68</v>
      </c>
      <c r="F87" s="573">
        <v>1</v>
      </c>
      <c r="G87" s="576" t="s">
        <v>79</v>
      </c>
      <c r="H87" s="577">
        <v>12</v>
      </c>
      <c r="I87" s="573" t="s">
        <v>283</v>
      </c>
      <c r="J87" s="573" t="s">
        <v>66</v>
      </c>
      <c r="K87" s="573" t="s">
        <v>574</v>
      </c>
      <c r="L87" s="578">
        <v>31853134.500000004</v>
      </c>
      <c r="M87" s="579">
        <v>31853135</v>
      </c>
      <c r="N87" s="573" t="s">
        <v>51</v>
      </c>
      <c r="O87" s="573" t="s">
        <v>36</v>
      </c>
      <c r="P87" s="573" t="s">
        <v>306</v>
      </c>
      <c r="Q87" s="80"/>
      <c r="R87" s="594"/>
      <c r="S87" s="581"/>
      <c r="T87" s="581"/>
      <c r="U87" s="581"/>
      <c r="V87" s="581"/>
      <c r="W87" s="581"/>
      <c r="X87" s="581"/>
      <c r="Y87" s="581"/>
      <c r="Z87" s="581"/>
      <c r="AA87" s="581"/>
      <c r="AB87" s="581"/>
      <c r="AC87" s="581"/>
      <c r="AD87" s="581"/>
      <c r="AE87" s="581"/>
      <c r="AF87" s="581"/>
      <c r="AG87" s="581"/>
      <c r="AH87" s="581"/>
      <c r="AI87" s="581"/>
      <c r="AJ87" s="581"/>
      <c r="AK87" s="581"/>
      <c r="AL87" s="581"/>
      <c r="AM87" s="581"/>
    </row>
    <row r="88" spans="1:39" ht="93" hidden="1" x14ac:dyDescent="0.25">
      <c r="A88" s="572">
        <f t="shared" si="3"/>
        <v>69</v>
      </c>
      <c r="B88" s="573" t="s">
        <v>481</v>
      </c>
      <c r="C88" s="574">
        <v>81112501</v>
      </c>
      <c r="D88" s="575" t="s">
        <v>208</v>
      </c>
      <c r="E88" s="573" t="s">
        <v>48</v>
      </c>
      <c r="F88" s="573">
        <v>1</v>
      </c>
      <c r="G88" s="576" t="s">
        <v>79</v>
      </c>
      <c r="H88" s="577">
        <v>24</v>
      </c>
      <c r="I88" s="573" t="s">
        <v>167</v>
      </c>
      <c r="J88" s="573" t="s">
        <v>66</v>
      </c>
      <c r="K88" s="573" t="s">
        <v>574</v>
      </c>
      <c r="L88" s="578">
        <v>600000000</v>
      </c>
      <c r="M88" s="579">
        <v>300000000</v>
      </c>
      <c r="N88" s="573" t="s">
        <v>49</v>
      </c>
      <c r="O88" s="573" t="s">
        <v>436</v>
      </c>
      <c r="P88" s="573" t="s">
        <v>306</v>
      </c>
      <c r="Q88" s="80"/>
      <c r="R88" s="594"/>
      <c r="S88" s="581"/>
      <c r="T88" s="581"/>
      <c r="U88" s="581"/>
      <c r="V88" s="581"/>
      <c r="W88" s="581"/>
      <c r="X88" s="581"/>
      <c r="Y88" s="581"/>
      <c r="Z88" s="581"/>
      <c r="AA88" s="581"/>
      <c r="AB88" s="581"/>
      <c r="AC88" s="581"/>
      <c r="AD88" s="581"/>
      <c r="AE88" s="581"/>
      <c r="AF88" s="581"/>
      <c r="AG88" s="581"/>
      <c r="AH88" s="581"/>
      <c r="AI88" s="581"/>
      <c r="AJ88" s="581"/>
      <c r="AK88" s="581"/>
      <c r="AL88" s="581"/>
      <c r="AM88" s="581"/>
    </row>
    <row r="89" spans="1:39" ht="93" hidden="1" x14ac:dyDescent="0.25">
      <c r="A89" s="572">
        <f t="shared" si="3"/>
        <v>70</v>
      </c>
      <c r="B89" s="573" t="s">
        <v>481</v>
      </c>
      <c r="C89" s="574">
        <v>81112501</v>
      </c>
      <c r="D89" s="575" t="s">
        <v>168</v>
      </c>
      <c r="E89" s="573" t="s">
        <v>68</v>
      </c>
      <c r="F89" s="573">
        <v>1</v>
      </c>
      <c r="G89" s="576" t="s">
        <v>77</v>
      </c>
      <c r="H89" s="577" t="s">
        <v>194</v>
      </c>
      <c r="I89" s="573" t="s">
        <v>283</v>
      </c>
      <c r="J89" s="573" t="s">
        <v>66</v>
      </c>
      <c r="K89" s="573" t="s">
        <v>574</v>
      </c>
      <c r="L89" s="578">
        <v>43000000</v>
      </c>
      <c r="M89" s="579">
        <v>43000000</v>
      </c>
      <c r="N89" s="573" t="s">
        <v>51</v>
      </c>
      <c r="O89" s="573" t="s">
        <v>36</v>
      </c>
      <c r="P89" s="573" t="s">
        <v>306</v>
      </c>
      <c r="Q89" s="80"/>
      <c r="R89" s="594"/>
      <c r="S89" s="581"/>
      <c r="T89" s="581"/>
      <c r="U89" s="581"/>
      <c r="V89" s="581"/>
      <c r="W89" s="581"/>
      <c r="X89" s="581"/>
      <c r="Y89" s="581"/>
      <c r="Z89" s="581"/>
      <c r="AA89" s="581"/>
      <c r="AB89" s="581"/>
      <c r="AC89" s="581"/>
      <c r="AD89" s="581"/>
      <c r="AE89" s="581"/>
      <c r="AF89" s="581"/>
      <c r="AG89" s="581"/>
      <c r="AH89" s="581"/>
      <c r="AI89" s="581"/>
      <c r="AJ89" s="581"/>
      <c r="AK89" s="581"/>
      <c r="AL89" s="581"/>
      <c r="AM89" s="581"/>
    </row>
    <row r="90" spans="1:39" ht="116.25" hidden="1" x14ac:dyDescent="0.25">
      <c r="A90" s="572">
        <f t="shared" ref="A90:A121" si="4">SUM(A89+1)</f>
        <v>71</v>
      </c>
      <c r="B90" s="573" t="s">
        <v>481</v>
      </c>
      <c r="C90" s="574">
        <v>81112501</v>
      </c>
      <c r="D90" s="575" t="s">
        <v>169</v>
      </c>
      <c r="E90" s="573" t="s">
        <v>48</v>
      </c>
      <c r="F90" s="573">
        <v>1</v>
      </c>
      <c r="G90" s="576" t="s">
        <v>78</v>
      </c>
      <c r="H90" s="577">
        <v>12</v>
      </c>
      <c r="I90" s="573" t="s">
        <v>252</v>
      </c>
      <c r="J90" s="573" t="s">
        <v>66</v>
      </c>
      <c r="K90" s="573" t="s">
        <v>574</v>
      </c>
      <c r="L90" s="578">
        <v>11330000</v>
      </c>
      <c r="M90" s="579">
        <v>11330000</v>
      </c>
      <c r="N90" s="573" t="s">
        <v>51</v>
      </c>
      <c r="O90" s="573" t="s">
        <v>36</v>
      </c>
      <c r="P90" s="573" t="s">
        <v>306</v>
      </c>
      <c r="Q90" s="80"/>
      <c r="R90" s="594"/>
      <c r="S90" s="581"/>
      <c r="T90" s="581"/>
      <c r="U90" s="581"/>
      <c r="V90" s="581"/>
      <c r="W90" s="581"/>
      <c r="X90" s="581"/>
      <c r="Y90" s="581"/>
      <c r="Z90" s="581"/>
      <c r="AA90" s="581"/>
      <c r="AB90" s="581"/>
      <c r="AC90" s="581"/>
      <c r="AD90" s="581"/>
      <c r="AE90" s="581"/>
      <c r="AF90" s="581"/>
      <c r="AG90" s="581"/>
      <c r="AH90" s="581"/>
      <c r="AI90" s="581"/>
      <c r="AJ90" s="581"/>
      <c r="AK90" s="581"/>
      <c r="AL90" s="581"/>
      <c r="AM90" s="581"/>
    </row>
    <row r="91" spans="1:39" ht="93" hidden="1" x14ac:dyDescent="0.25">
      <c r="A91" s="572">
        <f t="shared" si="4"/>
        <v>72</v>
      </c>
      <c r="B91" s="573" t="s">
        <v>481</v>
      </c>
      <c r="C91" s="574">
        <v>93151502</v>
      </c>
      <c r="D91" s="575" t="s">
        <v>69</v>
      </c>
      <c r="E91" s="573" t="s">
        <v>68</v>
      </c>
      <c r="F91" s="573">
        <v>1</v>
      </c>
      <c r="G91" s="576" t="s">
        <v>73</v>
      </c>
      <c r="H91" s="577">
        <v>12</v>
      </c>
      <c r="I91" s="573" t="s">
        <v>283</v>
      </c>
      <c r="J91" s="573" t="s">
        <v>66</v>
      </c>
      <c r="K91" s="573" t="s">
        <v>574</v>
      </c>
      <c r="L91" s="578">
        <v>183458838</v>
      </c>
      <c r="M91" s="579">
        <v>183458838</v>
      </c>
      <c r="N91" s="573" t="s">
        <v>51</v>
      </c>
      <c r="O91" s="573" t="s">
        <v>36</v>
      </c>
      <c r="P91" s="573" t="s">
        <v>306</v>
      </c>
      <c r="Q91" s="80"/>
      <c r="R91" s="594"/>
      <c r="S91" s="581"/>
      <c r="T91" s="581"/>
      <c r="U91" s="581"/>
      <c r="V91" s="581"/>
      <c r="W91" s="581"/>
      <c r="X91" s="581"/>
      <c r="Y91" s="581"/>
      <c r="Z91" s="581"/>
      <c r="AA91" s="581"/>
      <c r="AB91" s="581"/>
      <c r="AC91" s="581"/>
      <c r="AD91" s="581"/>
      <c r="AE91" s="581"/>
      <c r="AF91" s="581"/>
      <c r="AG91" s="581"/>
      <c r="AH91" s="581"/>
      <c r="AI91" s="581"/>
      <c r="AJ91" s="581"/>
      <c r="AK91" s="581"/>
      <c r="AL91" s="581"/>
      <c r="AM91" s="581"/>
    </row>
    <row r="92" spans="1:39" ht="93" hidden="1" x14ac:dyDescent="0.25">
      <c r="A92" s="572">
        <f t="shared" si="4"/>
        <v>73</v>
      </c>
      <c r="B92" s="573" t="s">
        <v>481</v>
      </c>
      <c r="C92" s="574">
        <v>93151502</v>
      </c>
      <c r="D92" s="575" t="s">
        <v>209</v>
      </c>
      <c r="E92" s="573" t="s">
        <v>68</v>
      </c>
      <c r="F92" s="573">
        <v>1</v>
      </c>
      <c r="G92" s="576" t="s">
        <v>80</v>
      </c>
      <c r="H92" s="577">
        <v>12</v>
      </c>
      <c r="I92" s="573" t="s">
        <v>283</v>
      </c>
      <c r="J92" s="573" t="s">
        <v>66</v>
      </c>
      <c r="K92" s="573" t="s">
        <v>574</v>
      </c>
      <c r="L92" s="578">
        <v>252535187</v>
      </c>
      <c r="M92" s="579">
        <v>252535187</v>
      </c>
      <c r="N92" s="573" t="s">
        <v>51</v>
      </c>
      <c r="O92" s="573" t="s">
        <v>36</v>
      </c>
      <c r="P92" s="573" t="s">
        <v>306</v>
      </c>
      <c r="Q92" s="80"/>
      <c r="R92" s="594"/>
      <c r="S92" s="581"/>
      <c r="T92" s="581"/>
      <c r="U92" s="581"/>
      <c r="V92" s="581"/>
      <c r="W92" s="581"/>
      <c r="X92" s="581"/>
      <c r="Y92" s="581"/>
      <c r="Z92" s="581"/>
      <c r="AA92" s="581"/>
      <c r="AB92" s="581"/>
      <c r="AC92" s="581"/>
      <c r="AD92" s="581"/>
      <c r="AE92" s="581"/>
      <c r="AF92" s="581"/>
      <c r="AG92" s="581"/>
      <c r="AH92" s="581"/>
      <c r="AI92" s="581"/>
      <c r="AJ92" s="581"/>
      <c r="AK92" s="581"/>
      <c r="AL92" s="581"/>
      <c r="AM92" s="581"/>
    </row>
    <row r="93" spans="1:39" ht="162.75" hidden="1" x14ac:dyDescent="0.25">
      <c r="A93" s="572">
        <f t="shared" si="4"/>
        <v>74</v>
      </c>
      <c r="B93" s="573" t="s">
        <v>481</v>
      </c>
      <c r="C93" s="574">
        <v>81112501</v>
      </c>
      <c r="D93" s="575" t="s">
        <v>210</v>
      </c>
      <c r="E93" s="573" t="s">
        <v>68</v>
      </c>
      <c r="F93" s="573">
        <v>1</v>
      </c>
      <c r="G93" s="576" t="s">
        <v>74</v>
      </c>
      <c r="H93" s="577" t="s">
        <v>194</v>
      </c>
      <c r="I93" s="573" t="s">
        <v>283</v>
      </c>
      <c r="J93" s="573" t="s">
        <v>66</v>
      </c>
      <c r="K93" s="573" t="s">
        <v>574</v>
      </c>
      <c r="L93" s="578">
        <v>30000000</v>
      </c>
      <c r="M93" s="579">
        <v>30000000</v>
      </c>
      <c r="N93" s="573" t="s">
        <v>51</v>
      </c>
      <c r="O93" s="573" t="s">
        <v>36</v>
      </c>
      <c r="P93" s="573" t="s">
        <v>306</v>
      </c>
      <c r="Q93" s="80"/>
      <c r="R93" s="594"/>
      <c r="S93" s="581"/>
      <c r="T93" s="581"/>
      <c r="U93" s="581"/>
      <c r="V93" s="581"/>
      <c r="W93" s="581"/>
      <c r="X93" s="581"/>
      <c r="Y93" s="581"/>
      <c r="Z93" s="581"/>
      <c r="AA93" s="581"/>
      <c r="AB93" s="581"/>
      <c r="AC93" s="581"/>
      <c r="AD93" s="581"/>
      <c r="AE93" s="581"/>
      <c r="AF93" s="581"/>
      <c r="AG93" s="581"/>
      <c r="AH93" s="581"/>
      <c r="AI93" s="581"/>
      <c r="AJ93" s="581"/>
      <c r="AK93" s="581"/>
      <c r="AL93" s="581"/>
      <c r="AM93" s="581"/>
    </row>
    <row r="94" spans="1:39" ht="93" hidden="1" x14ac:dyDescent="0.25">
      <c r="A94" s="572">
        <f t="shared" si="4"/>
        <v>75</v>
      </c>
      <c r="B94" s="573" t="s">
        <v>481</v>
      </c>
      <c r="C94" s="574">
        <v>80101706</v>
      </c>
      <c r="D94" s="575" t="s">
        <v>82</v>
      </c>
      <c r="E94" s="573" t="s">
        <v>68</v>
      </c>
      <c r="F94" s="573">
        <v>1</v>
      </c>
      <c r="G94" s="576" t="s">
        <v>80</v>
      </c>
      <c r="H94" s="577" t="s">
        <v>194</v>
      </c>
      <c r="I94" s="573" t="s">
        <v>61</v>
      </c>
      <c r="J94" s="573" t="s">
        <v>66</v>
      </c>
      <c r="K94" s="573" t="s">
        <v>574</v>
      </c>
      <c r="L94" s="578">
        <v>44067420</v>
      </c>
      <c r="M94" s="579">
        <v>44067420</v>
      </c>
      <c r="N94" s="573" t="s">
        <v>51</v>
      </c>
      <c r="O94" s="573" t="s">
        <v>36</v>
      </c>
      <c r="P94" s="573" t="s">
        <v>306</v>
      </c>
      <c r="Q94" s="80"/>
      <c r="R94" s="594"/>
      <c r="S94" s="581"/>
      <c r="T94" s="581"/>
      <c r="U94" s="581"/>
      <c r="V94" s="581"/>
      <c r="W94" s="581"/>
      <c r="X94" s="581"/>
      <c r="Y94" s="581"/>
      <c r="Z94" s="581"/>
      <c r="AA94" s="581"/>
      <c r="AB94" s="581"/>
      <c r="AC94" s="581"/>
      <c r="AD94" s="581"/>
      <c r="AE94" s="581"/>
      <c r="AF94" s="581"/>
      <c r="AG94" s="581"/>
      <c r="AH94" s="581"/>
      <c r="AI94" s="581"/>
      <c r="AJ94" s="581"/>
      <c r="AK94" s="581"/>
      <c r="AL94" s="581"/>
      <c r="AM94" s="581"/>
    </row>
    <row r="95" spans="1:39" ht="93" hidden="1" x14ac:dyDescent="0.25">
      <c r="A95" s="572">
        <f t="shared" si="4"/>
        <v>76</v>
      </c>
      <c r="B95" s="573" t="s">
        <v>481</v>
      </c>
      <c r="C95" s="574">
        <v>43211507</v>
      </c>
      <c r="D95" s="575" t="s">
        <v>286</v>
      </c>
      <c r="E95" s="573" t="s">
        <v>68</v>
      </c>
      <c r="F95" s="573">
        <v>1</v>
      </c>
      <c r="G95" s="576" t="s">
        <v>74</v>
      </c>
      <c r="H95" s="577">
        <v>12</v>
      </c>
      <c r="I95" s="573" t="s">
        <v>283</v>
      </c>
      <c r="J95" s="573" t="s">
        <v>66</v>
      </c>
      <c r="K95" s="573" t="s">
        <v>574</v>
      </c>
      <c r="L95" s="578">
        <v>100000000</v>
      </c>
      <c r="M95" s="579">
        <v>100000000</v>
      </c>
      <c r="N95" s="573" t="s">
        <v>51</v>
      </c>
      <c r="O95" s="573" t="s">
        <v>36</v>
      </c>
      <c r="P95" s="573" t="s">
        <v>306</v>
      </c>
      <c r="Q95" s="80"/>
      <c r="R95" s="594"/>
      <c r="S95" s="581"/>
      <c r="T95" s="581"/>
      <c r="U95" s="581"/>
      <c r="V95" s="581"/>
      <c r="W95" s="581"/>
      <c r="X95" s="581"/>
      <c r="Y95" s="581"/>
      <c r="Z95" s="581"/>
      <c r="AA95" s="581"/>
      <c r="AB95" s="581"/>
      <c r="AC95" s="581"/>
      <c r="AD95" s="581"/>
      <c r="AE95" s="581"/>
      <c r="AF95" s="581"/>
      <c r="AG95" s="581"/>
      <c r="AH95" s="581"/>
      <c r="AI95" s="581"/>
      <c r="AJ95" s="581"/>
      <c r="AK95" s="581"/>
      <c r="AL95" s="581"/>
      <c r="AM95" s="581"/>
    </row>
    <row r="96" spans="1:39" ht="93" hidden="1" x14ac:dyDescent="0.25">
      <c r="A96" s="572">
        <f t="shared" si="4"/>
        <v>77</v>
      </c>
      <c r="B96" s="573" t="s">
        <v>263</v>
      </c>
      <c r="C96" s="574">
        <v>80101706</v>
      </c>
      <c r="D96" s="575" t="s">
        <v>492</v>
      </c>
      <c r="E96" s="573" t="s">
        <v>48</v>
      </c>
      <c r="F96" s="573">
        <v>1</v>
      </c>
      <c r="G96" s="576" t="s">
        <v>73</v>
      </c>
      <c r="H96" s="577">
        <v>5</v>
      </c>
      <c r="I96" s="573" t="s">
        <v>61</v>
      </c>
      <c r="J96" s="573" t="s">
        <v>66</v>
      </c>
      <c r="K96" s="573" t="s">
        <v>464</v>
      </c>
      <c r="L96" s="578">
        <v>19475000</v>
      </c>
      <c r="M96" s="579">
        <v>19475000</v>
      </c>
      <c r="N96" s="573" t="s">
        <v>51</v>
      </c>
      <c r="O96" s="573" t="s">
        <v>36</v>
      </c>
      <c r="P96" s="573" t="s">
        <v>493</v>
      </c>
      <c r="Q96" s="80"/>
      <c r="R96" s="596" t="s">
        <v>546</v>
      </c>
      <c r="S96" s="581"/>
      <c r="T96" s="581"/>
      <c r="U96" s="581"/>
      <c r="V96" s="581"/>
      <c r="W96" s="581"/>
      <c r="X96" s="581"/>
      <c r="Y96" s="581"/>
      <c r="Z96" s="581"/>
      <c r="AA96" s="581"/>
      <c r="AB96" s="581"/>
      <c r="AC96" s="581"/>
      <c r="AD96" s="581"/>
      <c r="AE96" s="581"/>
      <c r="AF96" s="581"/>
      <c r="AG96" s="581"/>
      <c r="AH96" s="581"/>
      <c r="AI96" s="581"/>
      <c r="AJ96" s="581"/>
      <c r="AK96" s="581"/>
      <c r="AL96" s="581"/>
      <c r="AM96" s="581"/>
    </row>
    <row r="97" spans="1:39" ht="116.25" x14ac:dyDescent="0.25">
      <c r="A97" s="572">
        <f t="shared" si="4"/>
        <v>78</v>
      </c>
      <c r="B97" s="573" t="s">
        <v>481</v>
      </c>
      <c r="C97" s="574">
        <v>81112501</v>
      </c>
      <c r="D97" s="575" t="s">
        <v>267</v>
      </c>
      <c r="E97" s="573" t="s">
        <v>68</v>
      </c>
      <c r="F97" s="573">
        <v>1</v>
      </c>
      <c r="G97" s="576" t="s">
        <v>76</v>
      </c>
      <c r="H97" s="577">
        <v>5</v>
      </c>
      <c r="I97" s="573" t="s">
        <v>61</v>
      </c>
      <c r="J97" s="573" t="s">
        <v>66</v>
      </c>
      <c r="K97" s="573" t="s">
        <v>484</v>
      </c>
      <c r="L97" s="578">
        <v>250000000</v>
      </c>
      <c r="M97" s="579">
        <v>250000000</v>
      </c>
      <c r="N97" s="573" t="s">
        <v>51</v>
      </c>
      <c r="O97" s="573" t="s">
        <v>36</v>
      </c>
      <c r="P97" s="573" t="s">
        <v>306</v>
      </c>
      <c r="Q97" s="80"/>
      <c r="R97" s="594"/>
      <c r="S97" s="581"/>
      <c r="T97" s="581"/>
      <c r="U97" s="581"/>
      <c r="V97" s="581"/>
      <c r="W97" s="581"/>
      <c r="X97" s="581"/>
      <c r="Y97" s="581"/>
      <c r="Z97" s="581"/>
      <c r="AA97" s="581"/>
      <c r="AB97" s="581"/>
      <c r="AC97" s="581"/>
      <c r="AD97" s="581"/>
      <c r="AE97" s="581"/>
      <c r="AF97" s="581"/>
      <c r="AG97" s="581"/>
      <c r="AH97" s="581"/>
      <c r="AI97" s="581"/>
      <c r="AJ97" s="581"/>
      <c r="AK97" s="581"/>
      <c r="AL97" s="581"/>
      <c r="AM97" s="581"/>
    </row>
    <row r="98" spans="1:39" ht="116.25" x14ac:dyDescent="0.25">
      <c r="A98" s="572">
        <f t="shared" si="4"/>
        <v>79</v>
      </c>
      <c r="B98" s="573" t="s">
        <v>481</v>
      </c>
      <c r="C98" s="574">
        <v>81112501</v>
      </c>
      <c r="D98" s="575" t="s">
        <v>266</v>
      </c>
      <c r="E98" s="573" t="s">
        <v>68</v>
      </c>
      <c r="F98" s="573">
        <v>1</v>
      </c>
      <c r="G98" s="576" t="s">
        <v>80</v>
      </c>
      <c r="H98" s="577">
        <v>5</v>
      </c>
      <c r="I98" s="573" t="s">
        <v>61</v>
      </c>
      <c r="J98" s="573" t="s">
        <v>66</v>
      </c>
      <c r="K98" s="573" t="s">
        <v>484</v>
      </c>
      <c r="L98" s="578">
        <v>250000000</v>
      </c>
      <c r="M98" s="579">
        <v>250000000</v>
      </c>
      <c r="N98" s="573" t="s">
        <v>51</v>
      </c>
      <c r="O98" s="573" t="s">
        <v>36</v>
      </c>
      <c r="P98" s="573" t="s">
        <v>306</v>
      </c>
      <c r="Q98" s="80"/>
      <c r="R98" s="594"/>
      <c r="S98" s="581"/>
      <c r="T98" s="581"/>
      <c r="U98" s="581"/>
      <c r="V98" s="581"/>
      <c r="W98" s="581"/>
      <c r="X98" s="581"/>
      <c r="Y98" s="581"/>
      <c r="Z98" s="581"/>
      <c r="AA98" s="581"/>
      <c r="AB98" s="581"/>
      <c r="AC98" s="581"/>
      <c r="AD98" s="581"/>
      <c r="AE98" s="581"/>
      <c r="AF98" s="581"/>
      <c r="AG98" s="581"/>
      <c r="AH98" s="581"/>
      <c r="AI98" s="581"/>
      <c r="AJ98" s="581"/>
      <c r="AK98" s="581"/>
      <c r="AL98" s="581"/>
      <c r="AM98" s="581"/>
    </row>
    <row r="99" spans="1:39" ht="93" hidden="1" x14ac:dyDescent="0.25">
      <c r="A99" s="572">
        <f t="shared" si="4"/>
        <v>80</v>
      </c>
      <c r="B99" s="573" t="s">
        <v>481</v>
      </c>
      <c r="C99" s="574">
        <v>44111500</v>
      </c>
      <c r="D99" s="575" t="s">
        <v>268</v>
      </c>
      <c r="E99" s="573" t="s">
        <v>68</v>
      </c>
      <c r="F99" s="573">
        <v>1</v>
      </c>
      <c r="G99" s="576" t="s">
        <v>77</v>
      </c>
      <c r="H99" s="577">
        <v>12</v>
      </c>
      <c r="I99" s="573" t="s">
        <v>173</v>
      </c>
      <c r="J99" s="573" t="s">
        <v>66</v>
      </c>
      <c r="K99" s="573" t="s">
        <v>574</v>
      </c>
      <c r="L99" s="578">
        <v>370858400.00000006</v>
      </c>
      <c r="M99" s="579">
        <v>370858400.00000006</v>
      </c>
      <c r="N99" s="573" t="s">
        <v>51</v>
      </c>
      <c r="O99" s="573" t="s">
        <v>36</v>
      </c>
      <c r="P99" s="573" t="s">
        <v>306</v>
      </c>
      <c r="Q99" s="80"/>
      <c r="R99" s="594"/>
      <c r="S99" s="581"/>
      <c r="T99" s="581"/>
      <c r="U99" s="581"/>
      <c r="V99" s="581"/>
      <c r="W99" s="581"/>
      <c r="X99" s="581"/>
      <c r="Y99" s="581"/>
      <c r="Z99" s="581"/>
      <c r="AA99" s="581"/>
      <c r="AB99" s="581"/>
      <c r="AC99" s="581"/>
      <c r="AD99" s="581"/>
      <c r="AE99" s="581"/>
      <c r="AF99" s="581"/>
      <c r="AG99" s="581"/>
      <c r="AH99" s="581"/>
      <c r="AI99" s="581"/>
      <c r="AJ99" s="581"/>
      <c r="AK99" s="581"/>
      <c r="AL99" s="581"/>
      <c r="AM99" s="581"/>
    </row>
    <row r="100" spans="1:39" ht="93" hidden="1" x14ac:dyDescent="0.25">
      <c r="A100" s="572">
        <f t="shared" si="4"/>
        <v>81</v>
      </c>
      <c r="B100" s="573" t="s">
        <v>481</v>
      </c>
      <c r="C100" s="574">
        <v>43233205</v>
      </c>
      <c r="D100" s="575" t="s">
        <v>289</v>
      </c>
      <c r="E100" s="573" t="s">
        <v>68</v>
      </c>
      <c r="F100" s="573">
        <v>1</v>
      </c>
      <c r="G100" s="576" t="s">
        <v>77</v>
      </c>
      <c r="H100" s="577" t="s">
        <v>194</v>
      </c>
      <c r="I100" s="573" t="s">
        <v>252</v>
      </c>
      <c r="J100" s="573" t="s">
        <v>66</v>
      </c>
      <c r="K100" s="573" t="s">
        <v>574</v>
      </c>
      <c r="L100" s="578">
        <v>37400000</v>
      </c>
      <c r="M100" s="579">
        <v>37400000</v>
      </c>
      <c r="N100" s="573" t="s">
        <v>51</v>
      </c>
      <c r="O100" s="573" t="s">
        <v>36</v>
      </c>
      <c r="P100" s="573" t="s">
        <v>306</v>
      </c>
      <c r="Q100" s="80"/>
      <c r="R100" s="594"/>
      <c r="S100" s="581"/>
      <c r="T100" s="581"/>
      <c r="U100" s="581"/>
      <c r="V100" s="581"/>
      <c r="W100" s="581"/>
      <c r="X100" s="581"/>
      <c r="Y100" s="581"/>
      <c r="Z100" s="581"/>
      <c r="AA100" s="581"/>
      <c r="AB100" s="581"/>
      <c r="AC100" s="581"/>
      <c r="AD100" s="581"/>
      <c r="AE100" s="581"/>
      <c r="AF100" s="581"/>
      <c r="AG100" s="581"/>
      <c r="AH100" s="581"/>
      <c r="AI100" s="581"/>
      <c r="AJ100" s="581"/>
      <c r="AK100" s="581"/>
      <c r="AL100" s="581"/>
      <c r="AM100" s="581"/>
    </row>
    <row r="101" spans="1:39" ht="93" hidden="1" x14ac:dyDescent="0.25">
      <c r="A101" s="572">
        <f t="shared" si="4"/>
        <v>82</v>
      </c>
      <c r="B101" s="573" t="s">
        <v>481</v>
      </c>
      <c r="C101" s="574">
        <v>43233501</v>
      </c>
      <c r="D101" s="575" t="s">
        <v>290</v>
      </c>
      <c r="E101" s="573" t="s">
        <v>68</v>
      </c>
      <c r="F101" s="573">
        <v>1</v>
      </c>
      <c r="G101" s="576" t="s">
        <v>77</v>
      </c>
      <c r="H101" s="577" t="s">
        <v>194</v>
      </c>
      <c r="I101" s="573" t="s">
        <v>252</v>
      </c>
      <c r="J101" s="573" t="s">
        <v>66</v>
      </c>
      <c r="K101" s="573" t="s">
        <v>574</v>
      </c>
      <c r="L101" s="578">
        <v>40000000</v>
      </c>
      <c r="M101" s="579">
        <v>40000000</v>
      </c>
      <c r="N101" s="573" t="s">
        <v>51</v>
      </c>
      <c r="O101" s="573" t="s">
        <v>36</v>
      </c>
      <c r="P101" s="573" t="s">
        <v>306</v>
      </c>
      <c r="Q101" s="80"/>
      <c r="R101" s="594"/>
      <c r="S101" s="581"/>
      <c r="T101" s="581"/>
      <c r="U101" s="581"/>
      <c r="V101" s="581"/>
      <c r="W101" s="581"/>
      <c r="X101" s="581"/>
      <c r="Y101" s="581"/>
      <c r="Z101" s="581"/>
      <c r="AA101" s="581"/>
      <c r="AB101" s="581"/>
      <c r="AC101" s="581"/>
      <c r="AD101" s="581"/>
      <c r="AE101" s="581"/>
      <c r="AF101" s="581"/>
      <c r="AG101" s="581"/>
      <c r="AH101" s="581"/>
      <c r="AI101" s="581"/>
      <c r="AJ101" s="581"/>
      <c r="AK101" s="581"/>
      <c r="AL101" s="581"/>
      <c r="AM101" s="581"/>
    </row>
    <row r="102" spans="1:39" ht="93" hidden="1" x14ac:dyDescent="0.25">
      <c r="A102" s="572">
        <f t="shared" si="4"/>
        <v>83</v>
      </c>
      <c r="B102" s="573" t="s">
        <v>481</v>
      </c>
      <c r="C102" s="574">
        <v>43231508</v>
      </c>
      <c r="D102" s="575" t="s">
        <v>293</v>
      </c>
      <c r="E102" s="573" t="s">
        <v>68</v>
      </c>
      <c r="F102" s="573">
        <v>1</v>
      </c>
      <c r="G102" s="576" t="s">
        <v>77</v>
      </c>
      <c r="H102" s="577" t="s">
        <v>194</v>
      </c>
      <c r="I102" s="573" t="s">
        <v>252</v>
      </c>
      <c r="J102" s="573" t="s">
        <v>66</v>
      </c>
      <c r="K102" s="573" t="s">
        <v>574</v>
      </c>
      <c r="L102" s="578">
        <v>81400000</v>
      </c>
      <c r="M102" s="579">
        <v>81400000</v>
      </c>
      <c r="N102" s="573" t="s">
        <v>51</v>
      </c>
      <c r="O102" s="573" t="s">
        <v>36</v>
      </c>
      <c r="P102" s="573" t="s">
        <v>306</v>
      </c>
      <c r="Q102" s="80"/>
      <c r="R102" s="594"/>
      <c r="S102" s="581"/>
      <c r="T102" s="581"/>
      <c r="U102" s="581"/>
      <c r="V102" s="581"/>
      <c r="W102" s="581"/>
      <c r="X102" s="581"/>
      <c r="Y102" s="581"/>
      <c r="Z102" s="581"/>
      <c r="AA102" s="581"/>
      <c r="AB102" s="581"/>
      <c r="AC102" s="581"/>
      <c r="AD102" s="581"/>
      <c r="AE102" s="581"/>
      <c r="AF102" s="581"/>
      <c r="AG102" s="581"/>
      <c r="AH102" s="581"/>
      <c r="AI102" s="581"/>
      <c r="AJ102" s="581"/>
      <c r="AK102" s="581"/>
      <c r="AL102" s="581"/>
      <c r="AM102" s="581"/>
    </row>
    <row r="103" spans="1:39" ht="93" hidden="1" x14ac:dyDescent="0.25">
      <c r="A103" s="572">
        <f t="shared" si="4"/>
        <v>84</v>
      </c>
      <c r="B103" s="573" t="s">
        <v>481</v>
      </c>
      <c r="C103" s="574">
        <v>43232703</v>
      </c>
      <c r="D103" s="575" t="s">
        <v>291</v>
      </c>
      <c r="E103" s="573" t="s">
        <v>68</v>
      </c>
      <c r="F103" s="573">
        <v>1</v>
      </c>
      <c r="G103" s="576" t="s">
        <v>78</v>
      </c>
      <c r="H103" s="577" t="s">
        <v>231</v>
      </c>
      <c r="I103" s="573" t="s">
        <v>252</v>
      </c>
      <c r="J103" s="573" t="s">
        <v>66</v>
      </c>
      <c r="K103" s="573" t="s">
        <v>574</v>
      </c>
      <c r="L103" s="578">
        <v>60000000</v>
      </c>
      <c r="M103" s="579">
        <v>60000000</v>
      </c>
      <c r="N103" s="573" t="s">
        <v>51</v>
      </c>
      <c r="O103" s="573" t="s">
        <v>36</v>
      </c>
      <c r="P103" s="573" t="s">
        <v>306</v>
      </c>
      <c r="Q103" s="80"/>
      <c r="R103" s="594"/>
      <c r="S103" s="581"/>
      <c r="T103" s="581"/>
      <c r="U103" s="581"/>
      <c r="V103" s="581"/>
      <c r="W103" s="581"/>
      <c r="X103" s="581"/>
      <c r="Y103" s="581"/>
      <c r="Z103" s="581"/>
      <c r="AA103" s="581"/>
      <c r="AB103" s="581"/>
      <c r="AC103" s="581"/>
      <c r="AD103" s="581"/>
      <c r="AE103" s="581"/>
      <c r="AF103" s="581"/>
      <c r="AG103" s="581"/>
      <c r="AH103" s="581"/>
      <c r="AI103" s="581"/>
      <c r="AJ103" s="581"/>
      <c r="AK103" s="581"/>
      <c r="AL103" s="581"/>
      <c r="AM103" s="581"/>
    </row>
    <row r="104" spans="1:39" ht="93" hidden="1" x14ac:dyDescent="0.25">
      <c r="A104" s="572">
        <f t="shared" si="4"/>
        <v>85</v>
      </c>
      <c r="B104" s="573" t="s">
        <v>481</v>
      </c>
      <c r="C104" s="574">
        <v>43211508</v>
      </c>
      <c r="D104" s="598" t="s">
        <v>485</v>
      </c>
      <c r="E104" s="573" t="s">
        <v>48</v>
      </c>
      <c r="F104" s="573">
        <v>1</v>
      </c>
      <c r="G104" s="576" t="s">
        <v>180</v>
      </c>
      <c r="H104" s="577" t="s">
        <v>156</v>
      </c>
      <c r="I104" s="573" t="s">
        <v>283</v>
      </c>
      <c r="J104" s="573" t="s">
        <v>35</v>
      </c>
      <c r="K104" s="573" t="s">
        <v>319</v>
      </c>
      <c r="L104" s="578">
        <v>80000000</v>
      </c>
      <c r="M104" s="579">
        <v>80000000</v>
      </c>
      <c r="N104" s="573" t="s">
        <v>51</v>
      </c>
      <c r="O104" s="573" t="s">
        <v>36</v>
      </c>
      <c r="P104" s="573" t="s">
        <v>306</v>
      </c>
      <c r="Q104" s="80"/>
      <c r="R104" s="594"/>
      <c r="S104" s="581"/>
      <c r="T104" s="581"/>
      <c r="U104" s="581"/>
      <c r="V104" s="581"/>
      <c r="W104" s="581"/>
      <c r="X104" s="581"/>
      <c r="Y104" s="581"/>
      <c r="Z104" s="581"/>
      <c r="AA104" s="581"/>
      <c r="AB104" s="581"/>
      <c r="AC104" s="581"/>
      <c r="AD104" s="581"/>
      <c r="AE104" s="581"/>
      <c r="AF104" s="581"/>
      <c r="AG104" s="581"/>
      <c r="AH104" s="581"/>
      <c r="AI104" s="581"/>
      <c r="AJ104" s="581"/>
      <c r="AK104" s="581"/>
      <c r="AL104" s="581"/>
      <c r="AM104" s="581"/>
    </row>
    <row r="105" spans="1:39" ht="93" hidden="1" x14ac:dyDescent="0.25">
      <c r="A105" s="572">
        <f t="shared" si="4"/>
        <v>86</v>
      </c>
      <c r="B105" s="573" t="s">
        <v>481</v>
      </c>
      <c r="C105" s="574">
        <v>43232309</v>
      </c>
      <c r="D105" s="575" t="s">
        <v>486</v>
      </c>
      <c r="E105" s="573" t="s">
        <v>68</v>
      </c>
      <c r="F105" s="573">
        <v>1</v>
      </c>
      <c r="G105" s="576" t="s">
        <v>80</v>
      </c>
      <c r="H105" s="577">
        <v>12</v>
      </c>
      <c r="I105" s="573" t="s">
        <v>283</v>
      </c>
      <c r="J105" s="573" t="s">
        <v>66</v>
      </c>
      <c r="K105" s="573" t="s">
        <v>574</v>
      </c>
      <c r="L105" s="578">
        <v>90580000</v>
      </c>
      <c r="M105" s="579">
        <v>90580000</v>
      </c>
      <c r="N105" s="573" t="s">
        <v>51</v>
      </c>
      <c r="O105" s="573" t="s">
        <v>36</v>
      </c>
      <c r="P105" s="573" t="s">
        <v>306</v>
      </c>
      <c r="Q105" s="80"/>
      <c r="R105" s="594"/>
      <c r="S105" s="581"/>
      <c r="T105" s="581"/>
      <c r="U105" s="581"/>
      <c r="V105" s="581"/>
      <c r="W105" s="581"/>
      <c r="X105" s="581"/>
      <c r="Y105" s="581"/>
      <c r="Z105" s="581"/>
      <c r="AA105" s="581"/>
      <c r="AB105" s="581"/>
      <c r="AC105" s="581"/>
      <c r="AD105" s="581"/>
      <c r="AE105" s="581"/>
      <c r="AF105" s="581"/>
      <c r="AG105" s="581"/>
      <c r="AH105" s="581"/>
      <c r="AI105" s="581"/>
      <c r="AJ105" s="581"/>
      <c r="AK105" s="581"/>
      <c r="AL105" s="581"/>
      <c r="AM105" s="581"/>
    </row>
    <row r="106" spans="1:39" ht="93" hidden="1" x14ac:dyDescent="0.25">
      <c r="A106" s="572">
        <f t="shared" si="4"/>
        <v>87</v>
      </c>
      <c r="B106" s="573" t="s">
        <v>481</v>
      </c>
      <c r="C106" s="574">
        <v>43211508</v>
      </c>
      <c r="D106" s="575" t="s">
        <v>487</v>
      </c>
      <c r="E106" s="573" t="s">
        <v>68</v>
      </c>
      <c r="F106" s="573">
        <v>1</v>
      </c>
      <c r="G106" s="576" t="s">
        <v>80</v>
      </c>
      <c r="H106" s="577">
        <v>12</v>
      </c>
      <c r="I106" s="573" t="s">
        <v>283</v>
      </c>
      <c r="J106" s="573" t="s">
        <v>66</v>
      </c>
      <c r="K106" s="573" t="s">
        <v>574</v>
      </c>
      <c r="L106" s="578">
        <v>50000000</v>
      </c>
      <c r="M106" s="579">
        <v>50000000</v>
      </c>
      <c r="N106" s="573" t="s">
        <v>51</v>
      </c>
      <c r="O106" s="573" t="s">
        <v>36</v>
      </c>
      <c r="P106" s="573" t="s">
        <v>306</v>
      </c>
      <c r="Q106" s="80"/>
      <c r="R106" s="594"/>
      <c r="S106" s="581"/>
      <c r="T106" s="581"/>
      <c r="U106" s="581"/>
      <c r="V106" s="581"/>
      <c r="W106" s="581"/>
      <c r="X106" s="581"/>
      <c r="Y106" s="581"/>
      <c r="Z106" s="581"/>
      <c r="AA106" s="581"/>
      <c r="AB106" s="581"/>
      <c r="AC106" s="581"/>
      <c r="AD106" s="581"/>
      <c r="AE106" s="581"/>
      <c r="AF106" s="581"/>
      <c r="AG106" s="581"/>
      <c r="AH106" s="581"/>
      <c r="AI106" s="581"/>
      <c r="AJ106" s="581"/>
      <c r="AK106" s="581"/>
      <c r="AL106" s="581"/>
      <c r="AM106" s="581"/>
    </row>
    <row r="107" spans="1:39" ht="93" hidden="1" x14ac:dyDescent="0.25">
      <c r="A107" s="572">
        <f t="shared" si="4"/>
        <v>88</v>
      </c>
      <c r="B107" s="573" t="s">
        <v>481</v>
      </c>
      <c r="C107" s="574">
        <v>43211508</v>
      </c>
      <c r="D107" s="598" t="s">
        <v>488</v>
      </c>
      <c r="E107" s="573" t="s">
        <v>48</v>
      </c>
      <c r="F107" s="573">
        <v>1</v>
      </c>
      <c r="G107" s="576" t="s">
        <v>180</v>
      </c>
      <c r="H107" s="577" t="s">
        <v>156</v>
      </c>
      <c r="I107" s="573" t="s">
        <v>283</v>
      </c>
      <c r="J107" s="573" t="s">
        <v>35</v>
      </c>
      <c r="K107" s="573" t="s">
        <v>319</v>
      </c>
      <c r="L107" s="578">
        <v>80000000</v>
      </c>
      <c r="M107" s="579">
        <v>80000000</v>
      </c>
      <c r="N107" s="573" t="s">
        <v>51</v>
      </c>
      <c r="O107" s="573" t="s">
        <v>36</v>
      </c>
      <c r="P107" s="573" t="s">
        <v>306</v>
      </c>
      <c r="Q107" s="80"/>
      <c r="R107" s="594"/>
      <c r="S107" s="581"/>
      <c r="T107" s="581"/>
      <c r="U107" s="581"/>
      <c r="V107" s="581"/>
      <c r="W107" s="581"/>
      <c r="X107" s="581"/>
      <c r="Y107" s="581"/>
      <c r="Z107" s="581"/>
      <c r="AA107" s="581"/>
      <c r="AB107" s="581"/>
      <c r="AC107" s="581"/>
      <c r="AD107" s="581"/>
      <c r="AE107" s="581"/>
      <c r="AF107" s="581"/>
      <c r="AG107" s="581"/>
      <c r="AH107" s="581"/>
      <c r="AI107" s="581"/>
      <c r="AJ107" s="581"/>
      <c r="AK107" s="581"/>
      <c r="AL107" s="581"/>
      <c r="AM107" s="581"/>
    </row>
    <row r="108" spans="1:39" ht="93" hidden="1" x14ac:dyDescent="0.25">
      <c r="A108" s="572">
        <f t="shared" si="4"/>
        <v>89</v>
      </c>
      <c r="B108" s="573" t="s">
        <v>263</v>
      </c>
      <c r="C108" s="574">
        <v>80101706</v>
      </c>
      <c r="D108" s="575" t="s">
        <v>492</v>
      </c>
      <c r="E108" s="573" t="s">
        <v>48</v>
      </c>
      <c r="F108" s="573">
        <v>1</v>
      </c>
      <c r="G108" s="576" t="s">
        <v>73</v>
      </c>
      <c r="H108" s="577">
        <v>5</v>
      </c>
      <c r="I108" s="573" t="s">
        <v>61</v>
      </c>
      <c r="J108" s="573" t="s">
        <v>66</v>
      </c>
      <c r="K108" s="573" t="s">
        <v>464</v>
      </c>
      <c r="L108" s="578">
        <v>10000000</v>
      </c>
      <c r="M108" s="579">
        <v>10000000</v>
      </c>
      <c r="N108" s="573" t="s">
        <v>51</v>
      </c>
      <c r="O108" s="573" t="s">
        <v>36</v>
      </c>
      <c r="P108" s="573" t="s">
        <v>493</v>
      </c>
      <c r="Q108" s="80"/>
      <c r="R108" s="596" t="s">
        <v>296</v>
      </c>
      <c r="S108" s="581"/>
      <c r="T108" s="581"/>
      <c r="U108" s="581"/>
      <c r="V108" s="581"/>
      <c r="W108" s="581"/>
      <c r="X108" s="581"/>
      <c r="Y108" s="581"/>
      <c r="Z108" s="581"/>
      <c r="AA108" s="581"/>
      <c r="AB108" s="581"/>
      <c r="AC108" s="581"/>
      <c r="AD108" s="581"/>
      <c r="AE108" s="581"/>
      <c r="AF108" s="581"/>
      <c r="AG108" s="581"/>
      <c r="AH108" s="581"/>
      <c r="AI108" s="581"/>
      <c r="AJ108" s="581"/>
      <c r="AK108" s="581"/>
      <c r="AL108" s="581"/>
      <c r="AM108" s="581"/>
    </row>
    <row r="109" spans="1:39" ht="93" hidden="1" x14ac:dyDescent="0.25">
      <c r="A109" s="572">
        <f t="shared" si="4"/>
        <v>90</v>
      </c>
      <c r="B109" s="573" t="s">
        <v>491</v>
      </c>
      <c r="C109" s="574">
        <v>32101617</v>
      </c>
      <c r="D109" s="575" t="s">
        <v>178</v>
      </c>
      <c r="E109" s="573" t="s">
        <v>48</v>
      </c>
      <c r="F109" s="573">
        <v>12</v>
      </c>
      <c r="G109" s="576" t="s">
        <v>81</v>
      </c>
      <c r="H109" s="577" t="s">
        <v>194</v>
      </c>
      <c r="I109" s="573" t="s">
        <v>55</v>
      </c>
      <c r="J109" s="573" t="s">
        <v>35</v>
      </c>
      <c r="K109" s="573" t="s">
        <v>161</v>
      </c>
      <c r="L109" s="578">
        <v>3000000</v>
      </c>
      <c r="M109" s="579">
        <v>3000000</v>
      </c>
      <c r="N109" s="573" t="s">
        <v>51</v>
      </c>
      <c r="O109" s="573" t="s">
        <v>36</v>
      </c>
      <c r="P109" s="573" t="s">
        <v>318</v>
      </c>
      <c r="Q109" s="80"/>
      <c r="R109" s="594"/>
      <c r="S109" s="581"/>
      <c r="T109" s="581"/>
      <c r="U109" s="581"/>
      <c r="V109" s="581"/>
      <c r="W109" s="581"/>
      <c r="X109" s="581"/>
      <c r="Y109" s="581"/>
      <c r="Z109" s="581"/>
      <c r="AA109" s="581"/>
      <c r="AB109" s="581"/>
      <c r="AC109" s="581"/>
      <c r="AD109" s="581"/>
      <c r="AE109" s="581"/>
      <c r="AF109" s="581"/>
      <c r="AG109" s="581"/>
      <c r="AH109" s="581"/>
      <c r="AI109" s="581"/>
      <c r="AJ109" s="581"/>
      <c r="AK109" s="581"/>
      <c r="AL109" s="581"/>
      <c r="AM109" s="581"/>
    </row>
    <row r="110" spans="1:39" ht="93" hidden="1" x14ac:dyDescent="0.25">
      <c r="A110" s="572">
        <f t="shared" si="4"/>
        <v>91</v>
      </c>
      <c r="B110" s="573" t="s">
        <v>491</v>
      </c>
      <c r="C110" s="574">
        <v>80101706</v>
      </c>
      <c r="D110" s="575" t="s">
        <v>579</v>
      </c>
      <c r="E110" s="573" t="s">
        <v>68</v>
      </c>
      <c r="F110" s="573">
        <v>1</v>
      </c>
      <c r="G110" s="576" t="s">
        <v>73</v>
      </c>
      <c r="H110" s="577" t="s">
        <v>157</v>
      </c>
      <c r="I110" s="573" t="s">
        <v>61</v>
      </c>
      <c r="J110" s="573" t="s">
        <v>35</v>
      </c>
      <c r="K110" s="573" t="s">
        <v>430</v>
      </c>
      <c r="L110" s="578">
        <v>15000000</v>
      </c>
      <c r="M110" s="579">
        <v>15000000</v>
      </c>
      <c r="N110" s="573" t="s">
        <v>51</v>
      </c>
      <c r="O110" s="573" t="s">
        <v>36</v>
      </c>
      <c r="P110" s="573" t="s">
        <v>318</v>
      </c>
      <c r="Q110" s="80"/>
      <c r="R110" s="594"/>
      <c r="S110" s="581"/>
      <c r="T110" s="581"/>
      <c r="U110" s="581"/>
      <c r="V110" s="581"/>
      <c r="W110" s="581"/>
      <c r="X110" s="581"/>
      <c r="Y110" s="581"/>
      <c r="Z110" s="581"/>
      <c r="AA110" s="581"/>
      <c r="AB110" s="581"/>
      <c r="AC110" s="581"/>
      <c r="AD110" s="581"/>
      <c r="AE110" s="581"/>
      <c r="AF110" s="581"/>
      <c r="AG110" s="581"/>
      <c r="AH110" s="581"/>
      <c r="AI110" s="581"/>
      <c r="AJ110" s="581"/>
      <c r="AK110" s="581"/>
      <c r="AL110" s="581"/>
      <c r="AM110" s="581"/>
    </row>
    <row r="111" spans="1:39" ht="93" hidden="1" x14ac:dyDescent="0.25">
      <c r="A111" s="572">
        <f t="shared" si="4"/>
        <v>92</v>
      </c>
      <c r="B111" s="573" t="s">
        <v>263</v>
      </c>
      <c r="C111" s="574">
        <v>80101706</v>
      </c>
      <c r="D111" s="575" t="s">
        <v>492</v>
      </c>
      <c r="E111" s="573" t="s">
        <v>48</v>
      </c>
      <c r="F111" s="573">
        <v>1</v>
      </c>
      <c r="G111" s="576" t="s">
        <v>73</v>
      </c>
      <c r="H111" s="577">
        <v>5</v>
      </c>
      <c r="I111" s="573" t="s">
        <v>61</v>
      </c>
      <c r="J111" s="573" t="s">
        <v>66</v>
      </c>
      <c r="K111" s="573" t="s">
        <v>464</v>
      </c>
      <c r="L111" s="578">
        <v>55000000</v>
      </c>
      <c r="M111" s="579">
        <v>55000000</v>
      </c>
      <c r="N111" s="573" t="s">
        <v>51</v>
      </c>
      <c r="O111" s="573" t="s">
        <v>36</v>
      </c>
      <c r="P111" s="573" t="s">
        <v>493</v>
      </c>
      <c r="Q111" s="80"/>
      <c r="R111" s="596" t="s">
        <v>547</v>
      </c>
      <c r="S111" s="581"/>
      <c r="T111" s="581"/>
      <c r="U111" s="581"/>
      <c r="V111" s="581"/>
      <c r="W111" s="581"/>
      <c r="X111" s="581"/>
      <c r="Y111" s="581"/>
      <c r="Z111" s="581"/>
      <c r="AA111" s="581"/>
      <c r="AB111" s="581"/>
      <c r="AC111" s="581"/>
      <c r="AD111" s="581"/>
      <c r="AE111" s="581"/>
      <c r="AF111" s="581"/>
      <c r="AG111" s="581"/>
      <c r="AH111" s="581"/>
      <c r="AI111" s="581"/>
      <c r="AJ111" s="581"/>
      <c r="AK111" s="581"/>
      <c r="AL111" s="581"/>
      <c r="AM111" s="581"/>
    </row>
    <row r="112" spans="1:39" ht="93" hidden="1" x14ac:dyDescent="0.25">
      <c r="A112" s="572">
        <f t="shared" si="4"/>
        <v>93</v>
      </c>
      <c r="B112" s="573" t="s">
        <v>494</v>
      </c>
      <c r="C112" s="574">
        <v>80101706</v>
      </c>
      <c r="D112" s="575" t="s">
        <v>495</v>
      </c>
      <c r="E112" s="573" t="s">
        <v>48</v>
      </c>
      <c r="F112" s="573">
        <v>1</v>
      </c>
      <c r="G112" s="576" t="s">
        <v>73</v>
      </c>
      <c r="H112" s="577">
        <v>5</v>
      </c>
      <c r="I112" s="573" t="s">
        <v>61</v>
      </c>
      <c r="J112" s="573" t="s">
        <v>66</v>
      </c>
      <c r="K112" s="573" t="s">
        <v>464</v>
      </c>
      <c r="L112" s="578">
        <v>19475000</v>
      </c>
      <c r="M112" s="579">
        <v>19475000</v>
      </c>
      <c r="N112" s="573" t="s">
        <v>51</v>
      </c>
      <c r="O112" s="573" t="s">
        <v>36</v>
      </c>
      <c r="P112" s="573" t="s">
        <v>493</v>
      </c>
      <c r="Q112" s="80"/>
      <c r="R112" s="596" t="s">
        <v>240</v>
      </c>
      <c r="S112" s="581"/>
      <c r="T112" s="581"/>
      <c r="U112" s="581"/>
      <c r="V112" s="581"/>
      <c r="W112" s="581"/>
      <c r="X112" s="581"/>
      <c r="Y112" s="581"/>
      <c r="Z112" s="581"/>
      <c r="AA112" s="581"/>
      <c r="AB112" s="581"/>
      <c r="AC112" s="581"/>
      <c r="AD112" s="581"/>
      <c r="AE112" s="581"/>
      <c r="AF112" s="581"/>
      <c r="AG112" s="581"/>
      <c r="AH112" s="581"/>
      <c r="AI112" s="581"/>
      <c r="AJ112" s="581"/>
      <c r="AK112" s="581"/>
      <c r="AL112" s="581"/>
      <c r="AM112" s="581"/>
    </row>
    <row r="113" spans="1:39" ht="93" hidden="1" x14ac:dyDescent="0.25">
      <c r="A113" s="572">
        <f t="shared" si="4"/>
        <v>94</v>
      </c>
      <c r="B113" s="573" t="s">
        <v>494</v>
      </c>
      <c r="C113" s="574">
        <v>80101706</v>
      </c>
      <c r="D113" s="575" t="s">
        <v>495</v>
      </c>
      <c r="E113" s="573" t="s">
        <v>48</v>
      </c>
      <c r="F113" s="573">
        <v>1</v>
      </c>
      <c r="G113" s="576" t="s">
        <v>73</v>
      </c>
      <c r="H113" s="577">
        <v>5</v>
      </c>
      <c r="I113" s="573" t="s">
        <v>61</v>
      </c>
      <c r="J113" s="573" t="s">
        <v>66</v>
      </c>
      <c r="K113" s="573" t="s">
        <v>464</v>
      </c>
      <c r="L113" s="578">
        <v>33075000</v>
      </c>
      <c r="M113" s="579">
        <v>33075000</v>
      </c>
      <c r="N113" s="573" t="s">
        <v>51</v>
      </c>
      <c r="O113" s="573" t="s">
        <v>36</v>
      </c>
      <c r="P113" s="573" t="s">
        <v>493</v>
      </c>
      <c r="Q113" s="80"/>
      <c r="R113" s="596" t="s">
        <v>548</v>
      </c>
      <c r="S113" s="581"/>
      <c r="T113" s="581"/>
      <c r="U113" s="581"/>
      <c r="V113" s="581"/>
      <c r="W113" s="581"/>
      <c r="X113" s="581"/>
      <c r="Y113" s="581"/>
      <c r="Z113" s="581"/>
      <c r="AA113" s="581"/>
      <c r="AB113" s="581"/>
      <c r="AC113" s="581"/>
      <c r="AD113" s="581"/>
      <c r="AE113" s="581"/>
      <c r="AF113" s="581"/>
      <c r="AG113" s="581"/>
      <c r="AH113" s="581"/>
      <c r="AI113" s="581"/>
      <c r="AJ113" s="581"/>
      <c r="AK113" s="581"/>
      <c r="AL113" s="581"/>
      <c r="AM113" s="581"/>
    </row>
    <row r="114" spans="1:39" ht="93" hidden="1" x14ac:dyDescent="0.25">
      <c r="A114" s="572">
        <f t="shared" si="4"/>
        <v>95</v>
      </c>
      <c r="B114" s="573" t="s">
        <v>494</v>
      </c>
      <c r="C114" s="574">
        <v>80101706</v>
      </c>
      <c r="D114" s="575" t="s">
        <v>495</v>
      </c>
      <c r="E114" s="573" t="s">
        <v>48</v>
      </c>
      <c r="F114" s="573">
        <v>1</v>
      </c>
      <c r="G114" s="576" t="s">
        <v>73</v>
      </c>
      <c r="H114" s="577">
        <v>5</v>
      </c>
      <c r="I114" s="573" t="s">
        <v>61</v>
      </c>
      <c r="J114" s="573" t="s">
        <v>66</v>
      </c>
      <c r="K114" s="573" t="s">
        <v>464</v>
      </c>
      <c r="L114" s="578">
        <v>21700000</v>
      </c>
      <c r="M114" s="579">
        <v>21700000</v>
      </c>
      <c r="N114" s="573" t="s">
        <v>51</v>
      </c>
      <c r="O114" s="573" t="s">
        <v>36</v>
      </c>
      <c r="P114" s="573" t="s">
        <v>493</v>
      </c>
      <c r="Q114" s="80"/>
      <c r="R114" s="596" t="s">
        <v>241</v>
      </c>
      <c r="S114" s="581"/>
      <c r="T114" s="581"/>
      <c r="U114" s="581"/>
      <c r="V114" s="581"/>
      <c r="W114" s="581"/>
      <c r="X114" s="581"/>
      <c r="Y114" s="581"/>
      <c r="Z114" s="581"/>
      <c r="AA114" s="581"/>
      <c r="AB114" s="581"/>
      <c r="AC114" s="581"/>
      <c r="AD114" s="581"/>
      <c r="AE114" s="581"/>
      <c r="AF114" s="581"/>
      <c r="AG114" s="581"/>
      <c r="AH114" s="581"/>
      <c r="AI114" s="581"/>
      <c r="AJ114" s="581"/>
      <c r="AK114" s="581"/>
      <c r="AL114" s="581"/>
      <c r="AM114" s="581"/>
    </row>
    <row r="115" spans="1:39" ht="93" hidden="1" x14ac:dyDescent="0.25">
      <c r="A115" s="572">
        <f t="shared" si="4"/>
        <v>96</v>
      </c>
      <c r="B115" s="573" t="s">
        <v>496</v>
      </c>
      <c r="C115" s="574">
        <v>80101706</v>
      </c>
      <c r="D115" s="575" t="s">
        <v>497</v>
      </c>
      <c r="E115" s="573" t="s">
        <v>48</v>
      </c>
      <c r="F115" s="573">
        <v>1</v>
      </c>
      <c r="G115" s="576" t="s">
        <v>73</v>
      </c>
      <c r="H115" s="577">
        <v>5</v>
      </c>
      <c r="I115" s="573" t="s">
        <v>61</v>
      </c>
      <c r="J115" s="573" t="s">
        <v>66</v>
      </c>
      <c r="K115" s="573" t="s">
        <v>464</v>
      </c>
      <c r="L115" s="578">
        <v>19475000</v>
      </c>
      <c r="M115" s="579">
        <v>19475000</v>
      </c>
      <c r="N115" s="573" t="s">
        <v>51</v>
      </c>
      <c r="O115" s="573" t="s">
        <v>36</v>
      </c>
      <c r="P115" s="573" t="s">
        <v>493</v>
      </c>
      <c r="Q115" s="80"/>
      <c r="R115" s="596" t="s">
        <v>287</v>
      </c>
      <c r="S115" s="581"/>
      <c r="T115" s="581"/>
      <c r="U115" s="581"/>
      <c r="V115" s="581"/>
      <c r="W115" s="581"/>
      <c r="X115" s="581"/>
      <c r="Y115" s="581"/>
      <c r="Z115" s="581"/>
      <c r="AA115" s="581"/>
      <c r="AB115" s="581"/>
      <c r="AC115" s="581"/>
      <c r="AD115" s="581"/>
      <c r="AE115" s="581"/>
      <c r="AF115" s="581"/>
      <c r="AG115" s="581"/>
      <c r="AH115" s="581"/>
      <c r="AI115" s="581"/>
      <c r="AJ115" s="581"/>
      <c r="AK115" s="581"/>
      <c r="AL115" s="581"/>
      <c r="AM115" s="581"/>
    </row>
    <row r="116" spans="1:39" ht="93" hidden="1" x14ac:dyDescent="0.25">
      <c r="A116" s="572">
        <f t="shared" si="4"/>
        <v>97</v>
      </c>
      <c r="B116" s="573" t="s">
        <v>498</v>
      </c>
      <c r="C116" s="574">
        <v>80101706</v>
      </c>
      <c r="D116" s="575" t="s">
        <v>499</v>
      </c>
      <c r="E116" s="573" t="s">
        <v>48</v>
      </c>
      <c r="F116" s="573">
        <v>1</v>
      </c>
      <c r="G116" s="576" t="s">
        <v>73</v>
      </c>
      <c r="H116" s="577">
        <v>5</v>
      </c>
      <c r="I116" s="573" t="s">
        <v>61</v>
      </c>
      <c r="J116" s="573" t="s">
        <v>66</v>
      </c>
      <c r="K116" s="573" t="s">
        <v>464</v>
      </c>
      <c r="L116" s="578">
        <v>42500000</v>
      </c>
      <c r="M116" s="579">
        <v>42500000</v>
      </c>
      <c r="N116" s="573" t="s">
        <v>51</v>
      </c>
      <c r="O116" s="573" t="s">
        <v>36</v>
      </c>
      <c r="P116" s="573" t="s">
        <v>493</v>
      </c>
      <c r="Q116" s="80"/>
      <c r="R116" s="596" t="s">
        <v>236</v>
      </c>
      <c r="S116" s="581"/>
      <c r="T116" s="581"/>
      <c r="U116" s="581"/>
      <c r="V116" s="581"/>
      <c r="W116" s="581"/>
      <c r="X116" s="581"/>
      <c r="Y116" s="581"/>
      <c r="Z116" s="581"/>
      <c r="AA116" s="581"/>
      <c r="AB116" s="581"/>
      <c r="AC116" s="581"/>
      <c r="AD116" s="581"/>
      <c r="AE116" s="581"/>
      <c r="AF116" s="581"/>
      <c r="AG116" s="581"/>
      <c r="AH116" s="581"/>
      <c r="AI116" s="581"/>
      <c r="AJ116" s="581"/>
      <c r="AK116" s="581"/>
      <c r="AL116" s="581"/>
      <c r="AM116" s="581"/>
    </row>
    <row r="117" spans="1:39" ht="93" hidden="1" x14ac:dyDescent="0.25">
      <c r="A117" s="572">
        <f t="shared" si="4"/>
        <v>98</v>
      </c>
      <c r="B117" s="573" t="s">
        <v>299</v>
      </c>
      <c r="C117" s="574">
        <v>80101706</v>
      </c>
      <c r="D117" s="575" t="s">
        <v>500</v>
      </c>
      <c r="E117" s="573" t="s">
        <v>48</v>
      </c>
      <c r="F117" s="573">
        <v>1</v>
      </c>
      <c r="G117" s="576" t="s">
        <v>73</v>
      </c>
      <c r="H117" s="577">
        <v>5</v>
      </c>
      <c r="I117" s="573" t="s">
        <v>61</v>
      </c>
      <c r="J117" s="573" t="s">
        <v>66</v>
      </c>
      <c r="K117" s="573" t="s">
        <v>464</v>
      </c>
      <c r="L117" s="578">
        <v>45000000</v>
      </c>
      <c r="M117" s="579">
        <v>45000000</v>
      </c>
      <c r="N117" s="573" t="s">
        <v>51</v>
      </c>
      <c r="O117" s="573" t="s">
        <v>36</v>
      </c>
      <c r="P117" s="573" t="s">
        <v>493</v>
      </c>
      <c r="Q117" s="80"/>
      <c r="R117" s="596" t="s">
        <v>549</v>
      </c>
      <c r="S117" s="581"/>
      <c r="T117" s="581"/>
      <c r="U117" s="581"/>
      <c r="V117" s="581"/>
      <c r="W117" s="581"/>
      <c r="X117" s="581"/>
      <c r="Y117" s="581"/>
      <c r="Z117" s="581"/>
      <c r="AA117" s="581"/>
      <c r="AB117" s="581"/>
      <c r="AC117" s="581"/>
      <c r="AD117" s="581"/>
      <c r="AE117" s="581"/>
      <c r="AF117" s="581"/>
      <c r="AG117" s="581"/>
      <c r="AH117" s="581"/>
      <c r="AI117" s="581"/>
      <c r="AJ117" s="581"/>
      <c r="AK117" s="581"/>
      <c r="AL117" s="581"/>
      <c r="AM117" s="581"/>
    </row>
    <row r="118" spans="1:39" ht="93" hidden="1" x14ac:dyDescent="0.25">
      <c r="A118" s="572">
        <f t="shared" si="4"/>
        <v>99</v>
      </c>
      <c r="B118" s="573" t="s">
        <v>299</v>
      </c>
      <c r="C118" s="574">
        <v>80101706</v>
      </c>
      <c r="D118" s="575" t="s">
        <v>500</v>
      </c>
      <c r="E118" s="573" t="s">
        <v>48</v>
      </c>
      <c r="F118" s="573">
        <v>1</v>
      </c>
      <c r="G118" s="576" t="s">
        <v>73</v>
      </c>
      <c r="H118" s="577">
        <v>5</v>
      </c>
      <c r="I118" s="573" t="s">
        <v>61</v>
      </c>
      <c r="J118" s="573" t="s">
        <v>66</v>
      </c>
      <c r="K118" s="573" t="s">
        <v>464</v>
      </c>
      <c r="L118" s="578">
        <v>41500000</v>
      </c>
      <c r="M118" s="579">
        <v>41500000</v>
      </c>
      <c r="N118" s="573" t="s">
        <v>51</v>
      </c>
      <c r="O118" s="573" t="s">
        <v>36</v>
      </c>
      <c r="P118" s="573" t="s">
        <v>493</v>
      </c>
      <c r="Q118" s="80"/>
      <c r="R118" s="596" t="s">
        <v>550</v>
      </c>
      <c r="S118" s="581"/>
      <c r="T118" s="581"/>
      <c r="U118" s="581"/>
      <c r="V118" s="581"/>
      <c r="W118" s="581"/>
      <c r="X118" s="581"/>
      <c r="Y118" s="581"/>
      <c r="Z118" s="581"/>
      <c r="AA118" s="581"/>
      <c r="AB118" s="581"/>
      <c r="AC118" s="581"/>
      <c r="AD118" s="581"/>
      <c r="AE118" s="581"/>
      <c r="AF118" s="581"/>
      <c r="AG118" s="581"/>
      <c r="AH118" s="581"/>
      <c r="AI118" s="581"/>
      <c r="AJ118" s="581"/>
      <c r="AK118" s="581"/>
      <c r="AL118" s="581"/>
      <c r="AM118" s="581"/>
    </row>
    <row r="119" spans="1:39" ht="93" hidden="1" x14ac:dyDescent="0.25">
      <c r="A119" s="572">
        <f t="shared" si="4"/>
        <v>100</v>
      </c>
      <c r="B119" s="573" t="s">
        <v>246</v>
      </c>
      <c r="C119" s="574">
        <v>80101706</v>
      </c>
      <c r="D119" s="575" t="s">
        <v>501</v>
      </c>
      <c r="E119" s="573" t="s">
        <v>48</v>
      </c>
      <c r="F119" s="573">
        <v>1</v>
      </c>
      <c r="G119" s="576" t="s">
        <v>73</v>
      </c>
      <c r="H119" s="577">
        <v>5</v>
      </c>
      <c r="I119" s="573" t="s">
        <v>61</v>
      </c>
      <c r="J119" s="573" t="s">
        <v>66</v>
      </c>
      <c r="K119" s="573" t="s">
        <v>464</v>
      </c>
      <c r="L119" s="578">
        <v>46410000</v>
      </c>
      <c r="M119" s="579">
        <v>46410000</v>
      </c>
      <c r="N119" s="573" t="s">
        <v>51</v>
      </c>
      <c r="O119" s="573" t="s">
        <v>36</v>
      </c>
      <c r="P119" s="573" t="s">
        <v>502</v>
      </c>
      <c r="Q119" s="80"/>
      <c r="R119" s="596" t="s">
        <v>551</v>
      </c>
      <c r="S119" s="581"/>
      <c r="T119" s="581"/>
      <c r="U119" s="581"/>
      <c r="V119" s="581"/>
      <c r="W119" s="581"/>
      <c r="X119" s="581"/>
      <c r="Y119" s="581"/>
      <c r="Z119" s="581"/>
      <c r="AA119" s="581"/>
      <c r="AB119" s="581"/>
      <c r="AC119" s="581"/>
      <c r="AD119" s="581"/>
      <c r="AE119" s="581"/>
      <c r="AF119" s="581"/>
      <c r="AG119" s="581"/>
      <c r="AH119" s="581"/>
      <c r="AI119" s="581"/>
      <c r="AJ119" s="581"/>
      <c r="AK119" s="581"/>
      <c r="AL119" s="581"/>
      <c r="AM119" s="581"/>
    </row>
    <row r="120" spans="1:39" ht="116.25" x14ac:dyDescent="0.25">
      <c r="A120" s="572">
        <f t="shared" si="4"/>
        <v>101</v>
      </c>
      <c r="B120" s="573" t="s">
        <v>498</v>
      </c>
      <c r="C120" s="574">
        <v>80101706</v>
      </c>
      <c r="D120" s="575" t="s">
        <v>499</v>
      </c>
      <c r="E120" s="573" t="s">
        <v>48</v>
      </c>
      <c r="F120" s="573">
        <v>1</v>
      </c>
      <c r="G120" s="576" t="s">
        <v>73</v>
      </c>
      <c r="H120" s="577">
        <v>5</v>
      </c>
      <c r="I120" s="573" t="s">
        <v>61</v>
      </c>
      <c r="J120" s="573" t="s">
        <v>66</v>
      </c>
      <c r="K120" s="573" t="s">
        <v>484</v>
      </c>
      <c r="L120" s="578">
        <v>15165000</v>
      </c>
      <c r="M120" s="579">
        <v>15165000</v>
      </c>
      <c r="N120" s="573" t="s">
        <v>51</v>
      </c>
      <c r="O120" s="573" t="s">
        <v>36</v>
      </c>
      <c r="P120" s="573" t="s">
        <v>493</v>
      </c>
      <c r="Q120" s="80"/>
      <c r="R120" s="596" t="s">
        <v>243</v>
      </c>
      <c r="S120" s="581"/>
      <c r="T120" s="581"/>
      <c r="U120" s="581"/>
      <c r="V120" s="581"/>
      <c r="W120" s="581"/>
      <c r="X120" s="581"/>
      <c r="Y120" s="581"/>
      <c r="Z120" s="581"/>
      <c r="AA120" s="581"/>
      <c r="AB120" s="581"/>
      <c r="AC120" s="581"/>
      <c r="AD120" s="581"/>
      <c r="AE120" s="581"/>
      <c r="AF120" s="581"/>
      <c r="AG120" s="581"/>
      <c r="AH120" s="581"/>
      <c r="AI120" s="581"/>
      <c r="AJ120" s="581"/>
      <c r="AK120" s="581"/>
      <c r="AL120" s="581"/>
      <c r="AM120" s="581"/>
    </row>
    <row r="121" spans="1:39" ht="116.25" x14ac:dyDescent="0.25">
      <c r="A121" s="572">
        <f t="shared" si="4"/>
        <v>102</v>
      </c>
      <c r="B121" s="573" t="s">
        <v>498</v>
      </c>
      <c r="C121" s="574">
        <v>80101706</v>
      </c>
      <c r="D121" s="575" t="s">
        <v>499</v>
      </c>
      <c r="E121" s="573" t="s">
        <v>48</v>
      </c>
      <c r="F121" s="573">
        <v>1</v>
      </c>
      <c r="G121" s="576" t="s">
        <v>73</v>
      </c>
      <c r="H121" s="577">
        <v>5</v>
      </c>
      <c r="I121" s="573" t="s">
        <v>61</v>
      </c>
      <c r="J121" s="573" t="s">
        <v>66</v>
      </c>
      <c r="K121" s="573" t="s">
        <v>484</v>
      </c>
      <c r="L121" s="578">
        <v>30000000</v>
      </c>
      <c r="M121" s="579">
        <v>30000000</v>
      </c>
      <c r="N121" s="573" t="s">
        <v>51</v>
      </c>
      <c r="O121" s="573" t="s">
        <v>36</v>
      </c>
      <c r="P121" s="573" t="s">
        <v>493</v>
      </c>
      <c r="Q121" s="80"/>
      <c r="R121" s="596" t="s">
        <v>272</v>
      </c>
      <c r="S121" s="581"/>
      <c r="T121" s="581"/>
      <c r="U121" s="581"/>
      <c r="V121" s="581"/>
      <c r="W121" s="581"/>
      <c r="X121" s="581"/>
      <c r="Y121" s="581"/>
      <c r="Z121" s="581"/>
      <c r="AA121" s="581"/>
      <c r="AB121" s="581"/>
      <c r="AC121" s="581"/>
      <c r="AD121" s="581"/>
      <c r="AE121" s="581"/>
      <c r="AF121" s="581"/>
      <c r="AG121" s="581"/>
      <c r="AH121" s="581"/>
      <c r="AI121" s="581"/>
      <c r="AJ121" s="581"/>
      <c r="AK121" s="581"/>
      <c r="AL121" s="581"/>
      <c r="AM121" s="581"/>
    </row>
    <row r="122" spans="1:39" ht="116.25" x14ac:dyDescent="0.25">
      <c r="A122" s="572">
        <f t="shared" ref="A122:A153" si="5">SUM(A121+1)</f>
        <v>103</v>
      </c>
      <c r="B122" s="573" t="s">
        <v>498</v>
      </c>
      <c r="C122" s="574">
        <v>80101706</v>
      </c>
      <c r="D122" s="575" t="s">
        <v>499</v>
      </c>
      <c r="E122" s="573" t="s">
        <v>48</v>
      </c>
      <c r="F122" s="573">
        <v>1</v>
      </c>
      <c r="G122" s="576" t="s">
        <v>73</v>
      </c>
      <c r="H122" s="577">
        <v>5</v>
      </c>
      <c r="I122" s="573" t="s">
        <v>61</v>
      </c>
      <c r="J122" s="573" t="s">
        <v>66</v>
      </c>
      <c r="K122" s="573" t="s">
        <v>484</v>
      </c>
      <c r="L122" s="578">
        <v>19475000</v>
      </c>
      <c r="M122" s="579">
        <v>19475000</v>
      </c>
      <c r="N122" s="573" t="s">
        <v>51</v>
      </c>
      <c r="O122" s="573" t="s">
        <v>36</v>
      </c>
      <c r="P122" s="573" t="s">
        <v>493</v>
      </c>
      <c r="Q122" s="80"/>
      <c r="R122" s="596" t="s">
        <v>273</v>
      </c>
      <c r="S122" s="581"/>
      <c r="T122" s="581"/>
      <c r="U122" s="581"/>
      <c r="V122" s="581"/>
      <c r="W122" s="581"/>
      <c r="X122" s="581"/>
      <c r="Y122" s="581"/>
      <c r="Z122" s="581"/>
      <c r="AA122" s="581"/>
      <c r="AB122" s="581"/>
      <c r="AC122" s="581"/>
      <c r="AD122" s="581"/>
      <c r="AE122" s="581"/>
      <c r="AF122" s="581"/>
      <c r="AG122" s="581"/>
      <c r="AH122" s="581"/>
      <c r="AI122" s="581"/>
      <c r="AJ122" s="581"/>
      <c r="AK122" s="581"/>
      <c r="AL122" s="581"/>
      <c r="AM122" s="581"/>
    </row>
    <row r="123" spans="1:39" ht="69.75" hidden="1" x14ac:dyDescent="0.25">
      <c r="A123" s="572">
        <f t="shared" si="5"/>
        <v>104</v>
      </c>
      <c r="B123" s="573" t="s">
        <v>284</v>
      </c>
      <c r="C123" s="574">
        <v>80101706</v>
      </c>
      <c r="D123" s="575" t="s">
        <v>503</v>
      </c>
      <c r="E123" s="573" t="s">
        <v>48</v>
      </c>
      <c r="F123" s="573">
        <v>1</v>
      </c>
      <c r="G123" s="576" t="s">
        <v>73</v>
      </c>
      <c r="H123" s="577">
        <v>5</v>
      </c>
      <c r="I123" s="573" t="s">
        <v>61</v>
      </c>
      <c r="J123" s="573" t="s">
        <v>66</v>
      </c>
      <c r="K123" s="573" t="s">
        <v>464</v>
      </c>
      <c r="L123" s="578">
        <v>12500000</v>
      </c>
      <c r="M123" s="579">
        <v>12500000</v>
      </c>
      <c r="N123" s="573" t="s">
        <v>51</v>
      </c>
      <c r="O123" s="573" t="s">
        <v>36</v>
      </c>
      <c r="P123" s="573" t="s">
        <v>504</v>
      </c>
      <c r="Q123" s="80"/>
      <c r="R123" s="596" t="s">
        <v>233</v>
      </c>
      <c r="S123" s="581"/>
      <c r="T123" s="581"/>
      <c r="U123" s="581"/>
      <c r="V123" s="581"/>
      <c r="W123" s="581"/>
      <c r="X123" s="581"/>
      <c r="Y123" s="581"/>
      <c r="Z123" s="581"/>
      <c r="AA123" s="581"/>
      <c r="AB123" s="581"/>
      <c r="AC123" s="581"/>
      <c r="AD123" s="581"/>
      <c r="AE123" s="581"/>
      <c r="AF123" s="581"/>
      <c r="AG123" s="581"/>
      <c r="AH123" s="581"/>
      <c r="AI123" s="581"/>
      <c r="AJ123" s="581"/>
      <c r="AK123" s="581"/>
      <c r="AL123" s="581"/>
      <c r="AM123" s="581"/>
    </row>
    <row r="124" spans="1:39" ht="69.75" hidden="1" x14ac:dyDescent="0.25">
      <c r="A124" s="572">
        <f t="shared" si="5"/>
        <v>105</v>
      </c>
      <c r="B124" s="573" t="s">
        <v>284</v>
      </c>
      <c r="C124" s="574">
        <v>80101706</v>
      </c>
      <c r="D124" s="575" t="s">
        <v>503</v>
      </c>
      <c r="E124" s="573" t="s">
        <v>48</v>
      </c>
      <c r="F124" s="573">
        <v>1</v>
      </c>
      <c r="G124" s="576" t="s">
        <v>73</v>
      </c>
      <c r="H124" s="577">
        <v>5</v>
      </c>
      <c r="I124" s="573" t="s">
        <v>61</v>
      </c>
      <c r="J124" s="573" t="s">
        <v>66</v>
      </c>
      <c r="K124" s="573" t="s">
        <v>464</v>
      </c>
      <c r="L124" s="578">
        <v>12500000</v>
      </c>
      <c r="M124" s="579">
        <v>12500000</v>
      </c>
      <c r="N124" s="573" t="s">
        <v>51</v>
      </c>
      <c r="O124" s="573" t="s">
        <v>36</v>
      </c>
      <c r="P124" s="573" t="s">
        <v>504</v>
      </c>
      <c r="Q124" s="80"/>
      <c r="R124" s="596" t="s">
        <v>552</v>
      </c>
      <c r="S124" s="581"/>
      <c r="T124" s="581"/>
      <c r="U124" s="581"/>
      <c r="V124" s="581"/>
      <c r="W124" s="581"/>
      <c r="X124" s="581"/>
      <c r="Y124" s="581"/>
      <c r="Z124" s="581"/>
      <c r="AA124" s="581"/>
      <c r="AB124" s="581"/>
      <c r="AC124" s="581"/>
      <c r="AD124" s="581"/>
      <c r="AE124" s="581"/>
      <c r="AF124" s="581"/>
      <c r="AG124" s="581"/>
      <c r="AH124" s="581"/>
      <c r="AI124" s="581"/>
      <c r="AJ124" s="581"/>
      <c r="AK124" s="581"/>
      <c r="AL124" s="581"/>
      <c r="AM124" s="581"/>
    </row>
    <row r="125" spans="1:39" ht="69.75" hidden="1" x14ac:dyDescent="0.25">
      <c r="A125" s="572">
        <f t="shared" si="5"/>
        <v>106</v>
      </c>
      <c r="B125" s="573" t="s">
        <v>284</v>
      </c>
      <c r="C125" s="574">
        <v>80101706</v>
      </c>
      <c r="D125" s="575" t="s">
        <v>505</v>
      </c>
      <c r="E125" s="573" t="s">
        <v>48</v>
      </c>
      <c r="F125" s="573">
        <v>1</v>
      </c>
      <c r="G125" s="576" t="s">
        <v>73</v>
      </c>
      <c r="H125" s="577">
        <v>5</v>
      </c>
      <c r="I125" s="573" t="s">
        <v>61</v>
      </c>
      <c r="J125" s="573" t="s">
        <v>66</v>
      </c>
      <c r="K125" s="573" t="s">
        <v>464</v>
      </c>
      <c r="L125" s="578">
        <v>4772500</v>
      </c>
      <c r="M125" s="579">
        <v>4772500</v>
      </c>
      <c r="N125" s="573" t="s">
        <v>51</v>
      </c>
      <c r="O125" s="573" t="s">
        <v>36</v>
      </c>
      <c r="P125" s="573" t="s">
        <v>504</v>
      </c>
      <c r="Q125" s="80"/>
      <c r="R125" s="596" t="s">
        <v>553</v>
      </c>
      <c r="S125" s="581"/>
      <c r="T125" s="581"/>
      <c r="U125" s="581"/>
      <c r="V125" s="581"/>
      <c r="W125" s="581"/>
      <c r="X125" s="581"/>
      <c r="Y125" s="581"/>
      <c r="Z125" s="581"/>
      <c r="AA125" s="581"/>
      <c r="AB125" s="581"/>
      <c r="AC125" s="581"/>
      <c r="AD125" s="581"/>
      <c r="AE125" s="581"/>
      <c r="AF125" s="581"/>
      <c r="AG125" s="581"/>
      <c r="AH125" s="581"/>
      <c r="AI125" s="581"/>
      <c r="AJ125" s="581"/>
      <c r="AK125" s="581"/>
      <c r="AL125" s="581"/>
      <c r="AM125" s="581"/>
    </row>
    <row r="126" spans="1:39" ht="93" hidden="1" x14ac:dyDescent="0.25">
      <c r="A126" s="572">
        <f t="shared" si="5"/>
        <v>107</v>
      </c>
      <c r="B126" s="573" t="s">
        <v>506</v>
      </c>
      <c r="C126" s="574">
        <v>80101706</v>
      </c>
      <c r="D126" s="575" t="s">
        <v>507</v>
      </c>
      <c r="E126" s="573" t="s">
        <v>48</v>
      </c>
      <c r="F126" s="573">
        <v>1</v>
      </c>
      <c r="G126" s="576" t="s">
        <v>73</v>
      </c>
      <c r="H126" s="577">
        <v>5</v>
      </c>
      <c r="I126" s="573" t="s">
        <v>61</v>
      </c>
      <c r="J126" s="573" t="s">
        <v>66</v>
      </c>
      <c r="K126" s="573" t="s">
        <v>464</v>
      </c>
      <c r="L126" s="578">
        <v>26155000</v>
      </c>
      <c r="M126" s="579">
        <v>26155000</v>
      </c>
      <c r="N126" s="573" t="s">
        <v>51</v>
      </c>
      <c r="O126" s="573" t="s">
        <v>36</v>
      </c>
      <c r="P126" s="573" t="s">
        <v>508</v>
      </c>
      <c r="Q126" s="80"/>
      <c r="R126" s="596" t="s">
        <v>279</v>
      </c>
      <c r="S126" s="581"/>
      <c r="T126" s="581"/>
      <c r="U126" s="581"/>
      <c r="V126" s="581"/>
      <c r="W126" s="581"/>
      <c r="X126" s="581"/>
      <c r="Y126" s="581"/>
      <c r="Z126" s="581"/>
      <c r="AA126" s="581"/>
      <c r="AB126" s="581"/>
      <c r="AC126" s="581"/>
      <c r="AD126" s="581"/>
      <c r="AE126" s="581"/>
      <c r="AF126" s="581"/>
      <c r="AG126" s="581"/>
      <c r="AH126" s="581"/>
      <c r="AI126" s="581"/>
      <c r="AJ126" s="581"/>
      <c r="AK126" s="581"/>
      <c r="AL126" s="581"/>
      <c r="AM126" s="581"/>
    </row>
    <row r="127" spans="1:39" ht="116.25" x14ac:dyDescent="0.25">
      <c r="A127" s="572">
        <f t="shared" si="5"/>
        <v>108</v>
      </c>
      <c r="B127" s="573" t="s">
        <v>284</v>
      </c>
      <c r="C127" s="574">
        <v>80101706</v>
      </c>
      <c r="D127" s="575" t="s">
        <v>503</v>
      </c>
      <c r="E127" s="573" t="s">
        <v>48</v>
      </c>
      <c r="F127" s="573">
        <v>1</v>
      </c>
      <c r="G127" s="576" t="s">
        <v>73</v>
      </c>
      <c r="H127" s="577">
        <v>5</v>
      </c>
      <c r="I127" s="573" t="s">
        <v>61</v>
      </c>
      <c r="J127" s="573" t="s">
        <v>66</v>
      </c>
      <c r="K127" s="573" t="s">
        <v>484</v>
      </c>
      <c r="L127" s="578">
        <v>12500000</v>
      </c>
      <c r="M127" s="579">
        <v>12500000</v>
      </c>
      <c r="N127" s="573" t="s">
        <v>51</v>
      </c>
      <c r="O127" s="573" t="s">
        <v>36</v>
      </c>
      <c r="P127" s="573" t="s">
        <v>504</v>
      </c>
      <c r="Q127" s="80"/>
      <c r="R127" s="596" t="s">
        <v>233</v>
      </c>
      <c r="S127" s="581"/>
      <c r="T127" s="581"/>
      <c r="U127" s="581"/>
      <c r="V127" s="581"/>
      <c r="W127" s="581"/>
      <c r="X127" s="581"/>
      <c r="Y127" s="581"/>
      <c r="Z127" s="581"/>
      <c r="AA127" s="581"/>
      <c r="AB127" s="581"/>
      <c r="AC127" s="581"/>
      <c r="AD127" s="581"/>
      <c r="AE127" s="581"/>
      <c r="AF127" s="581"/>
      <c r="AG127" s="581"/>
      <c r="AH127" s="581"/>
      <c r="AI127" s="581"/>
      <c r="AJ127" s="581"/>
      <c r="AK127" s="581"/>
      <c r="AL127" s="581"/>
      <c r="AM127" s="581"/>
    </row>
    <row r="128" spans="1:39" ht="93" hidden="1" x14ac:dyDescent="0.25">
      <c r="A128" s="572">
        <f t="shared" si="5"/>
        <v>109</v>
      </c>
      <c r="B128" s="573" t="s">
        <v>506</v>
      </c>
      <c r="C128" s="574">
        <v>80101706</v>
      </c>
      <c r="D128" s="575" t="s">
        <v>507</v>
      </c>
      <c r="E128" s="573" t="s">
        <v>48</v>
      </c>
      <c r="F128" s="573">
        <v>1</v>
      </c>
      <c r="G128" s="576" t="s">
        <v>73</v>
      </c>
      <c r="H128" s="577">
        <v>5</v>
      </c>
      <c r="I128" s="573" t="s">
        <v>61</v>
      </c>
      <c r="J128" s="573" t="s">
        <v>66</v>
      </c>
      <c r="K128" s="573" t="s">
        <v>464</v>
      </c>
      <c r="L128" s="578">
        <v>26155000</v>
      </c>
      <c r="M128" s="579">
        <v>26155000</v>
      </c>
      <c r="N128" s="573" t="s">
        <v>51</v>
      </c>
      <c r="O128" s="573" t="s">
        <v>36</v>
      </c>
      <c r="P128" s="573" t="s">
        <v>508</v>
      </c>
      <c r="Q128" s="80"/>
      <c r="R128" s="596" t="s">
        <v>278</v>
      </c>
      <c r="S128" s="581"/>
      <c r="T128" s="581"/>
      <c r="U128" s="581"/>
      <c r="V128" s="581"/>
      <c r="W128" s="581"/>
      <c r="X128" s="581"/>
      <c r="Y128" s="581"/>
      <c r="Z128" s="581"/>
      <c r="AA128" s="581"/>
      <c r="AB128" s="581"/>
      <c r="AC128" s="581"/>
      <c r="AD128" s="581"/>
      <c r="AE128" s="581"/>
      <c r="AF128" s="581"/>
      <c r="AG128" s="581"/>
      <c r="AH128" s="581"/>
      <c r="AI128" s="581"/>
      <c r="AJ128" s="581"/>
      <c r="AK128" s="581"/>
      <c r="AL128" s="581"/>
      <c r="AM128" s="581"/>
    </row>
    <row r="129" spans="1:39" ht="116.25" x14ac:dyDescent="0.25">
      <c r="A129" s="572">
        <f t="shared" si="5"/>
        <v>110</v>
      </c>
      <c r="B129" s="573" t="s">
        <v>284</v>
      </c>
      <c r="C129" s="574">
        <v>80101706</v>
      </c>
      <c r="D129" s="575" t="s">
        <v>503</v>
      </c>
      <c r="E129" s="573" t="s">
        <v>48</v>
      </c>
      <c r="F129" s="573">
        <v>1</v>
      </c>
      <c r="G129" s="576" t="s">
        <v>73</v>
      </c>
      <c r="H129" s="577">
        <v>5</v>
      </c>
      <c r="I129" s="573" t="s">
        <v>61</v>
      </c>
      <c r="J129" s="573" t="s">
        <v>66</v>
      </c>
      <c r="K129" s="573" t="s">
        <v>484</v>
      </c>
      <c r="L129" s="578">
        <v>12500000</v>
      </c>
      <c r="M129" s="579">
        <v>12500000</v>
      </c>
      <c r="N129" s="573" t="s">
        <v>51</v>
      </c>
      <c r="O129" s="573" t="s">
        <v>36</v>
      </c>
      <c r="P129" s="573" t="s">
        <v>504</v>
      </c>
      <c r="Q129" s="80"/>
      <c r="R129" s="596" t="s">
        <v>552</v>
      </c>
      <c r="S129" s="581"/>
      <c r="T129" s="581"/>
      <c r="U129" s="581"/>
      <c r="V129" s="581"/>
      <c r="W129" s="581"/>
      <c r="X129" s="581"/>
      <c r="Y129" s="581"/>
      <c r="Z129" s="581"/>
      <c r="AA129" s="581"/>
      <c r="AB129" s="581"/>
      <c r="AC129" s="581"/>
      <c r="AD129" s="581"/>
      <c r="AE129" s="581"/>
      <c r="AF129" s="581"/>
      <c r="AG129" s="581"/>
      <c r="AH129" s="581"/>
      <c r="AI129" s="581"/>
      <c r="AJ129" s="581"/>
      <c r="AK129" s="581"/>
      <c r="AL129" s="581"/>
      <c r="AM129" s="581"/>
    </row>
    <row r="130" spans="1:39" ht="93" hidden="1" x14ac:dyDescent="0.25">
      <c r="A130" s="572">
        <f t="shared" si="5"/>
        <v>111</v>
      </c>
      <c r="B130" s="573" t="s">
        <v>170</v>
      </c>
      <c r="C130" s="574">
        <v>80101706</v>
      </c>
      <c r="D130" s="575" t="s">
        <v>515</v>
      </c>
      <c r="E130" s="573" t="s">
        <v>48</v>
      </c>
      <c r="F130" s="573">
        <v>1</v>
      </c>
      <c r="G130" s="576" t="s">
        <v>73</v>
      </c>
      <c r="H130" s="577">
        <v>5</v>
      </c>
      <c r="I130" s="573" t="s">
        <v>61</v>
      </c>
      <c r="J130" s="573" t="s">
        <v>66</v>
      </c>
      <c r="K130" s="573" t="s">
        <v>464</v>
      </c>
      <c r="L130" s="578">
        <v>31500000</v>
      </c>
      <c r="M130" s="579">
        <v>31500000</v>
      </c>
      <c r="N130" s="573" t="s">
        <v>51</v>
      </c>
      <c r="O130" s="573" t="s">
        <v>36</v>
      </c>
      <c r="P130" s="573" t="s">
        <v>516</v>
      </c>
      <c r="Q130" s="80"/>
      <c r="R130" s="596" t="s">
        <v>259</v>
      </c>
      <c r="S130" s="581"/>
      <c r="T130" s="581"/>
      <c r="U130" s="581"/>
      <c r="V130" s="581"/>
      <c r="W130" s="581"/>
      <c r="X130" s="581"/>
      <c r="Y130" s="581"/>
      <c r="Z130" s="581"/>
      <c r="AA130" s="581"/>
      <c r="AB130" s="581"/>
      <c r="AC130" s="581"/>
      <c r="AD130" s="581"/>
      <c r="AE130" s="581"/>
      <c r="AF130" s="581"/>
      <c r="AG130" s="581"/>
      <c r="AH130" s="581"/>
      <c r="AI130" s="581"/>
      <c r="AJ130" s="581"/>
      <c r="AK130" s="581"/>
      <c r="AL130" s="581"/>
      <c r="AM130" s="581"/>
    </row>
    <row r="131" spans="1:39" ht="116.25" x14ac:dyDescent="0.25">
      <c r="A131" s="572">
        <f t="shared" si="5"/>
        <v>112</v>
      </c>
      <c r="B131" s="573" t="s">
        <v>284</v>
      </c>
      <c r="C131" s="574">
        <v>80101706</v>
      </c>
      <c r="D131" s="575" t="s">
        <v>505</v>
      </c>
      <c r="E131" s="573" t="s">
        <v>48</v>
      </c>
      <c r="F131" s="573">
        <v>1</v>
      </c>
      <c r="G131" s="576" t="s">
        <v>73</v>
      </c>
      <c r="H131" s="577">
        <v>5</v>
      </c>
      <c r="I131" s="573" t="s">
        <v>61</v>
      </c>
      <c r="J131" s="573" t="s">
        <v>66</v>
      </c>
      <c r="K131" s="573" t="s">
        <v>484</v>
      </c>
      <c r="L131" s="578">
        <v>4772500</v>
      </c>
      <c r="M131" s="579">
        <v>4772500</v>
      </c>
      <c r="N131" s="573" t="s">
        <v>51</v>
      </c>
      <c r="O131" s="573" t="s">
        <v>36</v>
      </c>
      <c r="P131" s="573" t="s">
        <v>504</v>
      </c>
      <c r="Q131" s="80"/>
      <c r="R131" s="596" t="s">
        <v>553</v>
      </c>
      <c r="S131" s="581"/>
      <c r="T131" s="581"/>
      <c r="U131" s="581"/>
      <c r="V131" s="581"/>
      <c r="W131" s="581"/>
      <c r="X131" s="581"/>
      <c r="Y131" s="581"/>
      <c r="Z131" s="581"/>
      <c r="AA131" s="581"/>
      <c r="AB131" s="581"/>
      <c r="AC131" s="581"/>
      <c r="AD131" s="581"/>
      <c r="AE131" s="581"/>
      <c r="AF131" s="581"/>
      <c r="AG131" s="581"/>
      <c r="AH131" s="581"/>
      <c r="AI131" s="581"/>
      <c r="AJ131" s="581"/>
      <c r="AK131" s="581"/>
      <c r="AL131" s="581"/>
      <c r="AM131" s="581"/>
    </row>
    <row r="132" spans="1:39" ht="93" hidden="1" x14ac:dyDescent="0.25">
      <c r="A132" s="572">
        <f t="shared" si="5"/>
        <v>113</v>
      </c>
      <c r="B132" s="573" t="s">
        <v>170</v>
      </c>
      <c r="C132" s="574">
        <v>80101706</v>
      </c>
      <c r="D132" s="575" t="s">
        <v>515</v>
      </c>
      <c r="E132" s="573" t="s">
        <v>48</v>
      </c>
      <c r="F132" s="573">
        <v>1</v>
      </c>
      <c r="G132" s="576" t="s">
        <v>73</v>
      </c>
      <c r="H132" s="577">
        <v>5</v>
      </c>
      <c r="I132" s="573" t="s">
        <v>61</v>
      </c>
      <c r="J132" s="573" t="s">
        <v>66</v>
      </c>
      <c r="K132" s="573" t="s">
        <v>464</v>
      </c>
      <c r="L132" s="578">
        <v>43680000</v>
      </c>
      <c r="M132" s="579">
        <v>43680000</v>
      </c>
      <c r="N132" s="573" t="s">
        <v>51</v>
      </c>
      <c r="O132" s="573" t="s">
        <v>36</v>
      </c>
      <c r="P132" s="573" t="s">
        <v>516</v>
      </c>
      <c r="Q132" s="80"/>
      <c r="R132" s="596" t="s">
        <v>558</v>
      </c>
      <c r="S132" s="581"/>
      <c r="T132" s="581"/>
      <c r="U132" s="581"/>
      <c r="V132" s="581"/>
      <c r="W132" s="581"/>
      <c r="X132" s="581"/>
      <c r="Y132" s="581"/>
      <c r="Z132" s="581"/>
      <c r="AA132" s="581"/>
      <c r="AB132" s="581"/>
      <c r="AC132" s="581"/>
      <c r="AD132" s="581"/>
      <c r="AE132" s="581"/>
      <c r="AF132" s="581"/>
      <c r="AG132" s="581"/>
      <c r="AH132" s="581"/>
      <c r="AI132" s="581"/>
      <c r="AJ132" s="581"/>
      <c r="AK132" s="581"/>
      <c r="AL132" s="581"/>
      <c r="AM132" s="581"/>
    </row>
    <row r="133" spans="1:39" ht="93" hidden="1" x14ac:dyDescent="0.25">
      <c r="A133" s="572">
        <f t="shared" si="5"/>
        <v>114</v>
      </c>
      <c r="B133" s="573" t="s">
        <v>170</v>
      </c>
      <c r="C133" s="574">
        <v>80101706</v>
      </c>
      <c r="D133" s="575" t="s">
        <v>515</v>
      </c>
      <c r="E133" s="573" t="s">
        <v>48</v>
      </c>
      <c r="F133" s="573">
        <v>1</v>
      </c>
      <c r="G133" s="576" t="s">
        <v>73</v>
      </c>
      <c r="H133" s="577">
        <v>5</v>
      </c>
      <c r="I133" s="573" t="s">
        <v>61</v>
      </c>
      <c r="J133" s="573" t="s">
        <v>66</v>
      </c>
      <c r="K133" s="573" t="s">
        <v>464</v>
      </c>
      <c r="L133" s="578">
        <v>40000000</v>
      </c>
      <c r="M133" s="579">
        <v>40000000</v>
      </c>
      <c r="N133" s="573" t="s">
        <v>51</v>
      </c>
      <c r="O133" s="573" t="s">
        <v>36</v>
      </c>
      <c r="P133" s="573" t="s">
        <v>516</v>
      </c>
      <c r="Q133" s="80"/>
      <c r="R133" s="596" t="s">
        <v>559</v>
      </c>
      <c r="S133" s="581"/>
      <c r="T133" s="581"/>
      <c r="U133" s="581"/>
      <c r="V133" s="581"/>
      <c r="W133" s="581"/>
      <c r="X133" s="581"/>
      <c r="Y133" s="581"/>
      <c r="Z133" s="581"/>
      <c r="AA133" s="581"/>
      <c r="AB133" s="581"/>
      <c r="AC133" s="581"/>
      <c r="AD133" s="581"/>
      <c r="AE133" s="581"/>
      <c r="AF133" s="581"/>
      <c r="AG133" s="581"/>
      <c r="AH133" s="581"/>
      <c r="AI133" s="581"/>
      <c r="AJ133" s="581"/>
      <c r="AK133" s="581"/>
      <c r="AL133" s="581"/>
      <c r="AM133" s="581"/>
    </row>
    <row r="134" spans="1:39" ht="93" hidden="1" x14ac:dyDescent="0.25">
      <c r="A134" s="572">
        <f t="shared" si="5"/>
        <v>115</v>
      </c>
      <c r="B134" s="573" t="s">
        <v>509</v>
      </c>
      <c r="C134" s="574">
        <v>80101706</v>
      </c>
      <c r="D134" s="575" t="s">
        <v>510</v>
      </c>
      <c r="E134" s="573" t="s">
        <v>48</v>
      </c>
      <c r="F134" s="573">
        <v>1</v>
      </c>
      <c r="G134" s="576" t="s">
        <v>73</v>
      </c>
      <c r="H134" s="577">
        <v>5</v>
      </c>
      <c r="I134" s="573" t="s">
        <v>61</v>
      </c>
      <c r="J134" s="573" t="s">
        <v>35</v>
      </c>
      <c r="K134" s="573" t="s">
        <v>430</v>
      </c>
      <c r="L134" s="578">
        <v>30000000</v>
      </c>
      <c r="M134" s="579">
        <v>30000000</v>
      </c>
      <c r="N134" s="573" t="s">
        <v>51</v>
      </c>
      <c r="O134" s="573" t="s">
        <v>36</v>
      </c>
      <c r="P134" s="573" t="s">
        <v>466</v>
      </c>
      <c r="Q134" s="80"/>
      <c r="R134" s="596" t="s">
        <v>245</v>
      </c>
      <c r="S134" s="581"/>
      <c r="T134" s="581"/>
      <c r="U134" s="581"/>
      <c r="V134" s="581"/>
      <c r="W134" s="581"/>
      <c r="X134" s="581"/>
      <c r="Y134" s="581"/>
      <c r="Z134" s="581"/>
      <c r="AA134" s="581"/>
      <c r="AB134" s="581"/>
      <c r="AC134" s="581"/>
      <c r="AD134" s="581"/>
      <c r="AE134" s="581"/>
      <c r="AF134" s="581"/>
      <c r="AG134" s="581"/>
      <c r="AH134" s="581"/>
      <c r="AI134" s="581"/>
      <c r="AJ134" s="581"/>
      <c r="AK134" s="581"/>
      <c r="AL134" s="581"/>
      <c r="AM134" s="581"/>
    </row>
    <row r="135" spans="1:39" ht="93" hidden="1" x14ac:dyDescent="0.25">
      <c r="A135" s="572">
        <f t="shared" si="5"/>
        <v>116</v>
      </c>
      <c r="B135" s="573" t="s">
        <v>262</v>
      </c>
      <c r="C135" s="574">
        <v>80101706</v>
      </c>
      <c r="D135" s="575" t="s">
        <v>511</v>
      </c>
      <c r="E135" s="573" t="s">
        <v>48</v>
      </c>
      <c r="F135" s="573">
        <v>1</v>
      </c>
      <c r="G135" s="576" t="s">
        <v>73</v>
      </c>
      <c r="H135" s="577" t="s">
        <v>202</v>
      </c>
      <c r="I135" s="573" t="s">
        <v>61</v>
      </c>
      <c r="J135" s="573" t="s">
        <v>35</v>
      </c>
      <c r="K135" s="573" t="s">
        <v>430</v>
      </c>
      <c r="L135" s="578">
        <v>32320200</v>
      </c>
      <c r="M135" s="579">
        <v>32320200</v>
      </c>
      <c r="N135" s="573" t="s">
        <v>51</v>
      </c>
      <c r="O135" s="573" t="s">
        <v>36</v>
      </c>
      <c r="P135" s="573" t="s">
        <v>317</v>
      </c>
      <c r="Q135" s="80"/>
      <c r="R135" s="596" t="s">
        <v>300</v>
      </c>
      <c r="S135" s="581"/>
      <c r="T135" s="581"/>
      <c r="U135" s="581"/>
      <c r="V135" s="581"/>
      <c r="W135" s="581"/>
      <c r="X135" s="581"/>
      <c r="Y135" s="581"/>
      <c r="Z135" s="581"/>
      <c r="AA135" s="581"/>
      <c r="AB135" s="581"/>
      <c r="AC135" s="581"/>
      <c r="AD135" s="581"/>
      <c r="AE135" s="581"/>
      <c r="AF135" s="581"/>
      <c r="AG135" s="581"/>
      <c r="AH135" s="581"/>
      <c r="AI135" s="581"/>
      <c r="AJ135" s="581"/>
      <c r="AK135" s="581"/>
      <c r="AL135" s="581"/>
      <c r="AM135" s="581"/>
    </row>
    <row r="136" spans="1:39" ht="116.25" x14ac:dyDescent="0.25">
      <c r="A136" s="572">
        <f t="shared" si="5"/>
        <v>117</v>
      </c>
      <c r="B136" s="573" t="s">
        <v>512</v>
      </c>
      <c r="C136" s="574">
        <v>80101706</v>
      </c>
      <c r="D136" s="575" t="s">
        <v>513</v>
      </c>
      <c r="E136" s="573" t="s">
        <v>48</v>
      </c>
      <c r="F136" s="573">
        <v>1</v>
      </c>
      <c r="G136" s="576" t="s">
        <v>73</v>
      </c>
      <c r="H136" s="577">
        <v>5</v>
      </c>
      <c r="I136" s="573" t="s">
        <v>61</v>
      </c>
      <c r="J136" s="573" t="s">
        <v>66</v>
      </c>
      <c r="K136" s="573" t="s">
        <v>484</v>
      </c>
      <c r="L136" s="578">
        <v>56450000</v>
      </c>
      <c r="M136" s="579">
        <v>56450000</v>
      </c>
      <c r="N136" s="573" t="s">
        <v>51</v>
      </c>
      <c r="O136" s="573" t="s">
        <v>36</v>
      </c>
      <c r="P136" s="573" t="s">
        <v>514</v>
      </c>
      <c r="Q136" s="80"/>
      <c r="R136" s="596" t="s">
        <v>554</v>
      </c>
      <c r="S136" s="581"/>
      <c r="T136" s="581"/>
      <c r="U136" s="581"/>
      <c r="V136" s="581"/>
      <c r="W136" s="581"/>
      <c r="X136" s="581"/>
      <c r="Y136" s="581"/>
      <c r="Z136" s="581"/>
      <c r="AA136" s="581"/>
      <c r="AB136" s="581"/>
      <c r="AC136" s="581"/>
      <c r="AD136" s="581"/>
      <c r="AE136" s="581"/>
      <c r="AF136" s="581"/>
      <c r="AG136" s="581"/>
      <c r="AH136" s="581"/>
      <c r="AI136" s="581"/>
      <c r="AJ136" s="581"/>
      <c r="AK136" s="581"/>
      <c r="AL136" s="581"/>
      <c r="AM136" s="581"/>
    </row>
    <row r="137" spans="1:39" ht="116.25" x14ac:dyDescent="0.25">
      <c r="A137" s="572">
        <f t="shared" si="5"/>
        <v>118</v>
      </c>
      <c r="B137" s="573" t="s">
        <v>512</v>
      </c>
      <c r="C137" s="574">
        <v>80101706</v>
      </c>
      <c r="D137" s="575" t="s">
        <v>513</v>
      </c>
      <c r="E137" s="573" t="s">
        <v>48</v>
      </c>
      <c r="F137" s="573">
        <v>1</v>
      </c>
      <c r="G137" s="576" t="s">
        <v>73</v>
      </c>
      <c r="H137" s="577">
        <v>5</v>
      </c>
      <c r="I137" s="573" t="s">
        <v>61</v>
      </c>
      <c r="J137" s="573" t="s">
        <v>66</v>
      </c>
      <c r="K137" s="573" t="s">
        <v>484</v>
      </c>
      <c r="L137" s="578">
        <v>25040000</v>
      </c>
      <c r="M137" s="579">
        <v>25040000</v>
      </c>
      <c r="N137" s="573" t="s">
        <v>51</v>
      </c>
      <c r="O137" s="573" t="s">
        <v>36</v>
      </c>
      <c r="P137" s="573" t="s">
        <v>514</v>
      </c>
      <c r="Q137" s="80"/>
      <c r="R137" s="596" t="s">
        <v>253</v>
      </c>
      <c r="S137" s="581"/>
      <c r="T137" s="581"/>
      <c r="U137" s="581"/>
      <c r="V137" s="581"/>
      <c r="W137" s="581"/>
      <c r="X137" s="581"/>
      <c r="Y137" s="581"/>
      <c r="Z137" s="581"/>
      <c r="AA137" s="581"/>
      <c r="AB137" s="581"/>
      <c r="AC137" s="581"/>
      <c r="AD137" s="581"/>
      <c r="AE137" s="581"/>
      <c r="AF137" s="581"/>
      <c r="AG137" s="581"/>
      <c r="AH137" s="581"/>
      <c r="AI137" s="581"/>
      <c r="AJ137" s="581"/>
      <c r="AK137" s="581"/>
      <c r="AL137" s="581"/>
      <c r="AM137" s="581"/>
    </row>
    <row r="138" spans="1:39" ht="116.25" x14ac:dyDescent="0.25">
      <c r="A138" s="572">
        <f t="shared" si="5"/>
        <v>119</v>
      </c>
      <c r="B138" s="573" t="s">
        <v>512</v>
      </c>
      <c r="C138" s="574">
        <v>80101706</v>
      </c>
      <c r="D138" s="575" t="s">
        <v>513</v>
      </c>
      <c r="E138" s="573" t="s">
        <v>48</v>
      </c>
      <c r="F138" s="573">
        <v>1</v>
      </c>
      <c r="G138" s="576" t="s">
        <v>73</v>
      </c>
      <c r="H138" s="577">
        <v>5</v>
      </c>
      <c r="I138" s="573" t="s">
        <v>61</v>
      </c>
      <c r="J138" s="573" t="s">
        <v>66</v>
      </c>
      <c r="K138" s="573" t="s">
        <v>484</v>
      </c>
      <c r="L138" s="578">
        <v>45000000</v>
      </c>
      <c r="M138" s="579">
        <v>45000000</v>
      </c>
      <c r="N138" s="573" t="s">
        <v>51</v>
      </c>
      <c r="O138" s="573" t="s">
        <v>36</v>
      </c>
      <c r="P138" s="573" t="s">
        <v>514</v>
      </c>
      <c r="Q138" s="80"/>
      <c r="R138" s="596" t="s">
        <v>555</v>
      </c>
      <c r="S138" s="581"/>
      <c r="T138" s="581"/>
      <c r="U138" s="581"/>
      <c r="V138" s="581"/>
      <c r="W138" s="581"/>
      <c r="X138" s="581"/>
      <c r="Y138" s="581"/>
      <c r="Z138" s="581"/>
      <c r="AA138" s="581"/>
      <c r="AB138" s="581"/>
      <c r="AC138" s="581"/>
      <c r="AD138" s="581"/>
      <c r="AE138" s="581"/>
      <c r="AF138" s="581"/>
      <c r="AG138" s="581"/>
      <c r="AH138" s="581"/>
      <c r="AI138" s="581"/>
      <c r="AJ138" s="581"/>
      <c r="AK138" s="581"/>
      <c r="AL138" s="581"/>
      <c r="AM138" s="581"/>
    </row>
    <row r="139" spans="1:39" ht="116.25" x14ac:dyDescent="0.25">
      <c r="A139" s="572">
        <f t="shared" si="5"/>
        <v>120</v>
      </c>
      <c r="B139" s="573" t="s">
        <v>512</v>
      </c>
      <c r="C139" s="574">
        <v>80101706</v>
      </c>
      <c r="D139" s="575" t="s">
        <v>513</v>
      </c>
      <c r="E139" s="573" t="s">
        <v>48</v>
      </c>
      <c r="F139" s="573">
        <v>1</v>
      </c>
      <c r="G139" s="576" t="s">
        <v>73</v>
      </c>
      <c r="H139" s="577">
        <v>5</v>
      </c>
      <c r="I139" s="573" t="s">
        <v>61</v>
      </c>
      <c r="J139" s="573" t="s">
        <v>66</v>
      </c>
      <c r="K139" s="573" t="s">
        <v>484</v>
      </c>
      <c r="L139" s="578">
        <v>35830000</v>
      </c>
      <c r="M139" s="579">
        <v>35830000</v>
      </c>
      <c r="N139" s="573" t="s">
        <v>51</v>
      </c>
      <c r="O139" s="573" t="s">
        <v>36</v>
      </c>
      <c r="P139" s="573" t="s">
        <v>514</v>
      </c>
      <c r="Q139" s="80"/>
      <c r="R139" s="596" t="s">
        <v>556</v>
      </c>
      <c r="S139" s="581"/>
      <c r="T139" s="581"/>
      <c r="U139" s="581"/>
      <c r="V139" s="581"/>
      <c r="W139" s="581"/>
      <c r="X139" s="581"/>
      <c r="Y139" s="581"/>
      <c r="Z139" s="581"/>
      <c r="AA139" s="581"/>
      <c r="AB139" s="581"/>
      <c r="AC139" s="581"/>
      <c r="AD139" s="581"/>
      <c r="AE139" s="581"/>
      <c r="AF139" s="581"/>
      <c r="AG139" s="581"/>
      <c r="AH139" s="581"/>
      <c r="AI139" s="581"/>
      <c r="AJ139" s="581"/>
      <c r="AK139" s="581"/>
      <c r="AL139" s="581"/>
      <c r="AM139" s="581"/>
    </row>
    <row r="140" spans="1:39" ht="116.25" x14ac:dyDescent="0.25">
      <c r="A140" s="572">
        <f t="shared" si="5"/>
        <v>121</v>
      </c>
      <c r="B140" s="573" t="s">
        <v>512</v>
      </c>
      <c r="C140" s="574">
        <v>80101706</v>
      </c>
      <c r="D140" s="575" t="s">
        <v>513</v>
      </c>
      <c r="E140" s="573" t="s">
        <v>48</v>
      </c>
      <c r="F140" s="573">
        <v>1</v>
      </c>
      <c r="G140" s="576" t="s">
        <v>73</v>
      </c>
      <c r="H140" s="577">
        <v>5</v>
      </c>
      <c r="I140" s="573" t="s">
        <v>61</v>
      </c>
      <c r="J140" s="573" t="s">
        <v>66</v>
      </c>
      <c r="K140" s="573" t="s">
        <v>484</v>
      </c>
      <c r="L140" s="578">
        <v>14000000</v>
      </c>
      <c r="M140" s="579">
        <v>14000000</v>
      </c>
      <c r="N140" s="573" t="s">
        <v>51</v>
      </c>
      <c r="O140" s="573" t="s">
        <v>36</v>
      </c>
      <c r="P140" s="573" t="s">
        <v>514</v>
      </c>
      <c r="Q140" s="80"/>
      <c r="R140" s="596" t="s">
        <v>557</v>
      </c>
      <c r="S140" s="581"/>
      <c r="T140" s="581"/>
      <c r="U140" s="581"/>
      <c r="V140" s="581"/>
      <c r="W140" s="581"/>
      <c r="X140" s="581"/>
      <c r="Y140" s="581"/>
      <c r="Z140" s="581"/>
      <c r="AA140" s="581"/>
      <c r="AB140" s="581"/>
      <c r="AC140" s="581"/>
      <c r="AD140" s="581"/>
      <c r="AE140" s="581"/>
      <c r="AF140" s="581"/>
      <c r="AG140" s="581"/>
      <c r="AH140" s="581"/>
      <c r="AI140" s="581"/>
      <c r="AJ140" s="581"/>
      <c r="AK140" s="581"/>
      <c r="AL140" s="581"/>
      <c r="AM140" s="581"/>
    </row>
    <row r="141" spans="1:39" ht="93" hidden="1" x14ac:dyDescent="0.25">
      <c r="A141" s="572">
        <f t="shared" si="5"/>
        <v>122</v>
      </c>
      <c r="B141" s="573" t="s">
        <v>264</v>
      </c>
      <c r="C141" s="574">
        <v>80101706</v>
      </c>
      <c r="D141" s="575" t="s">
        <v>517</v>
      </c>
      <c r="E141" s="573" t="s">
        <v>48</v>
      </c>
      <c r="F141" s="573">
        <v>1</v>
      </c>
      <c r="G141" s="576" t="s">
        <v>73</v>
      </c>
      <c r="H141" s="577">
        <v>5</v>
      </c>
      <c r="I141" s="573" t="s">
        <v>61</v>
      </c>
      <c r="J141" s="573" t="s">
        <v>66</v>
      </c>
      <c r="K141" s="573" t="s">
        <v>464</v>
      </c>
      <c r="L141" s="578">
        <v>24485000</v>
      </c>
      <c r="M141" s="579">
        <v>24485000</v>
      </c>
      <c r="N141" s="573" t="s">
        <v>51</v>
      </c>
      <c r="O141" s="573" t="s">
        <v>36</v>
      </c>
      <c r="P141" s="573" t="s">
        <v>518</v>
      </c>
      <c r="Q141" s="80"/>
      <c r="R141" s="596" t="s">
        <v>560</v>
      </c>
      <c r="S141" s="581"/>
      <c r="T141" s="581"/>
      <c r="U141" s="581"/>
      <c r="V141" s="581"/>
      <c r="W141" s="581"/>
      <c r="X141" s="581"/>
      <c r="Y141" s="581"/>
      <c r="Z141" s="581"/>
      <c r="AA141" s="581"/>
      <c r="AB141" s="581"/>
      <c r="AC141" s="581"/>
      <c r="AD141" s="581"/>
      <c r="AE141" s="581"/>
      <c r="AF141" s="581"/>
      <c r="AG141" s="581"/>
      <c r="AH141" s="581"/>
      <c r="AI141" s="581"/>
      <c r="AJ141" s="581"/>
      <c r="AK141" s="581"/>
      <c r="AL141" s="581"/>
      <c r="AM141" s="581"/>
    </row>
    <row r="142" spans="1:39" ht="93" hidden="1" x14ac:dyDescent="0.25">
      <c r="A142" s="572">
        <f t="shared" si="5"/>
        <v>123</v>
      </c>
      <c r="B142" s="573" t="s">
        <v>264</v>
      </c>
      <c r="C142" s="574">
        <v>80101706</v>
      </c>
      <c r="D142" s="575" t="s">
        <v>517</v>
      </c>
      <c r="E142" s="573" t="s">
        <v>48</v>
      </c>
      <c r="F142" s="573">
        <v>1</v>
      </c>
      <c r="G142" s="576" t="s">
        <v>73</v>
      </c>
      <c r="H142" s="577">
        <v>5</v>
      </c>
      <c r="I142" s="573" t="s">
        <v>61</v>
      </c>
      <c r="J142" s="573" t="s">
        <v>66</v>
      </c>
      <c r="K142" s="573" t="s">
        <v>464</v>
      </c>
      <c r="L142" s="578">
        <v>19475000</v>
      </c>
      <c r="M142" s="579">
        <v>19475000</v>
      </c>
      <c r="N142" s="573" t="s">
        <v>51</v>
      </c>
      <c r="O142" s="573" t="s">
        <v>36</v>
      </c>
      <c r="P142" s="573" t="s">
        <v>518</v>
      </c>
      <c r="Q142" s="80"/>
      <c r="R142" s="596" t="s">
        <v>256</v>
      </c>
      <c r="S142" s="581"/>
      <c r="T142" s="581"/>
      <c r="U142" s="581"/>
      <c r="V142" s="581"/>
      <c r="W142" s="581"/>
      <c r="X142" s="581"/>
      <c r="Y142" s="581"/>
      <c r="Z142" s="581"/>
      <c r="AA142" s="581"/>
      <c r="AB142" s="581"/>
      <c r="AC142" s="581"/>
      <c r="AD142" s="581"/>
      <c r="AE142" s="581"/>
      <c r="AF142" s="581"/>
      <c r="AG142" s="581"/>
      <c r="AH142" s="581"/>
      <c r="AI142" s="581"/>
      <c r="AJ142" s="581"/>
      <c r="AK142" s="581"/>
      <c r="AL142" s="581"/>
      <c r="AM142" s="581"/>
    </row>
    <row r="143" spans="1:39" ht="93" hidden="1" x14ac:dyDescent="0.25">
      <c r="A143" s="572">
        <f t="shared" si="5"/>
        <v>124</v>
      </c>
      <c r="B143" s="573" t="s">
        <v>265</v>
      </c>
      <c r="C143" s="574">
        <v>80101706</v>
      </c>
      <c r="D143" s="575" t="s">
        <v>519</v>
      </c>
      <c r="E143" s="573" t="s">
        <v>48</v>
      </c>
      <c r="F143" s="573">
        <v>1</v>
      </c>
      <c r="G143" s="576" t="s">
        <v>73</v>
      </c>
      <c r="H143" s="577">
        <v>5</v>
      </c>
      <c r="I143" s="573" t="s">
        <v>61</v>
      </c>
      <c r="J143" s="573" t="s">
        <v>66</v>
      </c>
      <c r="K143" s="573" t="s">
        <v>464</v>
      </c>
      <c r="L143" s="578">
        <v>18365000</v>
      </c>
      <c r="M143" s="579">
        <v>18365000</v>
      </c>
      <c r="N143" s="573" t="s">
        <v>51</v>
      </c>
      <c r="O143" s="573" t="s">
        <v>36</v>
      </c>
      <c r="P143" s="573" t="s">
        <v>518</v>
      </c>
      <c r="Q143" s="80"/>
      <c r="R143" s="596" t="s">
        <v>261</v>
      </c>
      <c r="S143" s="581"/>
      <c r="T143" s="581"/>
      <c r="U143" s="581"/>
      <c r="V143" s="581"/>
      <c r="W143" s="581"/>
      <c r="X143" s="581"/>
      <c r="Y143" s="581"/>
      <c r="Z143" s="581"/>
      <c r="AA143" s="581"/>
      <c r="AB143" s="581"/>
      <c r="AC143" s="581"/>
      <c r="AD143" s="581"/>
      <c r="AE143" s="581"/>
      <c r="AF143" s="581"/>
      <c r="AG143" s="581"/>
      <c r="AH143" s="581"/>
      <c r="AI143" s="581"/>
      <c r="AJ143" s="581"/>
      <c r="AK143" s="581"/>
      <c r="AL143" s="581"/>
      <c r="AM143" s="581"/>
    </row>
    <row r="144" spans="1:39" ht="93" hidden="1" x14ac:dyDescent="0.25">
      <c r="A144" s="572">
        <f t="shared" si="5"/>
        <v>125</v>
      </c>
      <c r="B144" s="573" t="s">
        <v>265</v>
      </c>
      <c r="C144" s="574">
        <v>80101706</v>
      </c>
      <c r="D144" s="575" t="s">
        <v>519</v>
      </c>
      <c r="E144" s="573" t="s">
        <v>48</v>
      </c>
      <c r="F144" s="573">
        <v>1</v>
      </c>
      <c r="G144" s="576" t="s">
        <v>73</v>
      </c>
      <c r="H144" s="577">
        <v>5</v>
      </c>
      <c r="I144" s="573" t="s">
        <v>61</v>
      </c>
      <c r="J144" s="573" t="s">
        <v>66</v>
      </c>
      <c r="K144" s="573" t="s">
        <v>464</v>
      </c>
      <c r="L144" s="578">
        <v>25000000</v>
      </c>
      <c r="M144" s="579">
        <v>25000000</v>
      </c>
      <c r="N144" s="573" t="s">
        <v>51</v>
      </c>
      <c r="O144" s="573" t="s">
        <v>36</v>
      </c>
      <c r="P144" s="573" t="s">
        <v>518</v>
      </c>
      <c r="Q144" s="80"/>
      <c r="R144" s="596" t="s">
        <v>270</v>
      </c>
      <c r="S144" s="581"/>
      <c r="T144" s="581"/>
      <c r="U144" s="581"/>
      <c r="V144" s="581"/>
      <c r="W144" s="581"/>
      <c r="X144" s="581"/>
      <c r="Y144" s="581"/>
      <c r="Z144" s="581"/>
      <c r="AA144" s="581"/>
      <c r="AB144" s="581"/>
      <c r="AC144" s="581"/>
      <c r="AD144" s="581"/>
      <c r="AE144" s="581"/>
      <c r="AF144" s="581"/>
      <c r="AG144" s="581"/>
      <c r="AH144" s="581"/>
      <c r="AI144" s="581"/>
      <c r="AJ144" s="581"/>
      <c r="AK144" s="581"/>
      <c r="AL144" s="581"/>
      <c r="AM144" s="581"/>
    </row>
    <row r="145" spans="1:39" ht="93" hidden="1" x14ac:dyDescent="0.25">
      <c r="A145" s="572">
        <f t="shared" si="5"/>
        <v>126</v>
      </c>
      <c r="B145" s="573" t="s">
        <v>265</v>
      </c>
      <c r="C145" s="574">
        <v>80101706</v>
      </c>
      <c r="D145" s="575" t="s">
        <v>519</v>
      </c>
      <c r="E145" s="573" t="s">
        <v>48</v>
      </c>
      <c r="F145" s="573">
        <v>1</v>
      </c>
      <c r="G145" s="576" t="s">
        <v>73</v>
      </c>
      <c r="H145" s="577">
        <v>5</v>
      </c>
      <c r="I145" s="573" t="s">
        <v>61</v>
      </c>
      <c r="J145" s="573" t="s">
        <v>66</v>
      </c>
      <c r="K145" s="573" t="s">
        <v>464</v>
      </c>
      <c r="L145" s="578">
        <v>25000000</v>
      </c>
      <c r="M145" s="579">
        <v>25000000</v>
      </c>
      <c r="N145" s="573" t="s">
        <v>51</v>
      </c>
      <c r="O145" s="573" t="s">
        <v>36</v>
      </c>
      <c r="P145" s="573" t="s">
        <v>518</v>
      </c>
      <c r="Q145" s="80"/>
      <c r="R145" s="596" t="s">
        <v>271</v>
      </c>
      <c r="S145" s="581"/>
      <c r="T145" s="581"/>
      <c r="U145" s="581"/>
      <c r="V145" s="581"/>
      <c r="W145" s="581"/>
      <c r="X145" s="581"/>
      <c r="Y145" s="581"/>
      <c r="Z145" s="581"/>
      <c r="AA145" s="581"/>
      <c r="AB145" s="581"/>
      <c r="AC145" s="581"/>
      <c r="AD145" s="581"/>
      <c r="AE145" s="581"/>
      <c r="AF145" s="581"/>
      <c r="AG145" s="581"/>
      <c r="AH145" s="581"/>
      <c r="AI145" s="581"/>
      <c r="AJ145" s="581"/>
      <c r="AK145" s="581"/>
      <c r="AL145" s="581"/>
      <c r="AM145" s="581"/>
    </row>
    <row r="146" spans="1:39" ht="93" hidden="1" x14ac:dyDescent="0.25">
      <c r="A146" s="572">
        <f t="shared" si="5"/>
        <v>127</v>
      </c>
      <c r="B146" s="573" t="s">
        <v>520</v>
      </c>
      <c r="C146" s="574">
        <v>80101706</v>
      </c>
      <c r="D146" s="575" t="s">
        <v>521</v>
      </c>
      <c r="E146" s="573" t="s">
        <v>48</v>
      </c>
      <c r="F146" s="573">
        <v>1</v>
      </c>
      <c r="G146" s="576" t="s">
        <v>73</v>
      </c>
      <c r="H146" s="577">
        <v>5</v>
      </c>
      <c r="I146" s="573" t="s">
        <v>61</v>
      </c>
      <c r="J146" s="573" t="s">
        <v>66</v>
      </c>
      <c r="K146" s="573" t="s">
        <v>464</v>
      </c>
      <c r="L146" s="578">
        <v>36750000</v>
      </c>
      <c r="M146" s="579">
        <v>36750000</v>
      </c>
      <c r="N146" s="573" t="s">
        <v>51</v>
      </c>
      <c r="O146" s="573" t="s">
        <v>36</v>
      </c>
      <c r="P146" s="573" t="s">
        <v>522</v>
      </c>
      <c r="Q146" s="80"/>
      <c r="R146" s="596" t="s">
        <v>258</v>
      </c>
      <c r="S146" s="581"/>
      <c r="T146" s="581"/>
      <c r="U146" s="581"/>
      <c r="V146" s="581"/>
      <c r="W146" s="581"/>
      <c r="X146" s="581"/>
      <c r="Y146" s="581"/>
      <c r="Z146" s="581"/>
      <c r="AA146" s="581"/>
      <c r="AB146" s="581"/>
      <c r="AC146" s="581"/>
      <c r="AD146" s="581"/>
      <c r="AE146" s="581"/>
      <c r="AF146" s="581"/>
      <c r="AG146" s="581"/>
      <c r="AH146" s="581"/>
      <c r="AI146" s="581"/>
      <c r="AJ146" s="581"/>
      <c r="AK146" s="581"/>
      <c r="AL146" s="581"/>
      <c r="AM146" s="581"/>
    </row>
    <row r="147" spans="1:39" ht="93" hidden="1" x14ac:dyDescent="0.25">
      <c r="A147" s="572">
        <f t="shared" si="5"/>
        <v>128</v>
      </c>
      <c r="B147" s="573" t="s">
        <v>520</v>
      </c>
      <c r="C147" s="574">
        <v>80101706</v>
      </c>
      <c r="D147" s="575" t="s">
        <v>521</v>
      </c>
      <c r="E147" s="573" t="s">
        <v>48</v>
      </c>
      <c r="F147" s="573">
        <v>1</v>
      </c>
      <c r="G147" s="576" t="s">
        <v>73</v>
      </c>
      <c r="H147" s="577">
        <v>5</v>
      </c>
      <c r="I147" s="573" t="s">
        <v>61</v>
      </c>
      <c r="J147" s="573" t="s">
        <v>66</v>
      </c>
      <c r="K147" s="573" t="s">
        <v>464</v>
      </c>
      <c r="L147" s="578">
        <v>24485000</v>
      </c>
      <c r="M147" s="579">
        <v>24485000</v>
      </c>
      <c r="N147" s="573" t="s">
        <v>51</v>
      </c>
      <c r="O147" s="573" t="s">
        <v>36</v>
      </c>
      <c r="P147" s="573" t="s">
        <v>522</v>
      </c>
      <c r="Q147" s="80"/>
      <c r="R147" s="596" t="s">
        <v>281</v>
      </c>
      <c r="S147" s="581"/>
      <c r="T147" s="581"/>
      <c r="U147" s="581"/>
      <c r="V147" s="581"/>
      <c r="W147" s="581"/>
      <c r="X147" s="581"/>
      <c r="Y147" s="581"/>
      <c r="Z147" s="581"/>
      <c r="AA147" s="581"/>
      <c r="AB147" s="581"/>
      <c r="AC147" s="581"/>
      <c r="AD147" s="581"/>
      <c r="AE147" s="581"/>
      <c r="AF147" s="581"/>
      <c r="AG147" s="581"/>
      <c r="AH147" s="581"/>
      <c r="AI147" s="581"/>
      <c r="AJ147" s="581"/>
      <c r="AK147" s="581"/>
      <c r="AL147" s="581"/>
      <c r="AM147" s="581"/>
    </row>
    <row r="148" spans="1:39" ht="93" hidden="1" x14ac:dyDescent="0.25">
      <c r="A148" s="572">
        <f t="shared" si="5"/>
        <v>129</v>
      </c>
      <c r="B148" s="573" t="s">
        <v>520</v>
      </c>
      <c r="C148" s="574">
        <v>80101706</v>
      </c>
      <c r="D148" s="575" t="s">
        <v>521</v>
      </c>
      <c r="E148" s="573" t="s">
        <v>48</v>
      </c>
      <c r="F148" s="573">
        <v>1</v>
      </c>
      <c r="G148" s="576" t="s">
        <v>73</v>
      </c>
      <c r="H148" s="577">
        <v>5</v>
      </c>
      <c r="I148" s="573" t="s">
        <v>61</v>
      </c>
      <c r="J148" s="573" t="s">
        <v>66</v>
      </c>
      <c r="K148" s="573" t="s">
        <v>464</v>
      </c>
      <c r="L148" s="578">
        <v>19475000</v>
      </c>
      <c r="M148" s="579">
        <v>19475000</v>
      </c>
      <c r="N148" s="573" t="s">
        <v>51</v>
      </c>
      <c r="O148" s="573" t="s">
        <v>36</v>
      </c>
      <c r="P148" s="573" t="s">
        <v>522</v>
      </c>
      <c r="Q148" s="80"/>
      <c r="R148" s="596" t="s">
        <v>247</v>
      </c>
      <c r="S148" s="581"/>
      <c r="T148" s="581"/>
      <c r="U148" s="581"/>
      <c r="V148" s="581"/>
      <c r="W148" s="581"/>
      <c r="X148" s="581"/>
      <c r="Y148" s="581"/>
      <c r="Z148" s="581"/>
      <c r="AA148" s="581"/>
      <c r="AB148" s="581"/>
      <c r="AC148" s="581"/>
      <c r="AD148" s="581"/>
      <c r="AE148" s="581"/>
      <c r="AF148" s="581"/>
      <c r="AG148" s="581"/>
      <c r="AH148" s="581"/>
      <c r="AI148" s="581"/>
      <c r="AJ148" s="581"/>
      <c r="AK148" s="581"/>
      <c r="AL148" s="581"/>
      <c r="AM148" s="581"/>
    </row>
    <row r="149" spans="1:39" ht="93" hidden="1" x14ac:dyDescent="0.25">
      <c r="A149" s="572">
        <f t="shared" si="5"/>
        <v>130</v>
      </c>
      <c r="B149" s="573" t="s">
        <v>520</v>
      </c>
      <c r="C149" s="574">
        <v>80101706</v>
      </c>
      <c r="D149" s="575" t="s">
        <v>521</v>
      </c>
      <c r="E149" s="573" t="s">
        <v>48</v>
      </c>
      <c r="F149" s="573">
        <v>1</v>
      </c>
      <c r="G149" s="576" t="s">
        <v>73</v>
      </c>
      <c r="H149" s="577">
        <v>5</v>
      </c>
      <c r="I149" s="573" t="s">
        <v>61</v>
      </c>
      <c r="J149" s="573" t="s">
        <v>66</v>
      </c>
      <c r="K149" s="573" t="s">
        <v>464</v>
      </c>
      <c r="L149" s="578">
        <v>36750000</v>
      </c>
      <c r="M149" s="579">
        <v>36750000</v>
      </c>
      <c r="N149" s="573" t="s">
        <v>51</v>
      </c>
      <c r="O149" s="573" t="s">
        <v>36</v>
      </c>
      <c r="P149" s="573" t="s">
        <v>522</v>
      </c>
      <c r="Q149" s="80"/>
      <c r="R149" s="596" t="s">
        <v>277</v>
      </c>
      <c r="S149" s="581"/>
      <c r="T149" s="581"/>
      <c r="U149" s="581"/>
      <c r="V149" s="581"/>
      <c r="W149" s="581"/>
      <c r="X149" s="581"/>
      <c r="Y149" s="581"/>
      <c r="Z149" s="581"/>
      <c r="AA149" s="581"/>
      <c r="AB149" s="581"/>
      <c r="AC149" s="581"/>
      <c r="AD149" s="581"/>
      <c r="AE149" s="581"/>
      <c r="AF149" s="581"/>
      <c r="AG149" s="581"/>
      <c r="AH149" s="581"/>
      <c r="AI149" s="581"/>
      <c r="AJ149" s="581"/>
      <c r="AK149" s="581"/>
      <c r="AL149" s="581"/>
      <c r="AM149" s="581"/>
    </row>
    <row r="150" spans="1:39" ht="93" hidden="1" x14ac:dyDescent="0.25">
      <c r="A150" s="572">
        <f t="shared" si="5"/>
        <v>131</v>
      </c>
      <c r="B150" s="573" t="s">
        <v>520</v>
      </c>
      <c r="C150" s="574">
        <v>80101706</v>
      </c>
      <c r="D150" s="575" t="s">
        <v>521</v>
      </c>
      <c r="E150" s="573" t="s">
        <v>48</v>
      </c>
      <c r="F150" s="573">
        <v>1</v>
      </c>
      <c r="G150" s="576" t="s">
        <v>73</v>
      </c>
      <c r="H150" s="577">
        <v>5</v>
      </c>
      <c r="I150" s="573" t="s">
        <v>61</v>
      </c>
      <c r="J150" s="573" t="s">
        <v>66</v>
      </c>
      <c r="K150" s="573" t="s">
        <v>464</v>
      </c>
      <c r="L150" s="578">
        <v>36750000</v>
      </c>
      <c r="M150" s="579">
        <v>36750000</v>
      </c>
      <c r="N150" s="573" t="s">
        <v>51</v>
      </c>
      <c r="O150" s="573" t="s">
        <v>36</v>
      </c>
      <c r="P150" s="573" t="s">
        <v>522</v>
      </c>
      <c r="Q150" s="80"/>
      <c r="R150" s="596" t="s">
        <v>561</v>
      </c>
      <c r="S150" s="581"/>
      <c r="T150" s="581"/>
      <c r="U150" s="581"/>
      <c r="V150" s="581"/>
      <c r="W150" s="581"/>
      <c r="X150" s="581"/>
      <c r="Y150" s="581"/>
      <c r="Z150" s="581"/>
      <c r="AA150" s="581"/>
      <c r="AB150" s="581"/>
      <c r="AC150" s="581"/>
      <c r="AD150" s="581"/>
      <c r="AE150" s="581"/>
      <c r="AF150" s="581"/>
      <c r="AG150" s="581"/>
      <c r="AH150" s="581"/>
      <c r="AI150" s="581"/>
      <c r="AJ150" s="581"/>
      <c r="AK150" s="581"/>
      <c r="AL150" s="581"/>
      <c r="AM150" s="581"/>
    </row>
    <row r="151" spans="1:39" ht="116.25" hidden="1" x14ac:dyDescent="0.25">
      <c r="A151" s="572">
        <f t="shared" si="5"/>
        <v>132</v>
      </c>
      <c r="B151" s="573" t="s">
        <v>171</v>
      </c>
      <c r="C151" s="574">
        <v>80101706</v>
      </c>
      <c r="D151" s="575" t="s">
        <v>523</v>
      </c>
      <c r="E151" s="573" t="s">
        <v>48</v>
      </c>
      <c r="F151" s="573">
        <v>1</v>
      </c>
      <c r="G151" s="576" t="s">
        <v>73</v>
      </c>
      <c r="H151" s="577">
        <v>5</v>
      </c>
      <c r="I151" s="573" t="s">
        <v>61</v>
      </c>
      <c r="J151" s="573" t="s">
        <v>66</v>
      </c>
      <c r="K151" s="573" t="s">
        <v>464</v>
      </c>
      <c r="L151" s="578">
        <v>8425000</v>
      </c>
      <c r="M151" s="579">
        <v>8425000</v>
      </c>
      <c r="N151" s="573" t="s">
        <v>51</v>
      </c>
      <c r="O151" s="573" t="s">
        <v>36</v>
      </c>
      <c r="P151" s="573" t="s">
        <v>524</v>
      </c>
      <c r="Q151" s="80"/>
      <c r="R151" s="596" t="s">
        <v>562</v>
      </c>
      <c r="S151" s="581"/>
      <c r="T151" s="581"/>
      <c r="U151" s="581"/>
      <c r="V151" s="581"/>
      <c r="W151" s="581"/>
      <c r="X151" s="581"/>
      <c r="Y151" s="581"/>
      <c r="Z151" s="581"/>
      <c r="AA151" s="581"/>
      <c r="AB151" s="581"/>
      <c r="AC151" s="581"/>
      <c r="AD151" s="581"/>
      <c r="AE151" s="581"/>
      <c r="AF151" s="581"/>
      <c r="AG151" s="581"/>
      <c r="AH151" s="581"/>
      <c r="AI151" s="581"/>
      <c r="AJ151" s="581"/>
      <c r="AK151" s="581"/>
      <c r="AL151" s="581"/>
      <c r="AM151" s="581"/>
    </row>
    <row r="152" spans="1:39" ht="116.25" hidden="1" x14ac:dyDescent="0.25">
      <c r="A152" s="572">
        <f t="shared" si="5"/>
        <v>133</v>
      </c>
      <c r="B152" s="573" t="s">
        <v>171</v>
      </c>
      <c r="C152" s="574">
        <v>80101706</v>
      </c>
      <c r="D152" s="575" t="s">
        <v>525</v>
      </c>
      <c r="E152" s="573" t="s">
        <v>48</v>
      </c>
      <c r="F152" s="573">
        <v>1</v>
      </c>
      <c r="G152" s="576" t="s">
        <v>73</v>
      </c>
      <c r="H152" s="577">
        <v>5</v>
      </c>
      <c r="I152" s="573" t="s">
        <v>61</v>
      </c>
      <c r="J152" s="573" t="s">
        <v>66</v>
      </c>
      <c r="K152" s="573" t="s">
        <v>464</v>
      </c>
      <c r="L152" s="578">
        <v>17590000</v>
      </c>
      <c r="M152" s="579">
        <v>17590000</v>
      </c>
      <c r="N152" s="573" t="s">
        <v>51</v>
      </c>
      <c r="O152" s="573" t="s">
        <v>36</v>
      </c>
      <c r="P152" s="573" t="s">
        <v>524</v>
      </c>
      <c r="Q152" s="80"/>
      <c r="R152" s="596" t="s">
        <v>237</v>
      </c>
      <c r="S152" s="581"/>
      <c r="T152" s="581"/>
      <c r="U152" s="581"/>
      <c r="V152" s="581"/>
      <c r="W152" s="581"/>
      <c r="X152" s="581"/>
      <c r="Y152" s="581"/>
      <c r="Z152" s="581"/>
      <c r="AA152" s="581"/>
      <c r="AB152" s="581"/>
      <c r="AC152" s="581"/>
      <c r="AD152" s="581"/>
      <c r="AE152" s="581"/>
      <c r="AF152" s="581"/>
      <c r="AG152" s="581"/>
      <c r="AH152" s="581"/>
      <c r="AI152" s="581"/>
      <c r="AJ152" s="581"/>
      <c r="AK152" s="581"/>
      <c r="AL152" s="581"/>
      <c r="AM152" s="581"/>
    </row>
    <row r="153" spans="1:39" ht="116.25" hidden="1" x14ac:dyDescent="0.25">
      <c r="A153" s="572">
        <f t="shared" si="5"/>
        <v>134</v>
      </c>
      <c r="B153" s="573" t="s">
        <v>171</v>
      </c>
      <c r="C153" s="574">
        <v>80101706</v>
      </c>
      <c r="D153" s="575" t="s">
        <v>525</v>
      </c>
      <c r="E153" s="573" t="s">
        <v>48</v>
      </c>
      <c r="F153" s="573">
        <v>1</v>
      </c>
      <c r="G153" s="576" t="s">
        <v>73</v>
      </c>
      <c r="H153" s="577">
        <v>5</v>
      </c>
      <c r="I153" s="573" t="s">
        <v>61</v>
      </c>
      <c r="J153" s="573" t="s">
        <v>66</v>
      </c>
      <c r="K153" s="573" t="s">
        <v>464</v>
      </c>
      <c r="L153" s="578">
        <v>45927500</v>
      </c>
      <c r="M153" s="579">
        <v>45927500</v>
      </c>
      <c r="N153" s="573" t="s">
        <v>51</v>
      </c>
      <c r="O153" s="573" t="s">
        <v>36</v>
      </c>
      <c r="P153" s="573" t="s">
        <v>524</v>
      </c>
      <c r="Q153" s="80"/>
      <c r="R153" s="596" t="s">
        <v>238</v>
      </c>
      <c r="S153" s="581"/>
      <c r="T153" s="581"/>
      <c r="U153" s="581"/>
      <c r="V153" s="581"/>
      <c r="W153" s="581"/>
      <c r="X153" s="581"/>
      <c r="Y153" s="581"/>
      <c r="Z153" s="581"/>
      <c r="AA153" s="581"/>
      <c r="AB153" s="581"/>
      <c r="AC153" s="581"/>
      <c r="AD153" s="581"/>
      <c r="AE153" s="581"/>
      <c r="AF153" s="581"/>
      <c r="AG153" s="581"/>
      <c r="AH153" s="581"/>
      <c r="AI153" s="581"/>
      <c r="AJ153" s="581"/>
      <c r="AK153" s="581"/>
      <c r="AL153" s="581"/>
      <c r="AM153" s="581"/>
    </row>
    <row r="154" spans="1:39" ht="116.25" hidden="1" x14ac:dyDescent="0.25">
      <c r="A154" s="572">
        <f t="shared" ref="A154:A184" si="6">SUM(A153+1)</f>
        <v>135</v>
      </c>
      <c r="B154" s="573" t="s">
        <v>171</v>
      </c>
      <c r="C154" s="574">
        <v>80101706</v>
      </c>
      <c r="D154" s="575" t="s">
        <v>525</v>
      </c>
      <c r="E154" s="573" t="s">
        <v>48</v>
      </c>
      <c r="F154" s="573">
        <v>1</v>
      </c>
      <c r="G154" s="576" t="s">
        <v>73</v>
      </c>
      <c r="H154" s="577">
        <v>5</v>
      </c>
      <c r="I154" s="573" t="s">
        <v>61</v>
      </c>
      <c r="J154" s="573" t="s">
        <v>66</v>
      </c>
      <c r="K154" s="573" t="s">
        <v>464</v>
      </c>
      <c r="L154" s="578">
        <v>17590000</v>
      </c>
      <c r="M154" s="579">
        <v>17590000</v>
      </c>
      <c r="N154" s="573" t="s">
        <v>51</v>
      </c>
      <c r="O154" s="573" t="s">
        <v>36</v>
      </c>
      <c r="P154" s="573" t="s">
        <v>524</v>
      </c>
      <c r="Q154" s="80"/>
      <c r="R154" s="596" t="s">
        <v>239</v>
      </c>
      <c r="S154" s="581"/>
      <c r="T154" s="581"/>
      <c r="U154" s="581"/>
      <c r="V154" s="581"/>
      <c r="W154" s="581"/>
      <c r="X154" s="581"/>
      <c r="Y154" s="581"/>
      <c r="Z154" s="581"/>
      <c r="AA154" s="581"/>
      <c r="AB154" s="581"/>
      <c r="AC154" s="581"/>
      <c r="AD154" s="581"/>
      <c r="AE154" s="581"/>
      <c r="AF154" s="581"/>
      <c r="AG154" s="581"/>
      <c r="AH154" s="581"/>
      <c r="AI154" s="581"/>
      <c r="AJ154" s="581"/>
      <c r="AK154" s="581"/>
      <c r="AL154" s="581"/>
      <c r="AM154" s="581"/>
    </row>
    <row r="155" spans="1:39" ht="116.25" hidden="1" x14ac:dyDescent="0.25">
      <c r="A155" s="572">
        <f t="shared" si="6"/>
        <v>136</v>
      </c>
      <c r="B155" s="573" t="s">
        <v>171</v>
      </c>
      <c r="C155" s="574">
        <v>80101706</v>
      </c>
      <c r="D155" s="575" t="s">
        <v>525</v>
      </c>
      <c r="E155" s="573" t="s">
        <v>48</v>
      </c>
      <c r="F155" s="573">
        <v>1</v>
      </c>
      <c r="G155" s="576" t="s">
        <v>73</v>
      </c>
      <c r="H155" s="577">
        <v>5</v>
      </c>
      <c r="I155" s="573" t="s">
        <v>61</v>
      </c>
      <c r="J155" s="573" t="s">
        <v>66</v>
      </c>
      <c r="K155" s="573" t="s">
        <v>464</v>
      </c>
      <c r="L155" s="578">
        <v>36750000</v>
      </c>
      <c r="M155" s="579">
        <v>36750000</v>
      </c>
      <c r="N155" s="573" t="s">
        <v>51</v>
      </c>
      <c r="O155" s="573" t="s">
        <v>36</v>
      </c>
      <c r="P155" s="573" t="s">
        <v>524</v>
      </c>
      <c r="Q155" s="80"/>
      <c r="R155" s="596" t="s">
        <v>280</v>
      </c>
      <c r="S155" s="581"/>
      <c r="T155" s="581"/>
      <c r="U155" s="581"/>
      <c r="V155" s="581"/>
      <c r="W155" s="581"/>
      <c r="X155" s="581"/>
      <c r="Y155" s="581"/>
      <c r="Z155" s="581"/>
      <c r="AA155" s="581"/>
      <c r="AB155" s="581"/>
      <c r="AC155" s="581"/>
      <c r="AD155" s="581"/>
      <c r="AE155" s="581"/>
      <c r="AF155" s="581"/>
      <c r="AG155" s="581"/>
      <c r="AH155" s="581"/>
      <c r="AI155" s="581"/>
      <c r="AJ155" s="581"/>
      <c r="AK155" s="581"/>
      <c r="AL155" s="581"/>
      <c r="AM155" s="581"/>
    </row>
    <row r="156" spans="1:39" ht="69.75" hidden="1" x14ac:dyDescent="0.25">
      <c r="A156" s="572">
        <f t="shared" si="6"/>
        <v>137</v>
      </c>
      <c r="B156" s="573" t="s">
        <v>529</v>
      </c>
      <c r="C156" s="574">
        <v>80101706</v>
      </c>
      <c r="D156" s="575" t="s">
        <v>530</v>
      </c>
      <c r="E156" s="573" t="s">
        <v>48</v>
      </c>
      <c r="F156" s="573">
        <v>1</v>
      </c>
      <c r="G156" s="576" t="s">
        <v>73</v>
      </c>
      <c r="H156" s="577">
        <v>5</v>
      </c>
      <c r="I156" s="573" t="s">
        <v>61</v>
      </c>
      <c r="J156" s="573" t="s">
        <v>66</v>
      </c>
      <c r="K156" s="573" t="s">
        <v>464</v>
      </c>
      <c r="L156" s="578">
        <v>23500000</v>
      </c>
      <c r="M156" s="579">
        <v>23500000</v>
      </c>
      <c r="N156" s="573" t="s">
        <v>51</v>
      </c>
      <c r="O156" s="573" t="s">
        <v>36</v>
      </c>
      <c r="P156" s="573" t="s">
        <v>531</v>
      </c>
      <c r="Q156" s="80"/>
      <c r="R156" s="596" t="s">
        <v>568</v>
      </c>
      <c r="S156" s="581"/>
      <c r="T156" s="581"/>
      <c r="U156" s="581"/>
      <c r="V156" s="581"/>
      <c r="W156" s="581"/>
      <c r="X156" s="581"/>
      <c r="Y156" s="581"/>
      <c r="Z156" s="581"/>
      <c r="AA156" s="581"/>
      <c r="AB156" s="581"/>
      <c r="AC156" s="581"/>
      <c r="AD156" s="581"/>
      <c r="AE156" s="581"/>
      <c r="AF156" s="581"/>
      <c r="AG156" s="581"/>
      <c r="AH156" s="581"/>
      <c r="AI156" s="581"/>
      <c r="AJ156" s="581"/>
      <c r="AK156" s="581"/>
      <c r="AL156" s="581"/>
      <c r="AM156" s="581"/>
    </row>
    <row r="157" spans="1:39" ht="69.75" hidden="1" x14ac:dyDescent="0.25">
      <c r="A157" s="572">
        <f t="shared" si="6"/>
        <v>138</v>
      </c>
      <c r="B157" s="573" t="s">
        <v>529</v>
      </c>
      <c r="C157" s="574">
        <v>80101706</v>
      </c>
      <c r="D157" s="575" t="s">
        <v>530</v>
      </c>
      <c r="E157" s="573" t="s">
        <v>48</v>
      </c>
      <c r="F157" s="573">
        <v>1</v>
      </c>
      <c r="G157" s="576" t="s">
        <v>73</v>
      </c>
      <c r="H157" s="577">
        <v>5</v>
      </c>
      <c r="I157" s="573" t="s">
        <v>61</v>
      </c>
      <c r="J157" s="573" t="s">
        <v>66</v>
      </c>
      <c r="K157" s="573" t="s">
        <v>464</v>
      </c>
      <c r="L157" s="578">
        <v>19000000</v>
      </c>
      <c r="M157" s="579">
        <v>19000000</v>
      </c>
      <c r="N157" s="573" t="s">
        <v>51</v>
      </c>
      <c r="O157" s="573" t="s">
        <v>36</v>
      </c>
      <c r="P157" s="573" t="s">
        <v>531</v>
      </c>
      <c r="Q157" s="80"/>
      <c r="R157" s="596" t="s">
        <v>569</v>
      </c>
      <c r="S157" s="581"/>
      <c r="T157" s="581"/>
      <c r="U157" s="581"/>
      <c r="V157" s="581"/>
      <c r="W157" s="581"/>
      <c r="X157" s="581"/>
      <c r="Y157" s="581"/>
      <c r="Z157" s="581"/>
      <c r="AA157" s="581"/>
      <c r="AB157" s="581"/>
      <c r="AC157" s="581"/>
      <c r="AD157" s="581"/>
      <c r="AE157" s="581"/>
      <c r="AF157" s="581"/>
      <c r="AG157" s="581"/>
      <c r="AH157" s="581"/>
      <c r="AI157" s="581"/>
      <c r="AJ157" s="581"/>
      <c r="AK157" s="581"/>
      <c r="AL157" s="581"/>
      <c r="AM157" s="581"/>
    </row>
    <row r="158" spans="1:39" ht="69.75" hidden="1" x14ac:dyDescent="0.25">
      <c r="A158" s="572">
        <f t="shared" si="6"/>
        <v>139</v>
      </c>
      <c r="B158" s="573" t="s">
        <v>529</v>
      </c>
      <c r="C158" s="574">
        <v>80101706</v>
      </c>
      <c r="D158" s="575" t="s">
        <v>530</v>
      </c>
      <c r="E158" s="573" t="s">
        <v>48</v>
      </c>
      <c r="F158" s="573">
        <v>1</v>
      </c>
      <c r="G158" s="576" t="s">
        <v>73</v>
      </c>
      <c r="H158" s="577">
        <v>5</v>
      </c>
      <c r="I158" s="573" t="s">
        <v>61</v>
      </c>
      <c r="J158" s="573" t="s">
        <v>66</v>
      </c>
      <c r="K158" s="573" t="s">
        <v>464</v>
      </c>
      <c r="L158" s="578">
        <v>21000000</v>
      </c>
      <c r="M158" s="579">
        <v>21000000</v>
      </c>
      <c r="N158" s="573" t="s">
        <v>51</v>
      </c>
      <c r="O158" s="573" t="s">
        <v>36</v>
      </c>
      <c r="P158" s="573" t="s">
        <v>531</v>
      </c>
      <c r="Q158" s="80"/>
      <c r="R158" s="596" t="s">
        <v>570</v>
      </c>
      <c r="S158" s="581"/>
      <c r="T158" s="581"/>
      <c r="U158" s="581"/>
      <c r="V158" s="581"/>
      <c r="W158" s="581"/>
      <c r="X158" s="581"/>
      <c r="Y158" s="581"/>
      <c r="Z158" s="581"/>
      <c r="AA158" s="581"/>
      <c r="AB158" s="581"/>
      <c r="AC158" s="581"/>
      <c r="AD158" s="581"/>
      <c r="AE158" s="581"/>
      <c r="AF158" s="581"/>
      <c r="AG158" s="581"/>
      <c r="AH158" s="581"/>
      <c r="AI158" s="581"/>
      <c r="AJ158" s="581"/>
      <c r="AK158" s="581"/>
      <c r="AL158" s="581"/>
      <c r="AM158" s="581"/>
    </row>
    <row r="159" spans="1:39" ht="116.25" hidden="1" x14ac:dyDescent="0.25">
      <c r="A159" s="572">
        <f t="shared" si="6"/>
        <v>140</v>
      </c>
      <c r="B159" s="573" t="s">
        <v>171</v>
      </c>
      <c r="C159" s="574">
        <v>81100000</v>
      </c>
      <c r="D159" s="575" t="s">
        <v>60</v>
      </c>
      <c r="E159" s="573" t="s">
        <v>48</v>
      </c>
      <c r="F159" s="573">
        <v>1</v>
      </c>
      <c r="G159" s="576" t="s">
        <v>180</v>
      </c>
      <c r="H159" s="577">
        <v>12</v>
      </c>
      <c r="I159" s="573" t="s">
        <v>55</v>
      </c>
      <c r="J159" s="573" t="s">
        <v>35</v>
      </c>
      <c r="K159" s="573" t="s">
        <v>38</v>
      </c>
      <c r="L159" s="578">
        <v>6000000</v>
      </c>
      <c r="M159" s="579">
        <v>6000000</v>
      </c>
      <c r="N159" s="573" t="s">
        <v>51</v>
      </c>
      <c r="O159" s="573" t="s">
        <v>36</v>
      </c>
      <c r="P159" s="573" t="s">
        <v>524</v>
      </c>
      <c r="Q159" s="80"/>
      <c r="R159" s="596"/>
      <c r="S159" s="581"/>
      <c r="T159" s="581"/>
      <c r="U159" s="581"/>
      <c r="V159" s="581"/>
      <c r="W159" s="581"/>
      <c r="X159" s="581"/>
      <c r="Y159" s="581"/>
      <c r="Z159" s="581"/>
      <c r="AA159" s="581"/>
      <c r="AB159" s="581"/>
      <c r="AC159" s="581"/>
      <c r="AD159" s="581"/>
      <c r="AE159" s="581"/>
      <c r="AF159" s="581"/>
      <c r="AG159" s="581"/>
      <c r="AH159" s="581"/>
      <c r="AI159" s="581"/>
      <c r="AJ159" s="581"/>
      <c r="AK159" s="581"/>
      <c r="AL159" s="581"/>
      <c r="AM159" s="581"/>
    </row>
    <row r="160" spans="1:39" ht="116.25" hidden="1" x14ac:dyDescent="0.25">
      <c r="A160" s="572">
        <f t="shared" si="6"/>
        <v>141</v>
      </c>
      <c r="B160" s="573" t="s">
        <v>171</v>
      </c>
      <c r="C160" s="574" t="s">
        <v>526</v>
      </c>
      <c r="D160" s="575" t="s">
        <v>527</v>
      </c>
      <c r="E160" s="573" t="s">
        <v>48</v>
      </c>
      <c r="F160" s="573">
        <v>1</v>
      </c>
      <c r="G160" s="576" t="s">
        <v>80</v>
      </c>
      <c r="H160" s="577">
        <v>12</v>
      </c>
      <c r="I160" s="573" t="s">
        <v>55</v>
      </c>
      <c r="J160" s="573" t="s">
        <v>35</v>
      </c>
      <c r="K160" s="573" t="s">
        <v>430</v>
      </c>
      <c r="L160" s="578">
        <v>21000000</v>
      </c>
      <c r="M160" s="579">
        <v>21000000</v>
      </c>
      <c r="N160" s="573" t="s">
        <v>51</v>
      </c>
      <c r="O160" s="573" t="s">
        <v>36</v>
      </c>
      <c r="P160" s="573" t="s">
        <v>524</v>
      </c>
      <c r="Q160" s="80"/>
      <c r="R160" s="596"/>
      <c r="S160" s="581"/>
      <c r="T160" s="581"/>
      <c r="U160" s="581"/>
      <c r="V160" s="581"/>
      <c r="W160" s="581"/>
      <c r="X160" s="581"/>
      <c r="Y160" s="581"/>
      <c r="Z160" s="581"/>
      <c r="AA160" s="581"/>
      <c r="AB160" s="581"/>
      <c r="AC160" s="581"/>
      <c r="AD160" s="581"/>
      <c r="AE160" s="581"/>
      <c r="AF160" s="581"/>
      <c r="AG160" s="581"/>
      <c r="AH160" s="581"/>
      <c r="AI160" s="581"/>
      <c r="AJ160" s="581"/>
      <c r="AK160" s="581"/>
      <c r="AL160" s="581"/>
      <c r="AM160" s="581"/>
    </row>
    <row r="161" spans="1:39" ht="93" hidden="1" x14ac:dyDescent="0.25">
      <c r="A161" s="572">
        <f t="shared" si="6"/>
        <v>142</v>
      </c>
      <c r="B161" s="573" t="s">
        <v>481</v>
      </c>
      <c r="C161" s="574">
        <v>80101706</v>
      </c>
      <c r="D161" s="575" t="s">
        <v>528</v>
      </c>
      <c r="E161" s="573" t="s">
        <v>48</v>
      </c>
      <c r="F161" s="573">
        <v>1</v>
      </c>
      <c r="G161" s="576" t="s">
        <v>73</v>
      </c>
      <c r="H161" s="577">
        <v>5</v>
      </c>
      <c r="I161" s="573" t="s">
        <v>61</v>
      </c>
      <c r="J161" s="573" t="s">
        <v>66</v>
      </c>
      <c r="K161" s="573" t="s">
        <v>574</v>
      </c>
      <c r="L161" s="578">
        <v>26500000</v>
      </c>
      <c r="M161" s="579">
        <v>26500000</v>
      </c>
      <c r="N161" s="573" t="s">
        <v>51</v>
      </c>
      <c r="O161" s="573" t="s">
        <v>36</v>
      </c>
      <c r="P161" s="573" t="s">
        <v>306</v>
      </c>
      <c r="Q161" s="80"/>
      <c r="R161" s="596" t="s">
        <v>257</v>
      </c>
      <c r="S161" s="581"/>
      <c r="T161" s="581"/>
      <c r="U161" s="581"/>
      <c r="V161" s="581"/>
      <c r="W161" s="581"/>
      <c r="X161" s="581"/>
      <c r="Y161" s="581"/>
      <c r="Z161" s="581"/>
      <c r="AA161" s="581"/>
      <c r="AB161" s="581"/>
      <c r="AC161" s="581"/>
      <c r="AD161" s="581"/>
      <c r="AE161" s="581"/>
      <c r="AF161" s="581"/>
      <c r="AG161" s="581"/>
      <c r="AH161" s="581"/>
      <c r="AI161" s="581"/>
      <c r="AJ161" s="581"/>
      <c r="AK161" s="581"/>
      <c r="AL161" s="581"/>
      <c r="AM161" s="581"/>
    </row>
    <row r="162" spans="1:39" ht="93" hidden="1" x14ac:dyDescent="0.25">
      <c r="A162" s="572">
        <f t="shared" si="6"/>
        <v>143</v>
      </c>
      <c r="B162" s="573" t="s">
        <v>481</v>
      </c>
      <c r="C162" s="574">
        <v>80101706</v>
      </c>
      <c r="D162" s="575" t="s">
        <v>528</v>
      </c>
      <c r="E162" s="573" t="s">
        <v>48</v>
      </c>
      <c r="F162" s="573">
        <v>1</v>
      </c>
      <c r="G162" s="576" t="s">
        <v>73</v>
      </c>
      <c r="H162" s="577">
        <v>5</v>
      </c>
      <c r="I162" s="573" t="s">
        <v>61</v>
      </c>
      <c r="J162" s="573" t="s">
        <v>66</v>
      </c>
      <c r="K162" s="573" t="s">
        <v>574</v>
      </c>
      <c r="L162" s="578">
        <v>32550000</v>
      </c>
      <c r="M162" s="579">
        <v>32550000</v>
      </c>
      <c r="N162" s="573" t="s">
        <v>51</v>
      </c>
      <c r="O162" s="573" t="s">
        <v>36</v>
      </c>
      <c r="P162" s="573" t="s">
        <v>306</v>
      </c>
      <c r="Q162" s="80"/>
      <c r="R162" s="596" t="s">
        <v>260</v>
      </c>
      <c r="S162" s="581"/>
      <c r="T162" s="581"/>
      <c r="U162" s="581"/>
      <c r="V162" s="581"/>
      <c r="W162" s="581"/>
      <c r="X162" s="581"/>
      <c r="Y162" s="581"/>
      <c r="Z162" s="581"/>
      <c r="AA162" s="581"/>
      <c r="AB162" s="581"/>
      <c r="AC162" s="581"/>
      <c r="AD162" s="581"/>
      <c r="AE162" s="581"/>
      <c r="AF162" s="581"/>
      <c r="AG162" s="581"/>
      <c r="AH162" s="581"/>
      <c r="AI162" s="581"/>
      <c r="AJ162" s="581"/>
      <c r="AK162" s="581"/>
      <c r="AL162" s="581"/>
      <c r="AM162" s="581"/>
    </row>
    <row r="163" spans="1:39" ht="93" hidden="1" x14ac:dyDescent="0.25">
      <c r="A163" s="572">
        <f t="shared" si="6"/>
        <v>144</v>
      </c>
      <c r="B163" s="573" t="s">
        <v>481</v>
      </c>
      <c r="C163" s="574">
        <v>80101706</v>
      </c>
      <c r="D163" s="575" t="s">
        <v>528</v>
      </c>
      <c r="E163" s="573" t="s">
        <v>48</v>
      </c>
      <c r="F163" s="573">
        <v>1</v>
      </c>
      <c r="G163" s="576" t="s">
        <v>73</v>
      </c>
      <c r="H163" s="577">
        <v>5</v>
      </c>
      <c r="I163" s="573" t="s">
        <v>61</v>
      </c>
      <c r="J163" s="573" t="s">
        <v>66</v>
      </c>
      <c r="K163" s="573" t="s">
        <v>574</v>
      </c>
      <c r="L163" s="578">
        <v>32550000</v>
      </c>
      <c r="M163" s="579">
        <v>32550000</v>
      </c>
      <c r="N163" s="573" t="s">
        <v>51</v>
      </c>
      <c r="O163" s="573" t="s">
        <v>36</v>
      </c>
      <c r="P163" s="573" t="s">
        <v>306</v>
      </c>
      <c r="Q163" s="80"/>
      <c r="R163" s="596" t="s">
        <v>563</v>
      </c>
      <c r="S163" s="581"/>
      <c r="T163" s="581"/>
      <c r="U163" s="581"/>
      <c r="V163" s="581"/>
      <c r="W163" s="581"/>
      <c r="X163" s="581"/>
      <c r="Y163" s="581"/>
      <c r="Z163" s="581"/>
      <c r="AA163" s="581"/>
      <c r="AB163" s="581"/>
      <c r="AC163" s="581"/>
      <c r="AD163" s="581"/>
      <c r="AE163" s="581"/>
      <c r="AF163" s="581"/>
      <c r="AG163" s="581"/>
      <c r="AH163" s="581"/>
      <c r="AI163" s="581"/>
      <c r="AJ163" s="581"/>
      <c r="AK163" s="581"/>
      <c r="AL163" s="581"/>
      <c r="AM163" s="581"/>
    </row>
    <row r="164" spans="1:39" ht="93" hidden="1" x14ac:dyDescent="0.25">
      <c r="A164" s="572">
        <f t="shared" si="6"/>
        <v>145</v>
      </c>
      <c r="B164" s="573" t="s">
        <v>481</v>
      </c>
      <c r="C164" s="574">
        <v>80101706</v>
      </c>
      <c r="D164" s="575" t="s">
        <v>528</v>
      </c>
      <c r="E164" s="573" t="s">
        <v>48</v>
      </c>
      <c r="F164" s="573">
        <v>1</v>
      </c>
      <c r="G164" s="576" t="s">
        <v>73</v>
      </c>
      <c r="H164" s="577">
        <v>5</v>
      </c>
      <c r="I164" s="573" t="s">
        <v>61</v>
      </c>
      <c r="J164" s="573" t="s">
        <v>66</v>
      </c>
      <c r="K164" s="573" t="s">
        <v>574</v>
      </c>
      <c r="L164" s="578">
        <v>21200000</v>
      </c>
      <c r="M164" s="579">
        <v>21200000</v>
      </c>
      <c r="N164" s="573" t="s">
        <v>51</v>
      </c>
      <c r="O164" s="573" t="s">
        <v>36</v>
      </c>
      <c r="P164" s="573" t="s">
        <v>306</v>
      </c>
      <c r="Q164" s="80"/>
      <c r="R164" s="596" t="s">
        <v>564</v>
      </c>
      <c r="S164" s="581"/>
      <c r="T164" s="581"/>
      <c r="U164" s="581"/>
      <c r="V164" s="581"/>
      <c r="W164" s="581"/>
      <c r="X164" s="581"/>
      <c r="Y164" s="581"/>
      <c r="Z164" s="581"/>
      <c r="AA164" s="581"/>
      <c r="AB164" s="581"/>
      <c r="AC164" s="581"/>
      <c r="AD164" s="581"/>
      <c r="AE164" s="581"/>
      <c r="AF164" s="581"/>
      <c r="AG164" s="581"/>
      <c r="AH164" s="581"/>
      <c r="AI164" s="581"/>
      <c r="AJ164" s="581"/>
      <c r="AK164" s="581"/>
      <c r="AL164" s="581"/>
      <c r="AM164" s="581"/>
    </row>
    <row r="165" spans="1:39" ht="93" hidden="1" x14ac:dyDescent="0.25">
      <c r="A165" s="572">
        <f t="shared" si="6"/>
        <v>146</v>
      </c>
      <c r="B165" s="573" t="s">
        <v>481</v>
      </c>
      <c r="C165" s="574">
        <v>80101706</v>
      </c>
      <c r="D165" s="575" t="s">
        <v>528</v>
      </c>
      <c r="E165" s="573" t="s">
        <v>48</v>
      </c>
      <c r="F165" s="573">
        <v>1</v>
      </c>
      <c r="G165" s="576" t="s">
        <v>73</v>
      </c>
      <c r="H165" s="577">
        <v>5</v>
      </c>
      <c r="I165" s="573" t="s">
        <v>61</v>
      </c>
      <c r="J165" s="573" t="s">
        <v>66</v>
      </c>
      <c r="K165" s="573" t="s">
        <v>574</v>
      </c>
      <c r="L165" s="578">
        <v>21200000</v>
      </c>
      <c r="M165" s="579">
        <v>21200000</v>
      </c>
      <c r="N165" s="573" t="s">
        <v>51</v>
      </c>
      <c r="O165" s="573" t="s">
        <v>36</v>
      </c>
      <c r="P165" s="573" t="s">
        <v>306</v>
      </c>
      <c r="Q165" s="80"/>
      <c r="R165" s="596" t="s">
        <v>235</v>
      </c>
      <c r="S165" s="581"/>
      <c r="T165" s="581"/>
      <c r="U165" s="581"/>
      <c r="V165" s="581"/>
      <c r="W165" s="581"/>
      <c r="X165" s="581"/>
      <c r="Y165" s="581"/>
      <c r="Z165" s="581"/>
      <c r="AA165" s="581"/>
      <c r="AB165" s="581"/>
      <c r="AC165" s="581"/>
      <c r="AD165" s="581"/>
      <c r="AE165" s="581"/>
      <c r="AF165" s="581"/>
      <c r="AG165" s="581"/>
      <c r="AH165" s="581"/>
      <c r="AI165" s="581"/>
      <c r="AJ165" s="581"/>
      <c r="AK165" s="581"/>
      <c r="AL165" s="581"/>
      <c r="AM165" s="581"/>
    </row>
    <row r="166" spans="1:39" ht="93" hidden="1" x14ac:dyDescent="0.25">
      <c r="A166" s="572">
        <f t="shared" si="6"/>
        <v>147</v>
      </c>
      <c r="B166" s="573" t="s">
        <v>481</v>
      </c>
      <c r="C166" s="574">
        <v>80101706</v>
      </c>
      <c r="D166" s="575" t="s">
        <v>528</v>
      </c>
      <c r="E166" s="573" t="s">
        <v>48</v>
      </c>
      <c r="F166" s="573">
        <v>1</v>
      </c>
      <c r="G166" s="576" t="s">
        <v>73</v>
      </c>
      <c r="H166" s="577">
        <v>5</v>
      </c>
      <c r="I166" s="573" t="s">
        <v>61</v>
      </c>
      <c r="J166" s="573" t="s">
        <v>66</v>
      </c>
      <c r="K166" s="573" t="s">
        <v>574</v>
      </c>
      <c r="L166" s="578">
        <v>35000000</v>
      </c>
      <c r="M166" s="579">
        <v>35000000</v>
      </c>
      <c r="N166" s="573" t="s">
        <v>51</v>
      </c>
      <c r="O166" s="573" t="s">
        <v>36</v>
      </c>
      <c r="P166" s="573" t="s">
        <v>306</v>
      </c>
      <c r="Q166" s="80"/>
      <c r="R166" s="596" t="s">
        <v>565</v>
      </c>
      <c r="S166" s="581"/>
      <c r="T166" s="581"/>
      <c r="U166" s="581"/>
      <c r="V166" s="581"/>
      <c r="W166" s="581"/>
      <c r="X166" s="581"/>
      <c r="Y166" s="581"/>
      <c r="Z166" s="581"/>
      <c r="AA166" s="581"/>
      <c r="AB166" s="581"/>
      <c r="AC166" s="581"/>
      <c r="AD166" s="581"/>
      <c r="AE166" s="581"/>
      <c r="AF166" s="581"/>
      <c r="AG166" s="581"/>
      <c r="AH166" s="581"/>
      <c r="AI166" s="581"/>
      <c r="AJ166" s="581"/>
      <c r="AK166" s="581"/>
      <c r="AL166" s="581"/>
      <c r="AM166" s="581"/>
    </row>
    <row r="167" spans="1:39" ht="93" hidden="1" x14ac:dyDescent="0.25">
      <c r="A167" s="572">
        <f t="shared" si="6"/>
        <v>148</v>
      </c>
      <c r="B167" s="573" t="s">
        <v>481</v>
      </c>
      <c r="C167" s="574">
        <v>80101706</v>
      </c>
      <c r="D167" s="575" t="s">
        <v>528</v>
      </c>
      <c r="E167" s="573" t="s">
        <v>48</v>
      </c>
      <c r="F167" s="573">
        <v>1</v>
      </c>
      <c r="G167" s="576" t="s">
        <v>73</v>
      </c>
      <c r="H167" s="577">
        <v>5</v>
      </c>
      <c r="I167" s="573" t="s">
        <v>61</v>
      </c>
      <c r="J167" s="573" t="s">
        <v>66</v>
      </c>
      <c r="K167" s="573" t="s">
        <v>574</v>
      </c>
      <c r="L167" s="578">
        <v>32550000</v>
      </c>
      <c r="M167" s="579">
        <v>32550000</v>
      </c>
      <c r="N167" s="573" t="s">
        <v>51</v>
      </c>
      <c r="O167" s="573" t="s">
        <v>36</v>
      </c>
      <c r="P167" s="573" t="s">
        <v>306</v>
      </c>
      <c r="Q167" s="80"/>
      <c r="R167" s="596" t="s">
        <v>242</v>
      </c>
      <c r="S167" s="581"/>
      <c r="T167" s="581"/>
      <c r="U167" s="581"/>
      <c r="V167" s="581"/>
      <c r="W167" s="581"/>
      <c r="X167" s="581"/>
      <c r="Y167" s="581"/>
      <c r="Z167" s="581"/>
      <c r="AA167" s="581"/>
      <c r="AB167" s="581"/>
      <c r="AC167" s="581"/>
      <c r="AD167" s="581"/>
      <c r="AE167" s="581"/>
      <c r="AF167" s="581"/>
      <c r="AG167" s="581"/>
      <c r="AH167" s="581"/>
      <c r="AI167" s="581"/>
      <c r="AJ167" s="581"/>
      <c r="AK167" s="581"/>
      <c r="AL167" s="581"/>
      <c r="AM167" s="581"/>
    </row>
    <row r="168" spans="1:39" ht="93" hidden="1" x14ac:dyDescent="0.25">
      <c r="A168" s="572">
        <f t="shared" si="6"/>
        <v>149</v>
      </c>
      <c r="B168" s="573" t="s">
        <v>481</v>
      </c>
      <c r="C168" s="574">
        <v>80101706</v>
      </c>
      <c r="D168" s="575" t="s">
        <v>528</v>
      </c>
      <c r="E168" s="573" t="s">
        <v>48</v>
      </c>
      <c r="F168" s="573">
        <v>1</v>
      </c>
      <c r="G168" s="576" t="s">
        <v>73</v>
      </c>
      <c r="H168" s="577">
        <v>5</v>
      </c>
      <c r="I168" s="573" t="s">
        <v>61</v>
      </c>
      <c r="J168" s="573" t="s">
        <v>66</v>
      </c>
      <c r="K168" s="573" t="s">
        <v>574</v>
      </c>
      <c r="L168" s="578">
        <v>32550000</v>
      </c>
      <c r="M168" s="579">
        <v>32550000</v>
      </c>
      <c r="N168" s="573" t="s">
        <v>51</v>
      </c>
      <c r="O168" s="573" t="s">
        <v>36</v>
      </c>
      <c r="P168" s="573" t="s">
        <v>306</v>
      </c>
      <c r="Q168" s="80"/>
      <c r="R168" s="596" t="s">
        <v>566</v>
      </c>
      <c r="S168" s="581"/>
      <c r="T168" s="581"/>
      <c r="U168" s="581"/>
      <c r="V168" s="581"/>
      <c r="W168" s="581"/>
      <c r="X168" s="581"/>
      <c r="Y168" s="581"/>
      <c r="Z168" s="581"/>
      <c r="AA168" s="581"/>
      <c r="AB168" s="581"/>
      <c r="AC168" s="581"/>
      <c r="AD168" s="581"/>
      <c r="AE168" s="581"/>
      <c r="AF168" s="581"/>
      <c r="AG168" s="581"/>
      <c r="AH168" s="581"/>
      <c r="AI168" s="581"/>
      <c r="AJ168" s="581"/>
      <c r="AK168" s="581"/>
      <c r="AL168" s="581"/>
      <c r="AM168" s="581"/>
    </row>
    <row r="169" spans="1:39" ht="93" hidden="1" x14ac:dyDescent="0.25">
      <c r="A169" s="572">
        <f t="shared" si="6"/>
        <v>150</v>
      </c>
      <c r="B169" s="573" t="s">
        <v>481</v>
      </c>
      <c r="C169" s="574">
        <v>80101706</v>
      </c>
      <c r="D169" s="575" t="s">
        <v>528</v>
      </c>
      <c r="E169" s="573" t="s">
        <v>48</v>
      </c>
      <c r="F169" s="573">
        <v>1</v>
      </c>
      <c r="G169" s="576" t="s">
        <v>73</v>
      </c>
      <c r="H169" s="577">
        <v>5</v>
      </c>
      <c r="I169" s="573" t="s">
        <v>61</v>
      </c>
      <c r="J169" s="573" t="s">
        <v>66</v>
      </c>
      <c r="K169" s="573" t="s">
        <v>574</v>
      </c>
      <c r="L169" s="578">
        <v>32550000</v>
      </c>
      <c r="M169" s="579">
        <v>32550000</v>
      </c>
      <c r="N169" s="573" t="s">
        <v>51</v>
      </c>
      <c r="O169" s="573" t="s">
        <v>36</v>
      </c>
      <c r="P169" s="573" t="s">
        <v>306</v>
      </c>
      <c r="Q169" s="80"/>
      <c r="R169" s="596" t="s">
        <v>567</v>
      </c>
      <c r="S169" s="581"/>
      <c r="T169" s="581"/>
      <c r="U169" s="581"/>
      <c r="V169" s="581"/>
      <c r="W169" s="581"/>
      <c r="X169" s="581"/>
      <c r="Y169" s="581"/>
      <c r="Z169" s="581"/>
      <c r="AA169" s="581"/>
      <c r="AB169" s="581"/>
      <c r="AC169" s="581"/>
      <c r="AD169" s="581"/>
      <c r="AE169" s="581"/>
      <c r="AF169" s="581"/>
      <c r="AG169" s="581"/>
      <c r="AH169" s="581"/>
      <c r="AI169" s="581"/>
      <c r="AJ169" s="581"/>
      <c r="AK169" s="581"/>
      <c r="AL169" s="581"/>
      <c r="AM169" s="581"/>
    </row>
    <row r="170" spans="1:39" ht="93" hidden="1" x14ac:dyDescent="0.25">
      <c r="A170" s="572">
        <f t="shared" si="6"/>
        <v>151</v>
      </c>
      <c r="B170" s="573" t="s">
        <v>234</v>
      </c>
      <c r="C170" s="574">
        <v>80101706</v>
      </c>
      <c r="D170" s="575" t="s">
        <v>532</v>
      </c>
      <c r="E170" s="573" t="s">
        <v>48</v>
      </c>
      <c r="F170" s="573">
        <v>1</v>
      </c>
      <c r="G170" s="576" t="s">
        <v>73</v>
      </c>
      <c r="H170" s="577">
        <v>5</v>
      </c>
      <c r="I170" s="573" t="s">
        <v>61</v>
      </c>
      <c r="J170" s="573" t="s">
        <v>66</v>
      </c>
      <c r="K170" s="573" t="s">
        <v>464</v>
      </c>
      <c r="L170" s="578">
        <v>18020000</v>
      </c>
      <c r="M170" s="579">
        <v>18020000</v>
      </c>
      <c r="N170" s="573" t="s">
        <v>51</v>
      </c>
      <c r="O170" s="573" t="s">
        <v>36</v>
      </c>
      <c r="P170" s="573" t="s">
        <v>490</v>
      </c>
      <c r="Q170" s="80"/>
      <c r="R170" s="596" t="s">
        <v>305</v>
      </c>
      <c r="S170" s="581"/>
      <c r="T170" s="581"/>
      <c r="U170" s="581"/>
      <c r="V170" s="581"/>
      <c r="W170" s="581"/>
      <c r="X170" s="581"/>
      <c r="Y170" s="581"/>
      <c r="Z170" s="581"/>
      <c r="AA170" s="581"/>
      <c r="AB170" s="581"/>
      <c r="AC170" s="581"/>
      <c r="AD170" s="581"/>
      <c r="AE170" s="581"/>
      <c r="AF170" s="581"/>
      <c r="AG170" s="581"/>
      <c r="AH170" s="581"/>
      <c r="AI170" s="581"/>
      <c r="AJ170" s="581"/>
      <c r="AK170" s="581"/>
      <c r="AL170" s="581"/>
      <c r="AM170" s="581"/>
    </row>
    <row r="171" spans="1:39" ht="93" hidden="1" x14ac:dyDescent="0.25">
      <c r="A171" s="572">
        <f t="shared" si="6"/>
        <v>152</v>
      </c>
      <c r="B171" s="573" t="s">
        <v>234</v>
      </c>
      <c r="C171" s="574">
        <v>80101706</v>
      </c>
      <c r="D171" s="575" t="s">
        <v>532</v>
      </c>
      <c r="E171" s="573" t="s">
        <v>48</v>
      </c>
      <c r="F171" s="573">
        <v>1</v>
      </c>
      <c r="G171" s="576" t="s">
        <v>73</v>
      </c>
      <c r="H171" s="577">
        <v>5</v>
      </c>
      <c r="I171" s="573" t="s">
        <v>61</v>
      </c>
      <c r="J171" s="573" t="s">
        <v>66</v>
      </c>
      <c r="K171" s="573" t="s">
        <v>464</v>
      </c>
      <c r="L171" s="578">
        <v>27560000</v>
      </c>
      <c r="M171" s="579">
        <v>27560000</v>
      </c>
      <c r="N171" s="573" t="s">
        <v>51</v>
      </c>
      <c r="O171" s="573" t="s">
        <v>36</v>
      </c>
      <c r="P171" s="573" t="s">
        <v>490</v>
      </c>
      <c r="Q171" s="80"/>
      <c r="R171" s="596" t="s">
        <v>571</v>
      </c>
      <c r="S171" s="581"/>
      <c r="T171" s="581"/>
      <c r="U171" s="581"/>
      <c r="V171" s="581"/>
      <c r="W171" s="581"/>
      <c r="X171" s="581"/>
      <c r="Y171" s="581"/>
      <c r="Z171" s="581"/>
      <c r="AA171" s="581"/>
      <c r="AB171" s="581"/>
      <c r="AC171" s="581"/>
      <c r="AD171" s="581"/>
      <c r="AE171" s="581"/>
      <c r="AF171" s="581"/>
      <c r="AG171" s="581"/>
      <c r="AH171" s="581"/>
      <c r="AI171" s="581"/>
      <c r="AJ171" s="581"/>
      <c r="AK171" s="581"/>
      <c r="AL171" s="581"/>
      <c r="AM171" s="581"/>
    </row>
    <row r="172" spans="1:39" ht="93" hidden="1" x14ac:dyDescent="0.25">
      <c r="A172" s="572">
        <f t="shared" si="6"/>
        <v>153</v>
      </c>
      <c r="B172" s="573" t="s">
        <v>234</v>
      </c>
      <c r="C172" s="574">
        <v>80101706</v>
      </c>
      <c r="D172" s="575" t="s">
        <v>532</v>
      </c>
      <c r="E172" s="573" t="s">
        <v>48</v>
      </c>
      <c r="F172" s="573">
        <v>1</v>
      </c>
      <c r="G172" s="576" t="s">
        <v>73</v>
      </c>
      <c r="H172" s="577">
        <v>5</v>
      </c>
      <c r="I172" s="573" t="s">
        <v>61</v>
      </c>
      <c r="J172" s="573" t="s">
        <v>66</v>
      </c>
      <c r="K172" s="573" t="s">
        <v>464</v>
      </c>
      <c r="L172" s="578">
        <v>25040000</v>
      </c>
      <c r="M172" s="579">
        <v>25040000</v>
      </c>
      <c r="N172" s="573" t="s">
        <v>51</v>
      </c>
      <c r="O172" s="573" t="s">
        <v>36</v>
      </c>
      <c r="P172" s="573" t="s">
        <v>490</v>
      </c>
      <c r="Q172" s="80"/>
      <c r="R172" s="596" t="s">
        <v>244</v>
      </c>
      <c r="S172" s="581"/>
      <c r="T172" s="581"/>
      <c r="U172" s="581"/>
      <c r="V172" s="581"/>
      <c r="W172" s="581"/>
      <c r="X172" s="581"/>
      <c r="Y172" s="581"/>
      <c r="Z172" s="581"/>
      <c r="AA172" s="581"/>
      <c r="AB172" s="581"/>
      <c r="AC172" s="581"/>
      <c r="AD172" s="581"/>
      <c r="AE172" s="581"/>
      <c r="AF172" s="581"/>
      <c r="AG172" s="581"/>
      <c r="AH172" s="581"/>
      <c r="AI172" s="581"/>
      <c r="AJ172" s="581"/>
      <c r="AK172" s="581"/>
      <c r="AL172" s="581"/>
      <c r="AM172" s="581"/>
    </row>
    <row r="173" spans="1:39" ht="93" hidden="1" x14ac:dyDescent="0.25">
      <c r="A173" s="572">
        <f t="shared" si="6"/>
        <v>154</v>
      </c>
      <c r="B173" s="573" t="s">
        <v>234</v>
      </c>
      <c r="C173" s="574">
        <v>80101706</v>
      </c>
      <c r="D173" s="575" t="s">
        <v>532</v>
      </c>
      <c r="E173" s="573" t="s">
        <v>48</v>
      </c>
      <c r="F173" s="573">
        <v>1</v>
      </c>
      <c r="G173" s="576" t="s">
        <v>73</v>
      </c>
      <c r="H173" s="577">
        <v>5</v>
      </c>
      <c r="I173" s="573" t="s">
        <v>61</v>
      </c>
      <c r="J173" s="573" t="s">
        <v>66</v>
      </c>
      <c r="K173" s="573" t="s">
        <v>464</v>
      </c>
      <c r="L173" s="578">
        <v>25040000</v>
      </c>
      <c r="M173" s="579">
        <v>25040000</v>
      </c>
      <c r="N173" s="573" t="s">
        <v>51</v>
      </c>
      <c r="O173" s="573" t="s">
        <v>36</v>
      </c>
      <c r="P173" s="573" t="s">
        <v>490</v>
      </c>
      <c r="Q173" s="80"/>
      <c r="R173" s="596" t="s">
        <v>248</v>
      </c>
      <c r="S173" s="581"/>
      <c r="T173" s="581"/>
      <c r="U173" s="581"/>
      <c r="V173" s="581"/>
      <c r="W173" s="581"/>
      <c r="X173" s="581"/>
      <c r="Y173" s="581"/>
      <c r="Z173" s="581"/>
      <c r="AA173" s="581"/>
      <c r="AB173" s="581"/>
      <c r="AC173" s="581"/>
      <c r="AD173" s="581"/>
      <c r="AE173" s="581"/>
      <c r="AF173" s="581"/>
      <c r="AG173" s="581"/>
      <c r="AH173" s="581"/>
      <c r="AI173" s="581"/>
      <c r="AJ173" s="581"/>
      <c r="AK173" s="581"/>
      <c r="AL173" s="581"/>
      <c r="AM173" s="581"/>
    </row>
    <row r="174" spans="1:39" ht="93" hidden="1" x14ac:dyDescent="0.25">
      <c r="A174" s="572">
        <f t="shared" si="6"/>
        <v>155</v>
      </c>
      <c r="B174" s="573" t="s">
        <v>234</v>
      </c>
      <c r="C174" s="574">
        <v>80101706</v>
      </c>
      <c r="D174" s="575" t="s">
        <v>532</v>
      </c>
      <c r="E174" s="573" t="s">
        <v>48</v>
      </c>
      <c r="F174" s="573">
        <v>1</v>
      </c>
      <c r="G174" s="576" t="s">
        <v>73</v>
      </c>
      <c r="H174" s="577">
        <v>5</v>
      </c>
      <c r="I174" s="573" t="s">
        <v>61</v>
      </c>
      <c r="J174" s="573" t="s">
        <v>66</v>
      </c>
      <c r="K174" s="573" t="s">
        <v>464</v>
      </c>
      <c r="L174" s="578">
        <v>38765000</v>
      </c>
      <c r="M174" s="579">
        <v>38765000</v>
      </c>
      <c r="N174" s="573" t="s">
        <v>51</v>
      </c>
      <c r="O174" s="573" t="s">
        <v>36</v>
      </c>
      <c r="P174" s="573" t="s">
        <v>490</v>
      </c>
      <c r="Q174" s="80"/>
      <c r="R174" s="596" t="s">
        <v>255</v>
      </c>
      <c r="S174" s="581"/>
      <c r="T174" s="581"/>
      <c r="U174" s="581"/>
      <c r="V174" s="581"/>
      <c r="W174" s="581"/>
      <c r="X174" s="581"/>
      <c r="Y174" s="581"/>
      <c r="Z174" s="581"/>
      <c r="AA174" s="581"/>
      <c r="AB174" s="581"/>
      <c r="AC174" s="581"/>
      <c r="AD174" s="581"/>
      <c r="AE174" s="581"/>
      <c r="AF174" s="581"/>
      <c r="AG174" s="581"/>
      <c r="AH174" s="581"/>
      <c r="AI174" s="581"/>
      <c r="AJ174" s="581"/>
      <c r="AK174" s="581"/>
      <c r="AL174" s="581"/>
      <c r="AM174" s="581"/>
    </row>
    <row r="175" spans="1:39" ht="93" hidden="1" x14ac:dyDescent="0.25">
      <c r="A175" s="572">
        <f t="shared" si="6"/>
        <v>156</v>
      </c>
      <c r="B175" s="573" t="s">
        <v>463</v>
      </c>
      <c r="C175" s="574">
        <v>80101706</v>
      </c>
      <c r="D175" s="598" t="s">
        <v>276</v>
      </c>
      <c r="E175" s="573" t="s">
        <v>48</v>
      </c>
      <c r="F175" s="573">
        <v>1</v>
      </c>
      <c r="G175" s="576" t="s">
        <v>80</v>
      </c>
      <c r="H175" s="577" t="s">
        <v>254</v>
      </c>
      <c r="I175" s="573" t="s">
        <v>225</v>
      </c>
      <c r="J175" s="573" t="s">
        <v>66</v>
      </c>
      <c r="K175" s="573" t="s">
        <v>464</v>
      </c>
      <c r="L175" s="578">
        <v>300000000</v>
      </c>
      <c r="M175" s="579">
        <v>300000000</v>
      </c>
      <c r="N175" s="573" t="s">
        <v>51</v>
      </c>
      <c r="O175" s="573" t="s">
        <v>36</v>
      </c>
      <c r="P175" s="573" t="s">
        <v>317</v>
      </c>
      <c r="Q175" s="80"/>
      <c r="R175" s="594"/>
      <c r="S175" s="581"/>
      <c r="T175" s="581"/>
      <c r="U175" s="581"/>
      <c r="V175" s="581"/>
      <c r="W175" s="581"/>
      <c r="X175" s="581"/>
      <c r="Y175" s="581"/>
      <c r="Z175" s="581"/>
      <c r="AA175" s="581"/>
      <c r="AB175" s="581"/>
      <c r="AC175" s="581"/>
      <c r="AD175" s="581"/>
      <c r="AE175" s="581"/>
      <c r="AF175" s="581"/>
      <c r="AG175" s="581"/>
      <c r="AH175" s="581"/>
      <c r="AI175" s="581"/>
      <c r="AJ175" s="581"/>
      <c r="AK175" s="581"/>
      <c r="AL175" s="581"/>
      <c r="AM175" s="581"/>
    </row>
    <row r="176" spans="1:39" ht="93" hidden="1" x14ac:dyDescent="0.25">
      <c r="A176" s="572">
        <f t="shared" si="6"/>
        <v>157</v>
      </c>
      <c r="B176" s="573" t="s">
        <v>481</v>
      </c>
      <c r="C176" s="574">
        <v>81112501</v>
      </c>
      <c r="D176" s="598" t="s">
        <v>483</v>
      </c>
      <c r="E176" s="573" t="s">
        <v>68</v>
      </c>
      <c r="F176" s="573">
        <v>1</v>
      </c>
      <c r="G176" s="576" t="s">
        <v>78</v>
      </c>
      <c r="H176" s="577" t="s">
        <v>292</v>
      </c>
      <c r="I176" s="573" t="s">
        <v>61</v>
      </c>
      <c r="J176" s="573" t="s">
        <v>66</v>
      </c>
      <c r="K176" s="573" t="s">
        <v>464</v>
      </c>
      <c r="L176" s="578">
        <v>250000000</v>
      </c>
      <c r="M176" s="579">
        <v>250000000</v>
      </c>
      <c r="N176" s="573" t="s">
        <v>51</v>
      </c>
      <c r="O176" s="573" t="s">
        <v>36</v>
      </c>
      <c r="P176" s="573" t="s">
        <v>306</v>
      </c>
      <c r="Q176" s="80"/>
      <c r="R176" s="594"/>
      <c r="S176" s="581"/>
      <c r="T176" s="581"/>
      <c r="U176" s="581"/>
      <c r="V176" s="581"/>
      <c r="W176" s="581"/>
      <c r="X176" s="581"/>
      <c r="Y176" s="581"/>
      <c r="Z176" s="581"/>
      <c r="AA176" s="581"/>
      <c r="AB176" s="581"/>
      <c r="AC176" s="581"/>
      <c r="AD176" s="581"/>
      <c r="AE176" s="581"/>
      <c r="AF176" s="581"/>
      <c r="AG176" s="581"/>
      <c r="AH176" s="581"/>
      <c r="AI176" s="581"/>
      <c r="AJ176" s="581"/>
      <c r="AK176" s="581"/>
      <c r="AL176" s="581"/>
      <c r="AM176" s="581"/>
    </row>
    <row r="177" spans="1:39" ht="116.25" x14ac:dyDescent="0.25">
      <c r="A177" s="572">
        <f t="shared" si="6"/>
        <v>158</v>
      </c>
      <c r="B177" s="573" t="s">
        <v>234</v>
      </c>
      <c r="C177" s="574">
        <v>80101706</v>
      </c>
      <c r="D177" s="575" t="s">
        <v>532</v>
      </c>
      <c r="E177" s="573" t="s">
        <v>48</v>
      </c>
      <c r="F177" s="573">
        <v>1</v>
      </c>
      <c r="G177" s="576" t="s">
        <v>73</v>
      </c>
      <c r="H177" s="577">
        <v>5</v>
      </c>
      <c r="I177" s="573" t="s">
        <v>61</v>
      </c>
      <c r="J177" s="573" t="s">
        <v>66</v>
      </c>
      <c r="K177" s="573" t="s">
        <v>484</v>
      </c>
      <c r="L177" s="578">
        <v>28500000</v>
      </c>
      <c r="M177" s="579">
        <v>28500000</v>
      </c>
      <c r="N177" s="573" t="s">
        <v>51</v>
      </c>
      <c r="O177" s="573" t="s">
        <v>36</v>
      </c>
      <c r="P177" s="573" t="s">
        <v>490</v>
      </c>
      <c r="Q177" s="80"/>
      <c r="R177" s="596" t="s">
        <v>288</v>
      </c>
      <c r="S177" s="581"/>
      <c r="T177" s="581"/>
      <c r="U177" s="581"/>
      <c r="V177" s="581"/>
      <c r="W177" s="581"/>
      <c r="X177" s="581"/>
      <c r="Y177" s="581"/>
      <c r="Z177" s="581"/>
      <c r="AA177" s="581"/>
      <c r="AB177" s="581"/>
      <c r="AC177" s="581"/>
      <c r="AD177" s="581"/>
      <c r="AE177" s="581"/>
      <c r="AF177" s="581"/>
      <c r="AG177" s="581"/>
      <c r="AH177" s="581"/>
      <c r="AI177" s="581"/>
      <c r="AJ177" s="581"/>
      <c r="AK177" s="581"/>
      <c r="AL177" s="581"/>
      <c r="AM177" s="581"/>
    </row>
    <row r="178" spans="1:39" ht="93" hidden="1" x14ac:dyDescent="0.25">
      <c r="A178" s="572">
        <f t="shared" si="6"/>
        <v>159</v>
      </c>
      <c r="B178" s="573" t="s">
        <v>234</v>
      </c>
      <c r="C178" s="574">
        <v>80101706</v>
      </c>
      <c r="D178" s="598" t="s">
        <v>489</v>
      </c>
      <c r="E178" s="573" t="s">
        <v>59</v>
      </c>
      <c r="F178" s="573">
        <v>1</v>
      </c>
      <c r="G178" s="576" t="s">
        <v>74</v>
      </c>
      <c r="H178" s="577" t="s">
        <v>156</v>
      </c>
      <c r="I178" s="573" t="s">
        <v>61</v>
      </c>
      <c r="J178" s="573" t="s">
        <v>66</v>
      </c>
      <c r="K178" s="573" t="s">
        <v>464</v>
      </c>
      <c r="L178" s="578">
        <v>30000000</v>
      </c>
      <c r="M178" s="579">
        <v>30000000</v>
      </c>
      <c r="N178" s="573" t="s">
        <v>51</v>
      </c>
      <c r="O178" s="573" t="s">
        <v>36</v>
      </c>
      <c r="P178" s="573" t="s">
        <v>490</v>
      </c>
      <c r="Q178" s="80"/>
      <c r="R178" s="594"/>
      <c r="S178" s="581"/>
      <c r="T178" s="581"/>
      <c r="U178" s="581"/>
      <c r="V178" s="581"/>
      <c r="W178" s="581"/>
      <c r="X178" s="581"/>
      <c r="Y178" s="581"/>
      <c r="Z178" s="581"/>
      <c r="AA178" s="581"/>
      <c r="AB178" s="581"/>
      <c r="AC178" s="581"/>
      <c r="AD178" s="581"/>
      <c r="AE178" s="581"/>
      <c r="AF178" s="581"/>
      <c r="AG178" s="581"/>
      <c r="AH178" s="581"/>
      <c r="AI178" s="581"/>
      <c r="AJ178" s="581"/>
      <c r="AK178" s="581"/>
      <c r="AL178" s="581"/>
      <c r="AM178" s="581"/>
    </row>
    <row r="179" spans="1:39" ht="93" hidden="1" x14ac:dyDescent="0.25">
      <c r="A179" s="572">
        <f t="shared" si="6"/>
        <v>160</v>
      </c>
      <c r="B179" s="573" t="s">
        <v>246</v>
      </c>
      <c r="C179" s="574">
        <v>80101706</v>
      </c>
      <c r="D179" s="575" t="s">
        <v>533</v>
      </c>
      <c r="E179" s="573" t="s">
        <v>48</v>
      </c>
      <c r="F179" s="573">
        <v>1</v>
      </c>
      <c r="G179" s="576" t="s">
        <v>73</v>
      </c>
      <c r="H179" s="577">
        <v>8</v>
      </c>
      <c r="I179" s="573" t="s">
        <v>61</v>
      </c>
      <c r="J179" s="573" t="s">
        <v>35</v>
      </c>
      <c r="K179" s="573" t="s">
        <v>430</v>
      </c>
      <c r="L179" s="578">
        <v>14400000</v>
      </c>
      <c r="M179" s="579">
        <v>14400000</v>
      </c>
      <c r="N179" s="573" t="s">
        <v>51</v>
      </c>
      <c r="O179" s="573" t="s">
        <v>36</v>
      </c>
      <c r="P179" s="573" t="s">
        <v>502</v>
      </c>
      <c r="Q179" s="80"/>
      <c r="R179" s="596" t="s">
        <v>572</v>
      </c>
      <c r="S179" s="581"/>
      <c r="T179" s="581"/>
      <c r="U179" s="581"/>
      <c r="V179" s="581"/>
      <c r="W179" s="581"/>
      <c r="X179" s="581"/>
      <c r="Y179" s="581"/>
      <c r="Z179" s="581"/>
      <c r="AA179" s="581"/>
      <c r="AB179" s="581"/>
      <c r="AC179" s="581"/>
      <c r="AD179" s="581"/>
      <c r="AE179" s="581"/>
      <c r="AF179" s="581"/>
      <c r="AG179" s="581"/>
      <c r="AH179" s="581"/>
      <c r="AI179" s="581"/>
      <c r="AJ179" s="581"/>
      <c r="AK179" s="581"/>
      <c r="AL179" s="581"/>
      <c r="AM179" s="581"/>
    </row>
    <row r="180" spans="1:39" ht="93" hidden="1" x14ac:dyDescent="0.25">
      <c r="A180" s="572">
        <f t="shared" si="6"/>
        <v>161</v>
      </c>
      <c r="B180" s="573" t="s">
        <v>265</v>
      </c>
      <c r="C180" s="574">
        <v>44121505</v>
      </c>
      <c r="D180" s="575" t="s">
        <v>534</v>
      </c>
      <c r="E180" s="573" t="s">
        <v>48</v>
      </c>
      <c r="F180" s="573">
        <v>1</v>
      </c>
      <c r="G180" s="576" t="s">
        <v>75</v>
      </c>
      <c r="H180" s="577" t="s">
        <v>156</v>
      </c>
      <c r="I180" s="573" t="s">
        <v>173</v>
      </c>
      <c r="J180" s="573" t="s">
        <v>35</v>
      </c>
      <c r="K180" s="573" t="s">
        <v>41</v>
      </c>
      <c r="L180" s="578">
        <v>1620000</v>
      </c>
      <c r="M180" s="579">
        <v>1620000</v>
      </c>
      <c r="N180" s="573" t="s">
        <v>51</v>
      </c>
      <c r="O180" s="573" t="s">
        <v>36</v>
      </c>
      <c r="P180" s="573" t="s">
        <v>535</v>
      </c>
      <c r="Q180" s="80"/>
      <c r="R180" s="597"/>
      <c r="S180" s="581"/>
      <c r="T180" s="581"/>
      <c r="U180" s="581"/>
      <c r="V180" s="581"/>
      <c r="W180" s="581"/>
      <c r="X180" s="581"/>
      <c r="Y180" s="581"/>
      <c r="Z180" s="581"/>
      <c r="AA180" s="581"/>
      <c r="AB180" s="581"/>
      <c r="AC180" s="581"/>
      <c r="AD180" s="581"/>
      <c r="AE180" s="581"/>
      <c r="AF180" s="581"/>
      <c r="AG180" s="581"/>
      <c r="AH180" s="581"/>
      <c r="AI180" s="581"/>
      <c r="AJ180" s="581"/>
      <c r="AK180" s="581"/>
      <c r="AL180" s="581"/>
      <c r="AM180" s="581"/>
    </row>
    <row r="181" spans="1:39" ht="137.44999999999999" hidden="1" customHeight="1" x14ac:dyDescent="0.25">
      <c r="A181" s="572">
        <f t="shared" si="6"/>
        <v>162</v>
      </c>
      <c r="B181" s="573" t="s">
        <v>474</v>
      </c>
      <c r="C181" s="574">
        <v>41112409</v>
      </c>
      <c r="D181" s="598" t="s">
        <v>475</v>
      </c>
      <c r="E181" s="573" t="s">
        <v>48</v>
      </c>
      <c r="F181" s="573">
        <v>1</v>
      </c>
      <c r="G181" s="576" t="s">
        <v>75</v>
      </c>
      <c r="H181" s="577" t="s">
        <v>156</v>
      </c>
      <c r="I181" s="573" t="s">
        <v>55</v>
      </c>
      <c r="J181" s="573" t="s">
        <v>35</v>
      </c>
      <c r="K181" s="573" t="s">
        <v>195</v>
      </c>
      <c r="L181" s="578">
        <v>8000000</v>
      </c>
      <c r="M181" s="579">
        <v>8000000</v>
      </c>
      <c r="N181" s="573" t="s">
        <v>51</v>
      </c>
      <c r="O181" s="573" t="s">
        <v>36</v>
      </c>
      <c r="P181" s="573" t="s">
        <v>316</v>
      </c>
      <c r="Q181" s="80"/>
      <c r="R181" s="595"/>
      <c r="S181" s="581"/>
      <c r="T181" s="581"/>
      <c r="U181" s="581"/>
      <c r="V181" s="581"/>
      <c r="W181" s="581"/>
      <c r="X181" s="581"/>
      <c r="Y181" s="581"/>
      <c r="Z181" s="581"/>
      <c r="AA181" s="581"/>
      <c r="AB181" s="581"/>
      <c r="AC181" s="581"/>
      <c r="AD181" s="581"/>
      <c r="AE181" s="581"/>
      <c r="AF181" s="581"/>
      <c r="AG181" s="581"/>
      <c r="AH181" s="581"/>
      <c r="AI181" s="581"/>
      <c r="AJ181" s="581"/>
      <c r="AK181" s="581"/>
      <c r="AL181" s="581"/>
      <c r="AM181" s="581"/>
    </row>
    <row r="182" spans="1:39" ht="93" hidden="1" x14ac:dyDescent="0.25">
      <c r="A182" s="572">
        <f t="shared" si="6"/>
        <v>163</v>
      </c>
      <c r="B182" s="573" t="s">
        <v>170</v>
      </c>
      <c r="C182" s="574" t="s">
        <v>71</v>
      </c>
      <c r="D182" s="598" t="s">
        <v>538</v>
      </c>
      <c r="E182" s="573" t="s">
        <v>48</v>
      </c>
      <c r="F182" s="573">
        <v>1</v>
      </c>
      <c r="G182" s="576" t="s">
        <v>80</v>
      </c>
      <c r="H182" s="577" t="s">
        <v>177</v>
      </c>
      <c r="I182" s="573" t="s">
        <v>173</v>
      </c>
      <c r="J182" s="573" t="s">
        <v>66</v>
      </c>
      <c r="K182" s="573" t="s">
        <v>464</v>
      </c>
      <c r="L182" s="578">
        <v>90000000</v>
      </c>
      <c r="M182" s="579">
        <v>90000000</v>
      </c>
      <c r="N182" s="573" t="s">
        <v>51</v>
      </c>
      <c r="O182" s="573" t="s">
        <v>36</v>
      </c>
      <c r="P182" s="573" t="s">
        <v>516</v>
      </c>
      <c r="Q182" s="80"/>
      <c r="R182" s="597"/>
      <c r="S182" s="581"/>
      <c r="T182" s="581"/>
      <c r="U182" s="581"/>
      <c r="V182" s="581"/>
      <c r="W182" s="581"/>
      <c r="X182" s="581"/>
      <c r="Y182" s="581"/>
      <c r="Z182" s="581"/>
      <c r="AA182" s="581"/>
      <c r="AB182" s="581"/>
      <c r="AC182" s="581"/>
      <c r="AD182" s="581"/>
      <c r="AE182" s="581"/>
      <c r="AF182" s="581"/>
      <c r="AG182" s="581"/>
      <c r="AH182" s="581"/>
      <c r="AI182" s="581"/>
      <c r="AJ182" s="581"/>
      <c r="AK182" s="581"/>
      <c r="AL182" s="581"/>
      <c r="AM182" s="581"/>
    </row>
    <row r="183" spans="1:39" ht="93" hidden="1" x14ac:dyDescent="0.25">
      <c r="A183" s="572">
        <f t="shared" si="6"/>
        <v>164</v>
      </c>
      <c r="B183" s="573" t="s">
        <v>170</v>
      </c>
      <c r="C183" s="574" t="s">
        <v>71</v>
      </c>
      <c r="D183" s="598" t="s">
        <v>539</v>
      </c>
      <c r="E183" s="573" t="s">
        <v>48</v>
      </c>
      <c r="F183" s="573">
        <v>1</v>
      </c>
      <c r="G183" s="576" t="s">
        <v>73</v>
      </c>
      <c r="H183" s="577" t="s">
        <v>194</v>
      </c>
      <c r="I183" s="573" t="s">
        <v>55</v>
      </c>
      <c r="J183" s="573" t="s">
        <v>35</v>
      </c>
      <c r="K183" s="573" t="s">
        <v>311</v>
      </c>
      <c r="L183" s="578">
        <v>2500000</v>
      </c>
      <c r="M183" s="579">
        <v>2500000</v>
      </c>
      <c r="N183" s="573" t="s">
        <v>51</v>
      </c>
      <c r="O183" s="573" t="s">
        <v>36</v>
      </c>
      <c r="P183" s="573" t="s">
        <v>516</v>
      </c>
      <c r="Q183" s="80"/>
      <c r="R183" s="597"/>
      <c r="S183" s="581"/>
      <c r="T183" s="581"/>
      <c r="U183" s="581"/>
      <c r="V183" s="581"/>
      <c r="W183" s="581"/>
      <c r="X183" s="581"/>
      <c r="Y183" s="581"/>
      <c r="Z183" s="581"/>
      <c r="AA183" s="581"/>
      <c r="AB183" s="581"/>
      <c r="AC183" s="581"/>
      <c r="AD183" s="581"/>
      <c r="AE183" s="581"/>
      <c r="AF183" s="581"/>
      <c r="AG183" s="581"/>
      <c r="AH183" s="581"/>
      <c r="AI183" s="581"/>
      <c r="AJ183" s="581"/>
      <c r="AK183" s="581"/>
      <c r="AL183" s="581"/>
      <c r="AM183" s="581"/>
    </row>
    <row r="184" spans="1:39" ht="102.6" hidden="1" customHeight="1" x14ac:dyDescent="0.25">
      <c r="A184" s="572">
        <f t="shared" si="6"/>
        <v>165</v>
      </c>
      <c r="B184" s="573" t="s">
        <v>494</v>
      </c>
      <c r="C184" s="574" t="s">
        <v>71</v>
      </c>
      <c r="D184" s="598" t="s">
        <v>540</v>
      </c>
      <c r="E184" s="573" t="s">
        <v>48</v>
      </c>
      <c r="F184" s="573">
        <v>1</v>
      </c>
      <c r="G184" s="576" t="s">
        <v>80</v>
      </c>
      <c r="H184" s="577" t="s">
        <v>157</v>
      </c>
      <c r="I184" s="573" t="s">
        <v>53</v>
      </c>
      <c r="J184" s="573" t="s">
        <v>66</v>
      </c>
      <c r="K184" s="573" t="s">
        <v>464</v>
      </c>
      <c r="L184" s="578">
        <v>5000000</v>
      </c>
      <c r="M184" s="579">
        <v>5000000</v>
      </c>
      <c r="N184" s="573" t="s">
        <v>51</v>
      </c>
      <c r="O184" s="573" t="s">
        <v>36</v>
      </c>
      <c r="P184" s="573" t="s">
        <v>493</v>
      </c>
      <c r="Q184" s="80"/>
      <c r="R184" s="597"/>
      <c r="S184" s="581"/>
      <c r="T184" s="581"/>
      <c r="U184" s="581"/>
      <c r="V184" s="581"/>
      <c r="W184" s="581"/>
      <c r="X184" s="581"/>
      <c r="Y184" s="581"/>
      <c r="Z184" s="581"/>
      <c r="AA184" s="581"/>
      <c r="AB184" s="581"/>
      <c r="AC184" s="581"/>
      <c r="AD184" s="581"/>
      <c r="AE184" s="581"/>
      <c r="AF184" s="581"/>
      <c r="AG184" s="581"/>
      <c r="AH184" s="581"/>
      <c r="AI184" s="581"/>
      <c r="AJ184" s="581"/>
      <c r="AK184" s="581"/>
      <c r="AL184" s="581"/>
      <c r="AM184" s="581"/>
    </row>
    <row r="185" spans="1:39" ht="93" hidden="1" x14ac:dyDescent="0.25">
      <c r="A185" s="572">
        <f t="shared" ref="A185" si="7">SUM(A184+1)</f>
        <v>166</v>
      </c>
      <c r="B185" s="573" t="s">
        <v>264</v>
      </c>
      <c r="C185" s="574" t="s">
        <v>71</v>
      </c>
      <c r="D185" s="598" t="s">
        <v>541</v>
      </c>
      <c r="E185" s="573" t="s">
        <v>48</v>
      </c>
      <c r="F185" s="573">
        <v>1</v>
      </c>
      <c r="G185" s="576" t="s">
        <v>73</v>
      </c>
      <c r="H185" s="577" t="s">
        <v>194</v>
      </c>
      <c r="I185" s="573" t="s">
        <v>173</v>
      </c>
      <c r="J185" s="573" t="s">
        <v>35</v>
      </c>
      <c r="K185" s="573" t="s">
        <v>203</v>
      </c>
      <c r="L185" s="578">
        <v>26000000</v>
      </c>
      <c r="M185" s="579">
        <v>26000000</v>
      </c>
      <c r="N185" s="573" t="s">
        <v>51</v>
      </c>
      <c r="O185" s="573" t="s">
        <v>36</v>
      </c>
      <c r="P185" s="573" t="s">
        <v>518</v>
      </c>
      <c r="Q185" s="80"/>
      <c r="R185" s="597"/>
      <c r="S185" s="581"/>
      <c r="T185" s="581"/>
      <c r="U185" s="581"/>
      <c r="V185" s="581"/>
      <c r="W185" s="581"/>
      <c r="X185" s="581"/>
      <c r="Y185" s="581"/>
      <c r="Z185" s="581"/>
      <c r="AA185" s="581"/>
      <c r="AB185" s="581"/>
      <c r="AC185" s="581"/>
      <c r="AD185" s="581"/>
      <c r="AE185" s="581"/>
      <c r="AF185" s="581"/>
      <c r="AG185" s="581"/>
      <c r="AH185" s="581"/>
      <c r="AI185" s="581"/>
      <c r="AJ185" s="581"/>
      <c r="AK185" s="581"/>
      <c r="AL185" s="581"/>
      <c r="AM185" s="581"/>
    </row>
    <row r="192" spans="1:39" ht="64.150000000000006" customHeight="1" x14ac:dyDescent="0.25">
      <c r="D192" s="80"/>
      <c r="E192" s="754" t="s">
        <v>573</v>
      </c>
      <c r="F192" s="755"/>
      <c r="G192" s="755"/>
      <c r="H192" s="755"/>
      <c r="I192" s="756"/>
    </row>
    <row r="194" spans="4:9" ht="58.15" customHeight="1" x14ac:dyDescent="0.25">
      <c r="D194" s="611"/>
      <c r="E194" s="754" t="s">
        <v>578</v>
      </c>
      <c r="F194" s="755"/>
      <c r="G194" s="755"/>
      <c r="H194" s="755"/>
      <c r="I194" s="756"/>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selection activeCell="K9" sqref="K9"/>
    </sheetView>
  </sheetViews>
  <sheetFormatPr baseColWidth="10" defaultColWidth="11.42578125" defaultRowHeight="15" x14ac:dyDescent="0.25"/>
  <cols>
    <col min="1" max="2" width="3.85546875" style="10" customWidth="1"/>
    <col min="3" max="3" width="5.42578125" style="10" customWidth="1"/>
    <col min="4" max="9" width="3.85546875" style="10" customWidth="1"/>
    <col min="10" max="10" width="39.42578125" style="10" customWidth="1"/>
    <col min="11" max="13" width="28" style="10" customWidth="1"/>
    <col min="14" max="14" width="26.85546875" style="10" customWidth="1"/>
    <col min="15" max="15" width="29.28515625" style="10" customWidth="1"/>
    <col min="16" max="16" width="23" style="10" customWidth="1"/>
    <col min="17" max="17" width="26.85546875" style="10" customWidth="1"/>
    <col min="18" max="16384" width="11.42578125" style="10"/>
  </cols>
  <sheetData>
    <row r="1" spans="1:17" ht="18" customHeight="1" x14ac:dyDescent="0.25">
      <c r="A1" s="775" t="s">
        <v>113</v>
      </c>
      <c r="B1" s="775"/>
      <c r="C1" s="775"/>
      <c r="D1" s="775"/>
      <c r="E1" s="775"/>
      <c r="F1" s="775"/>
      <c r="G1" s="775"/>
      <c r="H1" s="775"/>
      <c r="I1" s="775"/>
      <c r="J1" s="775"/>
      <c r="K1" s="775"/>
      <c r="L1" s="775"/>
      <c r="M1" s="775"/>
      <c r="N1" s="775"/>
      <c r="O1" s="775"/>
      <c r="P1" s="775"/>
      <c r="Q1" s="775"/>
    </row>
    <row r="2" spans="1:17" ht="25.5" customHeight="1" x14ac:dyDescent="0.35">
      <c r="A2" s="776" t="s">
        <v>220</v>
      </c>
      <c r="B2" s="776"/>
      <c r="C2" s="776"/>
      <c r="D2" s="776"/>
      <c r="E2" s="776"/>
      <c r="F2" s="776"/>
      <c r="G2" s="776"/>
      <c r="H2" s="776"/>
      <c r="I2" s="776"/>
      <c r="J2" s="776"/>
      <c r="K2" s="776"/>
      <c r="L2" s="776"/>
      <c r="M2" s="776"/>
      <c r="N2" s="776"/>
      <c r="O2" s="776"/>
      <c r="P2" s="776"/>
      <c r="Q2" s="776"/>
    </row>
    <row r="3" spans="1:17" ht="36.75" customHeight="1" x14ac:dyDescent="0.45">
      <c r="A3" s="22"/>
      <c r="B3" s="777"/>
      <c r="C3" s="777"/>
      <c r="D3" s="777"/>
      <c r="E3" s="777"/>
      <c r="F3" s="777"/>
      <c r="G3" s="777"/>
      <c r="H3" s="777"/>
      <c r="I3" s="777"/>
      <c r="J3" s="60"/>
      <c r="K3" s="71">
        <f t="shared" ref="K3:Q3" si="0">SUM(K9+K17+K26+K32+K38+K41)</f>
        <v>48627718.049999997</v>
      </c>
      <c r="L3" s="71">
        <f t="shared" si="0"/>
        <v>52760000</v>
      </c>
      <c r="M3" s="71">
        <f t="shared" si="0"/>
        <v>4132281.9499999993</v>
      </c>
      <c r="N3" s="71">
        <f t="shared" si="0"/>
        <v>12000000</v>
      </c>
      <c r="O3" s="71">
        <f t="shared" si="0"/>
        <v>52760000</v>
      </c>
      <c r="P3" s="71">
        <f t="shared" si="0"/>
        <v>0</v>
      </c>
      <c r="Q3" s="71">
        <f t="shared" si="0"/>
        <v>52760000</v>
      </c>
    </row>
    <row r="4" spans="1:17" ht="51.75" customHeight="1" x14ac:dyDescent="0.25">
      <c r="A4" s="23" t="s">
        <v>87</v>
      </c>
      <c r="B4" s="57" t="s">
        <v>87</v>
      </c>
      <c r="C4" s="57" t="s">
        <v>87</v>
      </c>
      <c r="D4" s="57" t="s">
        <v>87</v>
      </c>
      <c r="E4" s="57" t="s">
        <v>87</v>
      </c>
      <c r="F4" s="57" t="s">
        <v>87</v>
      </c>
      <c r="G4" s="57" t="s">
        <v>87</v>
      </c>
      <c r="H4" s="57" t="s">
        <v>87</v>
      </c>
      <c r="I4" s="57" t="s">
        <v>87</v>
      </c>
      <c r="J4" s="58" t="s">
        <v>87</v>
      </c>
      <c r="K4" s="779" t="s">
        <v>221</v>
      </c>
      <c r="L4" s="778" t="s">
        <v>222</v>
      </c>
      <c r="M4" s="780" t="s">
        <v>223</v>
      </c>
      <c r="N4" s="781" t="s">
        <v>222</v>
      </c>
      <c r="O4" s="782"/>
      <c r="P4" s="782"/>
      <c r="Q4" s="782"/>
    </row>
    <row r="5" spans="1:17" ht="72.75" customHeight="1" x14ac:dyDescent="0.25">
      <c r="A5" s="24" t="s">
        <v>112</v>
      </c>
      <c r="B5" s="61" t="s">
        <v>111</v>
      </c>
      <c r="C5" s="61" t="s">
        <v>110</v>
      </c>
      <c r="D5" s="61" t="s">
        <v>109</v>
      </c>
      <c r="E5" s="61" t="s">
        <v>108</v>
      </c>
      <c r="F5" s="61" t="s">
        <v>107</v>
      </c>
      <c r="G5" s="61" t="s">
        <v>106</v>
      </c>
      <c r="H5" s="61" t="s">
        <v>105</v>
      </c>
      <c r="I5" s="61" t="s">
        <v>104</v>
      </c>
      <c r="J5" s="59" t="s">
        <v>103</v>
      </c>
      <c r="K5" s="779"/>
      <c r="L5" s="778"/>
      <c r="M5" s="780"/>
      <c r="N5" s="69" t="s">
        <v>174</v>
      </c>
      <c r="O5" s="37" t="s">
        <v>187</v>
      </c>
      <c r="P5" s="37" t="s">
        <v>188</v>
      </c>
      <c r="Q5" s="37" t="s">
        <v>172</v>
      </c>
    </row>
    <row r="6" spans="1:17" s="29" customFormat="1" ht="40.5" customHeight="1" x14ac:dyDescent="0.2">
      <c r="A6" s="27"/>
      <c r="B6" s="739" t="s">
        <v>114</v>
      </c>
      <c r="C6" s="739"/>
      <c r="D6" s="739"/>
      <c r="E6" s="739"/>
      <c r="F6" s="739"/>
      <c r="G6" s="739"/>
      <c r="H6" s="739"/>
      <c r="I6" s="739"/>
      <c r="J6" s="739"/>
      <c r="K6" s="62"/>
      <c r="L6" s="62"/>
      <c r="M6" s="62"/>
      <c r="N6" s="46"/>
      <c r="O6" s="46"/>
      <c r="P6" s="46"/>
      <c r="Q6" s="46"/>
    </row>
    <row r="7" spans="1:17" s="29" customFormat="1" ht="109.5" customHeight="1" x14ac:dyDescent="0.2">
      <c r="A7" s="27" t="s">
        <v>100</v>
      </c>
      <c r="B7" s="38" t="s">
        <v>101</v>
      </c>
      <c r="C7" s="38" t="s">
        <v>102</v>
      </c>
      <c r="D7" s="38" t="s">
        <v>96</v>
      </c>
      <c r="E7" s="38" t="s">
        <v>91</v>
      </c>
      <c r="F7" s="38" t="s">
        <v>140</v>
      </c>
      <c r="G7" s="38" t="s">
        <v>147</v>
      </c>
      <c r="H7" s="25">
        <v>10</v>
      </c>
      <c r="I7" s="25" t="s">
        <v>88</v>
      </c>
      <c r="J7" s="56" t="s">
        <v>186</v>
      </c>
      <c r="K7" s="63">
        <v>306000</v>
      </c>
      <c r="L7" s="63">
        <f>SUM(O7)</f>
        <v>500000</v>
      </c>
      <c r="M7" s="63">
        <f>SUM(L7-K7)</f>
        <v>194000</v>
      </c>
      <c r="N7" s="45">
        <v>500000</v>
      </c>
      <c r="O7" s="45">
        <v>500000</v>
      </c>
      <c r="P7" s="45"/>
      <c r="Q7" s="45">
        <f>SUM(O7-P7)</f>
        <v>500000</v>
      </c>
    </row>
    <row r="8" spans="1:17" s="29" customFormat="1" ht="45" customHeight="1" x14ac:dyDescent="0.2">
      <c r="A8" s="27" t="s">
        <v>100</v>
      </c>
      <c r="B8" s="38" t="s">
        <v>101</v>
      </c>
      <c r="C8" s="38" t="s">
        <v>102</v>
      </c>
      <c r="D8" s="38" t="s">
        <v>96</v>
      </c>
      <c r="E8" s="38" t="s">
        <v>91</v>
      </c>
      <c r="F8" s="38">
        <v>26</v>
      </c>
      <c r="G8" s="38" t="s">
        <v>147</v>
      </c>
      <c r="H8" s="25">
        <v>10</v>
      </c>
      <c r="I8" s="25" t="s">
        <v>88</v>
      </c>
      <c r="J8" s="36" t="s">
        <v>154</v>
      </c>
      <c r="K8" s="63">
        <v>50000</v>
      </c>
      <c r="L8" s="63">
        <f>SUM(O8)</f>
        <v>200000</v>
      </c>
      <c r="M8" s="63">
        <f>SUM(L8-K8)</f>
        <v>150000</v>
      </c>
      <c r="N8" s="45"/>
      <c r="O8" s="45">
        <v>200000</v>
      </c>
      <c r="P8" s="45"/>
      <c r="Q8" s="45">
        <f>SUM(O8-P8)</f>
        <v>200000</v>
      </c>
    </row>
    <row r="9" spans="1:17" s="34" customFormat="1" ht="23.25" x14ac:dyDescent="0.2">
      <c r="A9" s="31"/>
      <c r="B9" s="32"/>
      <c r="C9" s="32"/>
      <c r="D9" s="32"/>
      <c r="E9" s="32"/>
      <c r="F9" s="32"/>
      <c r="G9" s="32"/>
      <c r="H9" s="33"/>
      <c r="I9" s="33"/>
      <c r="J9" s="35" t="s">
        <v>135</v>
      </c>
      <c r="K9" s="39">
        <f>SUM(K7:K8)</f>
        <v>356000</v>
      </c>
      <c r="L9" s="39">
        <f>SUM(L7:L8)</f>
        <v>700000</v>
      </c>
      <c r="M9" s="39">
        <f>SUM(M7:M8)</f>
        <v>344000</v>
      </c>
      <c r="N9" s="49">
        <f>SUM(N6:N8)</f>
        <v>500000</v>
      </c>
      <c r="O9" s="49">
        <f>SUM(O6:O8)</f>
        <v>700000</v>
      </c>
      <c r="P9" s="49">
        <f>SUM(P6:P8)</f>
        <v>0</v>
      </c>
      <c r="Q9" s="49">
        <f>SUM(Q6:Q8)</f>
        <v>700000</v>
      </c>
    </row>
    <row r="10" spans="1:17" s="29" customFormat="1" ht="39.75" customHeight="1" x14ac:dyDescent="0.2">
      <c r="A10" s="27"/>
      <c r="B10" s="739" t="s">
        <v>127</v>
      </c>
      <c r="C10" s="739"/>
      <c r="D10" s="739"/>
      <c r="E10" s="739"/>
      <c r="F10" s="739"/>
      <c r="G10" s="739"/>
      <c r="H10" s="739"/>
      <c r="I10" s="739"/>
      <c r="J10" s="739"/>
      <c r="K10" s="64"/>
      <c r="L10" s="64"/>
      <c r="M10" s="64"/>
      <c r="N10" s="50"/>
      <c r="O10" s="50"/>
      <c r="P10" s="50"/>
      <c r="Q10" s="50"/>
    </row>
    <row r="11" spans="1:17" s="29" customFormat="1" ht="79.5" customHeight="1" x14ac:dyDescent="0.2">
      <c r="A11" s="27" t="s">
        <v>100</v>
      </c>
      <c r="B11" s="38" t="s">
        <v>101</v>
      </c>
      <c r="C11" s="38" t="s">
        <v>102</v>
      </c>
      <c r="D11" s="38" t="s">
        <v>96</v>
      </c>
      <c r="E11" s="38" t="s">
        <v>96</v>
      </c>
      <c r="F11" s="38" t="s">
        <v>95</v>
      </c>
      <c r="G11" s="38" t="s">
        <v>147</v>
      </c>
      <c r="H11" s="25">
        <v>10</v>
      </c>
      <c r="I11" s="25" t="s">
        <v>88</v>
      </c>
      <c r="J11" s="42" t="s">
        <v>155</v>
      </c>
      <c r="K11" s="63">
        <v>2427174</v>
      </c>
      <c r="L11" s="63">
        <f t="shared" ref="L11:L16" si="1">SUM(O11)</f>
        <v>1910000</v>
      </c>
      <c r="M11" s="70">
        <f t="shared" ref="M11:M16" si="2">SUM(L11-K11)</f>
        <v>-517174</v>
      </c>
      <c r="N11" s="45"/>
      <c r="O11" s="45">
        <v>1910000</v>
      </c>
      <c r="P11" s="48"/>
      <c r="Q11" s="45">
        <f t="shared" ref="Q11:Q16" si="3">SUM(O11-P11)</f>
        <v>1910000</v>
      </c>
    </row>
    <row r="12" spans="1:17" s="29" customFormat="1" ht="36" x14ac:dyDescent="0.2">
      <c r="A12" s="27" t="s">
        <v>100</v>
      </c>
      <c r="B12" s="38" t="s">
        <v>101</v>
      </c>
      <c r="C12" s="38" t="s">
        <v>102</v>
      </c>
      <c r="D12" s="38" t="s">
        <v>96</v>
      </c>
      <c r="E12" s="38" t="s">
        <v>96</v>
      </c>
      <c r="F12" s="38" t="s">
        <v>141</v>
      </c>
      <c r="G12" s="38" t="s">
        <v>147</v>
      </c>
      <c r="H12" s="25">
        <v>10</v>
      </c>
      <c r="I12" s="25" t="s">
        <v>88</v>
      </c>
      <c r="J12" s="42" t="s">
        <v>128</v>
      </c>
      <c r="K12" s="63">
        <v>332399</v>
      </c>
      <c r="L12" s="63">
        <f t="shared" si="1"/>
        <v>400000</v>
      </c>
      <c r="M12" s="63">
        <f t="shared" si="2"/>
        <v>67601</v>
      </c>
      <c r="N12" s="45"/>
      <c r="O12" s="45">
        <v>400000</v>
      </c>
      <c r="P12" s="45"/>
      <c r="Q12" s="45">
        <f t="shared" si="3"/>
        <v>400000</v>
      </c>
    </row>
    <row r="13" spans="1:17" s="29" customFormat="1" ht="51.75" customHeight="1" x14ac:dyDescent="0.2">
      <c r="A13" s="27" t="s">
        <v>100</v>
      </c>
      <c r="B13" s="38" t="s">
        <v>101</v>
      </c>
      <c r="C13" s="38" t="s">
        <v>102</v>
      </c>
      <c r="D13" s="38" t="s">
        <v>96</v>
      </c>
      <c r="E13" s="38" t="s">
        <v>96</v>
      </c>
      <c r="F13" s="38" t="s">
        <v>142</v>
      </c>
      <c r="G13" s="38" t="s">
        <v>147</v>
      </c>
      <c r="H13" s="25">
        <v>10</v>
      </c>
      <c r="I13" s="25" t="s">
        <v>88</v>
      </c>
      <c r="J13" s="42" t="s">
        <v>129</v>
      </c>
      <c r="K13" s="63">
        <v>17109402</v>
      </c>
      <c r="L13" s="63">
        <f t="shared" si="1"/>
        <v>14000000</v>
      </c>
      <c r="M13" s="70">
        <f t="shared" si="2"/>
        <v>-3109402</v>
      </c>
      <c r="N13" s="45"/>
      <c r="O13" s="45">
        <v>14000000</v>
      </c>
      <c r="P13" s="48"/>
      <c r="Q13" s="45">
        <f t="shared" si="3"/>
        <v>14000000</v>
      </c>
    </row>
    <row r="14" spans="1:17" s="28" customFormat="1" ht="109.5" customHeight="1" x14ac:dyDescent="0.2">
      <c r="A14" s="27" t="s">
        <v>100</v>
      </c>
      <c r="B14" s="38" t="s">
        <v>101</v>
      </c>
      <c r="C14" s="38" t="s">
        <v>102</v>
      </c>
      <c r="D14" s="38" t="s">
        <v>96</v>
      </c>
      <c r="E14" s="38" t="s">
        <v>96</v>
      </c>
      <c r="F14" s="38" t="s">
        <v>97</v>
      </c>
      <c r="G14" s="38" t="s">
        <v>147</v>
      </c>
      <c r="H14" s="25">
        <v>10</v>
      </c>
      <c r="I14" s="25" t="s">
        <v>88</v>
      </c>
      <c r="J14" s="42" t="s">
        <v>176</v>
      </c>
      <c r="K14" s="65">
        <v>2670320</v>
      </c>
      <c r="L14" s="63">
        <f t="shared" si="1"/>
        <v>2500000</v>
      </c>
      <c r="M14" s="70">
        <f t="shared" si="2"/>
        <v>-170320</v>
      </c>
      <c r="N14" s="45"/>
      <c r="O14" s="45">
        <v>2500000</v>
      </c>
      <c r="P14" s="48"/>
      <c r="Q14" s="45">
        <f t="shared" si="3"/>
        <v>2500000</v>
      </c>
    </row>
    <row r="15" spans="1:17" s="28" customFormat="1" ht="36" x14ac:dyDescent="0.2">
      <c r="A15" s="27" t="s">
        <v>100</v>
      </c>
      <c r="B15" s="38" t="s">
        <v>101</v>
      </c>
      <c r="C15" s="38" t="s">
        <v>102</v>
      </c>
      <c r="D15" s="38" t="s">
        <v>96</v>
      </c>
      <c r="E15" s="38" t="s">
        <v>96</v>
      </c>
      <c r="F15" s="38" t="s">
        <v>146</v>
      </c>
      <c r="G15" s="38" t="s">
        <v>147</v>
      </c>
      <c r="H15" s="25">
        <v>10</v>
      </c>
      <c r="I15" s="25" t="s">
        <v>88</v>
      </c>
      <c r="J15" s="36" t="s">
        <v>151</v>
      </c>
      <c r="K15" s="63">
        <v>105520</v>
      </c>
      <c r="L15" s="63">
        <f t="shared" si="1"/>
        <v>200000</v>
      </c>
      <c r="M15" s="63">
        <f t="shared" si="2"/>
        <v>94480</v>
      </c>
      <c r="N15" s="45"/>
      <c r="O15" s="45">
        <v>200000</v>
      </c>
      <c r="P15" s="45"/>
      <c r="Q15" s="45">
        <f t="shared" si="3"/>
        <v>200000</v>
      </c>
    </row>
    <row r="16" spans="1:17" s="28" customFormat="1" ht="36" x14ac:dyDescent="0.2">
      <c r="A16" s="27" t="s">
        <v>100</v>
      </c>
      <c r="B16" s="38" t="s">
        <v>101</v>
      </c>
      <c r="C16" s="38" t="s">
        <v>102</v>
      </c>
      <c r="D16" s="38" t="s">
        <v>96</v>
      </c>
      <c r="E16" s="38" t="s">
        <v>96</v>
      </c>
      <c r="F16" s="38" t="s">
        <v>143</v>
      </c>
      <c r="G16" s="38" t="s">
        <v>147</v>
      </c>
      <c r="H16" s="25">
        <v>10</v>
      </c>
      <c r="I16" s="25" t="s">
        <v>88</v>
      </c>
      <c r="J16" s="36" t="s">
        <v>130</v>
      </c>
      <c r="K16" s="63">
        <v>2813682</v>
      </c>
      <c r="L16" s="63">
        <f t="shared" si="1"/>
        <v>2500000</v>
      </c>
      <c r="M16" s="70">
        <f t="shared" si="2"/>
        <v>-313682</v>
      </c>
      <c r="N16" s="45">
        <v>4000000</v>
      </c>
      <c r="O16" s="45">
        <v>2500000</v>
      </c>
      <c r="P16" s="45"/>
      <c r="Q16" s="45">
        <f t="shared" si="3"/>
        <v>2500000</v>
      </c>
    </row>
    <row r="17" spans="1:17" s="34" customFormat="1" ht="28.5" x14ac:dyDescent="0.2">
      <c r="A17" s="31"/>
      <c r="B17" s="32"/>
      <c r="C17" s="32"/>
      <c r="D17" s="32"/>
      <c r="E17" s="32"/>
      <c r="F17" s="32"/>
      <c r="G17" s="32"/>
      <c r="H17" s="33"/>
      <c r="I17" s="33"/>
      <c r="J17" s="35" t="s">
        <v>131</v>
      </c>
      <c r="K17" s="39">
        <f t="shared" ref="K17:Q17" si="4">SUM(K11:K16)</f>
        <v>25458497</v>
      </c>
      <c r="L17" s="39">
        <f t="shared" si="4"/>
        <v>21510000</v>
      </c>
      <c r="M17" s="39">
        <f t="shared" si="4"/>
        <v>-3948497</v>
      </c>
      <c r="N17" s="49">
        <f t="shared" si="4"/>
        <v>4000000</v>
      </c>
      <c r="O17" s="49">
        <f t="shared" si="4"/>
        <v>21510000</v>
      </c>
      <c r="P17" s="49">
        <f t="shared" si="4"/>
        <v>0</v>
      </c>
      <c r="Q17" s="49">
        <f t="shared" si="4"/>
        <v>21510000</v>
      </c>
    </row>
    <row r="18" spans="1:17" s="28" customFormat="1" ht="45" customHeight="1" x14ac:dyDescent="0.2">
      <c r="A18" s="27"/>
      <c r="B18" s="739" t="s">
        <v>132</v>
      </c>
      <c r="C18" s="739"/>
      <c r="D18" s="739"/>
      <c r="E18" s="739"/>
      <c r="F18" s="739"/>
      <c r="G18" s="739"/>
      <c r="H18" s="739"/>
      <c r="I18" s="739"/>
      <c r="J18" s="739"/>
      <c r="K18" s="64"/>
      <c r="L18" s="64"/>
      <c r="M18" s="64"/>
      <c r="N18" s="50"/>
      <c r="O18" s="50"/>
      <c r="P18" s="50"/>
      <c r="Q18" s="50"/>
    </row>
    <row r="19" spans="1:17" s="28" customFormat="1" ht="90" customHeight="1" x14ac:dyDescent="0.2">
      <c r="A19" s="27" t="s">
        <v>100</v>
      </c>
      <c r="B19" s="38" t="s">
        <v>101</v>
      </c>
      <c r="C19" s="38" t="s">
        <v>102</v>
      </c>
      <c r="D19" s="38" t="s">
        <v>96</v>
      </c>
      <c r="E19" s="38" t="s">
        <v>94</v>
      </c>
      <c r="F19" s="38" t="s">
        <v>91</v>
      </c>
      <c r="G19" s="38" t="s">
        <v>147</v>
      </c>
      <c r="H19" s="25">
        <v>10</v>
      </c>
      <c r="I19" s="25" t="s">
        <v>88</v>
      </c>
      <c r="J19" s="42" t="s">
        <v>211</v>
      </c>
      <c r="K19" s="63">
        <v>2025011</v>
      </c>
      <c r="L19" s="63">
        <f>SUM(O19)</f>
        <v>2500000</v>
      </c>
      <c r="M19" s="63">
        <f t="shared" ref="M19:M25" si="5">SUM(L19-K19)</f>
        <v>474989</v>
      </c>
      <c r="N19" s="45"/>
      <c r="O19" s="45">
        <v>2500000</v>
      </c>
      <c r="P19" s="48"/>
      <c r="Q19" s="45">
        <f t="shared" ref="Q19:Q25" si="6">SUM(O19-P19)</f>
        <v>2500000</v>
      </c>
    </row>
    <row r="20" spans="1:17" s="28" customFormat="1" ht="72.75" customHeight="1" x14ac:dyDescent="0.2">
      <c r="A20" s="27" t="s">
        <v>100</v>
      </c>
      <c r="B20" s="38" t="s">
        <v>101</v>
      </c>
      <c r="C20" s="38" t="s">
        <v>102</v>
      </c>
      <c r="D20" s="38" t="s">
        <v>96</v>
      </c>
      <c r="E20" s="38" t="s">
        <v>94</v>
      </c>
      <c r="F20" s="38" t="s">
        <v>101</v>
      </c>
      <c r="G20" s="38" t="s">
        <v>147</v>
      </c>
      <c r="H20" s="25">
        <v>10</v>
      </c>
      <c r="I20" s="25" t="s">
        <v>88</v>
      </c>
      <c r="J20" s="42" t="s">
        <v>185</v>
      </c>
      <c r="K20" s="65">
        <v>3413575</v>
      </c>
      <c r="L20" s="63">
        <f t="shared" ref="L20:L25" si="7">SUM(O20)</f>
        <v>3700000</v>
      </c>
      <c r="M20" s="63">
        <f t="shared" si="5"/>
        <v>286425</v>
      </c>
      <c r="N20" s="45"/>
      <c r="O20" s="67">
        <v>3700000</v>
      </c>
      <c r="P20" s="68"/>
      <c r="Q20" s="45">
        <f t="shared" si="6"/>
        <v>3700000</v>
      </c>
    </row>
    <row r="21" spans="1:17" s="28" customFormat="1" ht="79.5" customHeight="1" x14ac:dyDescent="0.2">
      <c r="A21" s="27" t="s">
        <v>100</v>
      </c>
      <c r="B21" s="38" t="s">
        <v>101</v>
      </c>
      <c r="C21" s="38" t="s">
        <v>102</v>
      </c>
      <c r="D21" s="38" t="s">
        <v>96</v>
      </c>
      <c r="E21" s="38" t="s">
        <v>94</v>
      </c>
      <c r="F21" s="38" t="s">
        <v>94</v>
      </c>
      <c r="G21" s="38" t="s">
        <v>147</v>
      </c>
      <c r="H21" s="25">
        <v>10</v>
      </c>
      <c r="I21" s="25" t="s">
        <v>88</v>
      </c>
      <c r="J21" s="42" t="s">
        <v>184</v>
      </c>
      <c r="K21" s="66">
        <v>777156</v>
      </c>
      <c r="L21" s="63">
        <f t="shared" si="7"/>
        <v>900000</v>
      </c>
      <c r="M21" s="63">
        <f t="shared" si="5"/>
        <v>122844</v>
      </c>
      <c r="N21" s="45"/>
      <c r="O21" s="45">
        <v>900000</v>
      </c>
      <c r="P21" s="45"/>
      <c r="Q21" s="45">
        <f t="shared" si="6"/>
        <v>900000</v>
      </c>
    </row>
    <row r="22" spans="1:17" s="28" customFormat="1" ht="66.75" customHeight="1" x14ac:dyDescent="0.2">
      <c r="A22" s="30" t="s">
        <v>100</v>
      </c>
      <c r="B22" s="38" t="s">
        <v>101</v>
      </c>
      <c r="C22" s="38" t="s">
        <v>102</v>
      </c>
      <c r="D22" s="38" t="s">
        <v>96</v>
      </c>
      <c r="E22" s="38" t="s">
        <v>94</v>
      </c>
      <c r="F22" s="38" t="s">
        <v>99</v>
      </c>
      <c r="G22" s="38" t="s">
        <v>147</v>
      </c>
      <c r="H22" s="25">
        <v>10</v>
      </c>
      <c r="I22" s="25" t="s">
        <v>88</v>
      </c>
      <c r="J22" s="42" t="s">
        <v>116</v>
      </c>
      <c r="K22" s="63"/>
      <c r="L22" s="63">
        <f t="shared" si="7"/>
        <v>0</v>
      </c>
      <c r="M22" s="63">
        <f t="shared" si="5"/>
        <v>0</v>
      </c>
      <c r="N22" s="45"/>
      <c r="O22" s="45"/>
      <c r="P22" s="45"/>
      <c r="Q22" s="45">
        <f t="shared" si="6"/>
        <v>0</v>
      </c>
    </row>
    <row r="23" spans="1:17" s="28" customFormat="1" ht="36" x14ac:dyDescent="0.2">
      <c r="A23" s="27" t="s">
        <v>100</v>
      </c>
      <c r="B23" s="38" t="s">
        <v>101</v>
      </c>
      <c r="C23" s="38" t="s">
        <v>102</v>
      </c>
      <c r="D23" s="38" t="s">
        <v>96</v>
      </c>
      <c r="E23" s="38" t="s">
        <v>94</v>
      </c>
      <c r="F23" s="38" t="s">
        <v>139</v>
      </c>
      <c r="G23" s="38" t="s">
        <v>147</v>
      </c>
      <c r="H23" s="25">
        <v>10</v>
      </c>
      <c r="I23" s="25" t="s">
        <v>88</v>
      </c>
      <c r="J23" s="42" t="s">
        <v>133</v>
      </c>
      <c r="K23" s="63"/>
      <c r="L23" s="63">
        <f t="shared" si="7"/>
        <v>0</v>
      </c>
      <c r="M23" s="63">
        <f t="shared" si="5"/>
        <v>0</v>
      </c>
      <c r="N23" s="45"/>
      <c r="O23" s="45"/>
      <c r="P23" s="45"/>
      <c r="Q23" s="45">
        <f t="shared" si="6"/>
        <v>0</v>
      </c>
    </row>
    <row r="24" spans="1:17" s="28" customFormat="1" ht="36" x14ac:dyDescent="0.2">
      <c r="A24" s="27" t="s">
        <v>100</v>
      </c>
      <c r="B24" s="38" t="s">
        <v>101</v>
      </c>
      <c r="C24" s="38" t="s">
        <v>102</v>
      </c>
      <c r="D24" s="38" t="s">
        <v>96</v>
      </c>
      <c r="E24" s="38" t="s">
        <v>94</v>
      </c>
      <c r="F24" s="38" t="s">
        <v>89</v>
      </c>
      <c r="G24" s="38" t="s">
        <v>147</v>
      </c>
      <c r="H24" s="25">
        <v>10</v>
      </c>
      <c r="I24" s="25" t="s">
        <v>88</v>
      </c>
      <c r="J24" s="42" t="s">
        <v>117</v>
      </c>
      <c r="K24" s="63"/>
      <c r="L24" s="63">
        <f t="shared" si="7"/>
        <v>0</v>
      </c>
      <c r="M24" s="63">
        <f t="shared" si="5"/>
        <v>0</v>
      </c>
      <c r="N24" s="45"/>
      <c r="O24" s="45"/>
      <c r="P24" s="45"/>
      <c r="Q24" s="45">
        <f t="shared" si="6"/>
        <v>0</v>
      </c>
    </row>
    <row r="25" spans="1:17" s="28" customFormat="1" ht="36" x14ac:dyDescent="0.2">
      <c r="A25" s="27" t="s">
        <v>100</v>
      </c>
      <c r="B25" s="38" t="s">
        <v>101</v>
      </c>
      <c r="C25" s="38" t="s">
        <v>102</v>
      </c>
      <c r="D25" s="38" t="s">
        <v>96</v>
      </c>
      <c r="E25" s="38" t="s">
        <v>94</v>
      </c>
      <c r="F25" s="38" t="s">
        <v>144</v>
      </c>
      <c r="G25" s="38" t="s">
        <v>147</v>
      </c>
      <c r="H25" s="25">
        <v>10</v>
      </c>
      <c r="I25" s="25" t="s">
        <v>88</v>
      </c>
      <c r="J25" s="42" t="s">
        <v>118</v>
      </c>
      <c r="K25" s="63">
        <v>351380</v>
      </c>
      <c r="L25" s="63">
        <f t="shared" si="7"/>
        <v>450000</v>
      </c>
      <c r="M25" s="63">
        <f t="shared" si="5"/>
        <v>98620</v>
      </c>
      <c r="N25" s="45">
        <v>1500000</v>
      </c>
      <c r="O25" s="45">
        <v>450000</v>
      </c>
      <c r="P25" s="45"/>
      <c r="Q25" s="45">
        <f t="shared" si="6"/>
        <v>450000</v>
      </c>
    </row>
    <row r="26" spans="1:17" s="34" customFormat="1" ht="48" customHeight="1" x14ac:dyDescent="0.2">
      <c r="A26" s="31"/>
      <c r="B26" s="32"/>
      <c r="C26" s="32"/>
      <c r="D26" s="32"/>
      <c r="E26" s="32"/>
      <c r="F26" s="32"/>
      <c r="G26" s="32"/>
      <c r="H26" s="33"/>
      <c r="I26" s="33"/>
      <c r="J26" s="35" t="s">
        <v>134</v>
      </c>
      <c r="K26" s="39">
        <f t="shared" ref="K26:Q26" si="8">SUM(K19:K25)</f>
        <v>6567122</v>
      </c>
      <c r="L26" s="39">
        <f t="shared" si="8"/>
        <v>7550000</v>
      </c>
      <c r="M26" s="39">
        <f t="shared" si="8"/>
        <v>982878</v>
      </c>
      <c r="N26" s="49">
        <f>SUM(N19:N25)</f>
        <v>1500000</v>
      </c>
      <c r="O26" s="49">
        <f t="shared" si="8"/>
        <v>7550000</v>
      </c>
      <c r="P26" s="49">
        <f t="shared" si="8"/>
        <v>0</v>
      </c>
      <c r="Q26" s="49">
        <f t="shared" si="8"/>
        <v>7550000</v>
      </c>
    </row>
    <row r="27" spans="1:17" s="28" customFormat="1" ht="26.25" customHeight="1" x14ac:dyDescent="0.2">
      <c r="A27" s="27"/>
      <c r="B27" s="739" t="s">
        <v>124</v>
      </c>
      <c r="C27" s="739"/>
      <c r="D27" s="739"/>
      <c r="E27" s="739"/>
      <c r="F27" s="739"/>
      <c r="G27" s="739"/>
      <c r="H27" s="739"/>
      <c r="I27" s="739"/>
      <c r="J27" s="739"/>
      <c r="K27" s="64"/>
      <c r="L27" s="64"/>
      <c r="M27" s="64"/>
      <c r="N27" s="50"/>
      <c r="O27" s="50"/>
      <c r="P27" s="50"/>
      <c r="Q27" s="50"/>
    </row>
    <row r="28" spans="1:17" s="28" customFormat="1" ht="36" x14ac:dyDescent="0.2">
      <c r="A28" s="27" t="s">
        <v>100</v>
      </c>
      <c r="B28" s="38" t="s">
        <v>101</v>
      </c>
      <c r="C28" s="38" t="s">
        <v>102</v>
      </c>
      <c r="D28" s="38" t="s">
        <v>96</v>
      </c>
      <c r="E28" s="38" t="s">
        <v>99</v>
      </c>
      <c r="F28" s="38" t="s">
        <v>101</v>
      </c>
      <c r="G28" s="38" t="s">
        <v>147</v>
      </c>
      <c r="H28" s="25">
        <v>10</v>
      </c>
      <c r="I28" s="25" t="s">
        <v>88</v>
      </c>
      <c r="J28" s="36" t="s">
        <v>119</v>
      </c>
      <c r="K28" s="63">
        <v>815565</v>
      </c>
      <c r="L28" s="63">
        <f>SUM(O28)</f>
        <v>1000000</v>
      </c>
      <c r="M28" s="63">
        <f>SUM(L28-K28)</f>
        <v>184435</v>
      </c>
      <c r="N28" s="45"/>
      <c r="O28" s="45">
        <v>1000000</v>
      </c>
      <c r="P28" s="48"/>
      <c r="Q28" s="45">
        <f>SUM(O28-P28)</f>
        <v>1000000</v>
      </c>
    </row>
    <row r="29" spans="1:17" s="28" customFormat="1" ht="54" customHeight="1" x14ac:dyDescent="0.2">
      <c r="A29" s="27" t="s">
        <v>100</v>
      </c>
      <c r="B29" s="38" t="s">
        <v>101</v>
      </c>
      <c r="C29" s="38" t="s">
        <v>102</v>
      </c>
      <c r="D29" s="38" t="s">
        <v>96</v>
      </c>
      <c r="E29" s="38" t="s">
        <v>99</v>
      </c>
      <c r="F29" s="38" t="s">
        <v>94</v>
      </c>
      <c r="G29" s="38" t="s">
        <v>147</v>
      </c>
      <c r="H29" s="25">
        <v>10</v>
      </c>
      <c r="I29" s="25" t="s">
        <v>88</v>
      </c>
      <c r="J29" s="42" t="s">
        <v>120</v>
      </c>
      <c r="K29" s="63"/>
      <c r="L29" s="63">
        <f>SUM(O29)</f>
        <v>0</v>
      </c>
      <c r="M29" s="63">
        <f>SUM(L29-K29)</f>
        <v>0</v>
      </c>
      <c r="N29" s="45"/>
      <c r="O29" s="45"/>
      <c r="P29" s="45"/>
      <c r="Q29" s="45">
        <f>SUM(O29-P29)</f>
        <v>0</v>
      </c>
    </row>
    <row r="30" spans="1:17" s="28" customFormat="1" ht="36" x14ac:dyDescent="0.2">
      <c r="A30" s="27" t="s">
        <v>100</v>
      </c>
      <c r="B30" s="38" t="s">
        <v>101</v>
      </c>
      <c r="C30" s="38" t="s">
        <v>102</v>
      </c>
      <c r="D30" s="38" t="s">
        <v>96</v>
      </c>
      <c r="E30" s="38" t="s">
        <v>99</v>
      </c>
      <c r="F30" s="38" t="s">
        <v>145</v>
      </c>
      <c r="G30" s="38" t="s">
        <v>147</v>
      </c>
      <c r="H30" s="25">
        <v>10</v>
      </c>
      <c r="I30" s="25" t="s">
        <v>88</v>
      </c>
      <c r="J30" s="42" t="s">
        <v>121</v>
      </c>
      <c r="K30" s="63">
        <v>3274900</v>
      </c>
      <c r="L30" s="63">
        <f>SUM(O30)</f>
        <v>3000000</v>
      </c>
      <c r="M30" s="70">
        <f>SUM(L30-K30)</f>
        <v>-274900</v>
      </c>
      <c r="N30" s="45"/>
      <c r="O30" s="45">
        <v>3000000</v>
      </c>
      <c r="P30" s="48"/>
      <c r="Q30" s="45">
        <f>SUM(O30-P30)</f>
        <v>3000000</v>
      </c>
    </row>
    <row r="31" spans="1:17" s="28" customFormat="1" ht="100.5" customHeight="1" x14ac:dyDescent="0.2">
      <c r="A31" s="27" t="s">
        <v>100</v>
      </c>
      <c r="B31" s="38" t="s">
        <v>101</v>
      </c>
      <c r="C31" s="38" t="s">
        <v>102</v>
      </c>
      <c r="D31" s="38" t="s">
        <v>96</v>
      </c>
      <c r="E31" s="38" t="s">
        <v>99</v>
      </c>
      <c r="F31" s="38" t="s">
        <v>139</v>
      </c>
      <c r="G31" s="38" t="s">
        <v>147</v>
      </c>
      <c r="H31" s="25">
        <v>10</v>
      </c>
      <c r="I31" s="25" t="s">
        <v>88</v>
      </c>
      <c r="J31" s="42" t="s">
        <v>162</v>
      </c>
      <c r="K31" s="63"/>
      <c r="L31" s="63">
        <f>SUM(O31)</f>
        <v>0</v>
      </c>
      <c r="M31" s="63">
        <f>SUM(L31-K31)</f>
        <v>0</v>
      </c>
      <c r="N31" s="45">
        <v>1500000</v>
      </c>
      <c r="O31" s="45"/>
      <c r="P31" s="45"/>
      <c r="Q31" s="45">
        <f>SUM(O31-P31)</f>
        <v>0</v>
      </c>
    </row>
    <row r="32" spans="1:17" s="34" customFormat="1" ht="49.5" customHeight="1" x14ac:dyDescent="0.2">
      <c r="A32" s="31"/>
      <c r="B32" s="32"/>
      <c r="C32" s="32"/>
      <c r="D32" s="32"/>
      <c r="E32" s="32"/>
      <c r="F32" s="32"/>
      <c r="G32" s="32"/>
      <c r="H32" s="33"/>
      <c r="I32" s="33"/>
      <c r="J32" s="35" t="s">
        <v>136</v>
      </c>
      <c r="K32" s="39">
        <f t="shared" ref="K32:Q32" si="9">SUM(K28:K31)</f>
        <v>4090465</v>
      </c>
      <c r="L32" s="39">
        <f t="shared" si="9"/>
        <v>4000000</v>
      </c>
      <c r="M32" s="39">
        <f t="shared" si="9"/>
        <v>-90465</v>
      </c>
      <c r="N32" s="49">
        <f t="shared" si="9"/>
        <v>1500000</v>
      </c>
      <c r="O32" s="49">
        <f t="shared" si="9"/>
        <v>4000000</v>
      </c>
      <c r="P32" s="49">
        <f t="shared" si="9"/>
        <v>0</v>
      </c>
      <c r="Q32" s="49">
        <f t="shared" si="9"/>
        <v>4000000</v>
      </c>
    </row>
    <row r="33" spans="1:17" s="28" customFormat="1" ht="33" customHeight="1" x14ac:dyDescent="0.2">
      <c r="A33" s="27"/>
      <c r="B33" s="739" t="s">
        <v>122</v>
      </c>
      <c r="C33" s="739"/>
      <c r="D33" s="739"/>
      <c r="E33" s="739"/>
      <c r="F33" s="739"/>
      <c r="G33" s="739"/>
      <c r="H33" s="739"/>
      <c r="I33" s="739"/>
      <c r="J33" s="739" t="s">
        <v>122</v>
      </c>
      <c r="K33" s="64"/>
      <c r="L33" s="64"/>
      <c r="M33" s="64"/>
      <c r="N33" s="50"/>
      <c r="O33" s="50"/>
      <c r="P33" s="50"/>
      <c r="Q33" s="50"/>
    </row>
    <row r="34" spans="1:17" s="28" customFormat="1" ht="36" x14ac:dyDescent="0.2">
      <c r="A34" s="27" t="s">
        <v>100</v>
      </c>
      <c r="B34" s="38">
        <v>2</v>
      </c>
      <c r="C34" s="38">
        <v>0</v>
      </c>
      <c r="D34" s="38">
        <v>4</v>
      </c>
      <c r="E34" s="38">
        <v>7</v>
      </c>
      <c r="F34" s="38">
        <v>1</v>
      </c>
      <c r="G34" s="38" t="s">
        <v>147</v>
      </c>
      <c r="H34" s="25">
        <v>9</v>
      </c>
      <c r="I34" s="25" t="s">
        <v>88</v>
      </c>
      <c r="J34" s="36" t="s">
        <v>150</v>
      </c>
      <c r="K34" s="63"/>
      <c r="L34" s="63">
        <f>SUM(O34)</f>
        <v>0</v>
      </c>
      <c r="M34" s="63">
        <f>SUM(L34-K34)</f>
        <v>0</v>
      </c>
      <c r="N34" s="45"/>
      <c r="O34" s="45">
        <v>0</v>
      </c>
      <c r="P34" s="45">
        <v>0</v>
      </c>
      <c r="Q34" s="45">
        <f>SUM(O34-P34)</f>
        <v>0</v>
      </c>
    </row>
    <row r="35" spans="1:17" s="28" customFormat="1" ht="65.25" customHeight="1" x14ac:dyDescent="0.2">
      <c r="A35" s="27" t="s">
        <v>100</v>
      </c>
      <c r="B35" s="38" t="s">
        <v>101</v>
      </c>
      <c r="C35" s="38" t="s">
        <v>102</v>
      </c>
      <c r="D35" s="38" t="s">
        <v>96</v>
      </c>
      <c r="E35" s="38" t="s">
        <v>145</v>
      </c>
      <c r="F35" s="38" t="s">
        <v>98</v>
      </c>
      <c r="G35" s="38" t="s">
        <v>90</v>
      </c>
      <c r="H35" s="25" t="s">
        <v>89</v>
      </c>
      <c r="I35" s="25" t="s">
        <v>88</v>
      </c>
      <c r="J35" s="36" t="s">
        <v>149</v>
      </c>
      <c r="K35" s="63"/>
      <c r="L35" s="63">
        <f>SUM(O35)</f>
        <v>0</v>
      </c>
      <c r="M35" s="63">
        <f>SUM(L35-K35)</f>
        <v>0</v>
      </c>
      <c r="N35" s="45"/>
      <c r="O35" s="45"/>
      <c r="P35" s="45">
        <v>0</v>
      </c>
      <c r="Q35" s="45">
        <f>SUM(O35-P35)</f>
        <v>0</v>
      </c>
    </row>
    <row r="36" spans="1:17" s="28" customFormat="1" ht="52.5" customHeight="1" x14ac:dyDescent="0.2">
      <c r="A36" s="27" t="s">
        <v>100</v>
      </c>
      <c r="B36" s="38" t="s">
        <v>101</v>
      </c>
      <c r="C36" s="38" t="s">
        <v>102</v>
      </c>
      <c r="D36" s="38" t="s">
        <v>96</v>
      </c>
      <c r="E36" s="38" t="s">
        <v>145</v>
      </c>
      <c r="F36" s="38" t="s">
        <v>94</v>
      </c>
      <c r="G36" s="38" t="s">
        <v>147</v>
      </c>
      <c r="H36" s="25">
        <v>10</v>
      </c>
      <c r="I36" s="25" t="s">
        <v>88</v>
      </c>
      <c r="J36" s="42" t="s">
        <v>123</v>
      </c>
      <c r="K36" s="63"/>
      <c r="L36" s="63">
        <f>SUM(O36)</f>
        <v>0</v>
      </c>
      <c r="M36" s="63">
        <f>SUM(L36-K36)</f>
        <v>0</v>
      </c>
      <c r="N36" s="45"/>
      <c r="O36" s="45"/>
      <c r="P36" s="45"/>
      <c r="Q36" s="45">
        <f>SUM(O36-P36)</f>
        <v>0</v>
      </c>
    </row>
    <row r="37" spans="1:17" s="28" customFormat="1" ht="73.5" customHeight="1" x14ac:dyDescent="0.2">
      <c r="A37" s="27" t="s">
        <v>100</v>
      </c>
      <c r="B37" s="38" t="s">
        <v>101</v>
      </c>
      <c r="C37" s="38" t="s">
        <v>102</v>
      </c>
      <c r="D37" s="38" t="s">
        <v>96</v>
      </c>
      <c r="E37" s="38" t="s">
        <v>145</v>
      </c>
      <c r="F37" s="38" t="s">
        <v>99</v>
      </c>
      <c r="G37" s="38" t="s">
        <v>147</v>
      </c>
      <c r="H37" s="25">
        <v>10</v>
      </c>
      <c r="I37" s="25" t="s">
        <v>88</v>
      </c>
      <c r="J37" s="42" t="s">
        <v>212</v>
      </c>
      <c r="K37" s="63">
        <v>2893964</v>
      </c>
      <c r="L37" s="63">
        <f>SUM(O37)</f>
        <v>3000000</v>
      </c>
      <c r="M37" s="63">
        <f>SUM(L37-K37)</f>
        <v>106036</v>
      </c>
      <c r="N37" s="49">
        <v>500000</v>
      </c>
      <c r="O37" s="45">
        <v>3000000</v>
      </c>
      <c r="P37" s="48"/>
      <c r="Q37" s="45">
        <f>SUM(O37-P37)</f>
        <v>3000000</v>
      </c>
    </row>
    <row r="38" spans="1:17" s="34" customFormat="1" ht="36" x14ac:dyDescent="0.2">
      <c r="A38" s="31"/>
      <c r="B38" s="32"/>
      <c r="C38" s="32"/>
      <c r="D38" s="32"/>
      <c r="E38" s="32"/>
      <c r="F38" s="32"/>
      <c r="G38" s="32" t="s">
        <v>147</v>
      </c>
      <c r="H38" s="33"/>
      <c r="I38" s="33"/>
      <c r="J38" s="35" t="s">
        <v>152</v>
      </c>
      <c r="K38" s="39">
        <f t="shared" ref="K38:Q38" si="10">SUM(K34:K37)</f>
        <v>2893964</v>
      </c>
      <c r="L38" s="39">
        <f t="shared" si="10"/>
        <v>3000000</v>
      </c>
      <c r="M38" s="39">
        <f t="shared" si="10"/>
        <v>106036</v>
      </c>
      <c r="N38" s="49">
        <f t="shared" si="10"/>
        <v>500000</v>
      </c>
      <c r="O38" s="49">
        <f t="shared" si="10"/>
        <v>3000000</v>
      </c>
      <c r="P38" s="49">
        <f t="shared" si="10"/>
        <v>0</v>
      </c>
      <c r="Q38" s="49">
        <f t="shared" si="10"/>
        <v>3000000</v>
      </c>
    </row>
    <row r="39" spans="1:17" s="28" customFormat="1" ht="39.75" customHeight="1" x14ac:dyDescent="0.2">
      <c r="A39" s="27"/>
      <c r="B39" s="740" t="s">
        <v>125</v>
      </c>
      <c r="C39" s="741"/>
      <c r="D39" s="741"/>
      <c r="E39" s="741"/>
      <c r="F39" s="741"/>
      <c r="G39" s="741"/>
      <c r="H39" s="741"/>
      <c r="I39" s="741"/>
      <c r="J39" s="741"/>
      <c r="K39" s="64"/>
      <c r="L39" s="64"/>
      <c r="M39" s="64"/>
      <c r="N39" s="50"/>
      <c r="O39" s="50"/>
      <c r="P39" s="50"/>
      <c r="Q39" s="50"/>
    </row>
    <row r="40" spans="1:17" s="28" customFormat="1" ht="36" x14ac:dyDescent="0.2">
      <c r="A40" s="27" t="s">
        <v>100</v>
      </c>
      <c r="B40" s="38" t="s">
        <v>101</v>
      </c>
      <c r="C40" s="38" t="s">
        <v>102</v>
      </c>
      <c r="D40" s="38" t="s">
        <v>96</v>
      </c>
      <c r="E40" s="38" t="s">
        <v>93</v>
      </c>
      <c r="F40" s="38" t="s">
        <v>101</v>
      </c>
      <c r="G40" s="38" t="s">
        <v>147</v>
      </c>
      <c r="H40" s="25">
        <v>10</v>
      </c>
      <c r="I40" s="25" t="s">
        <v>88</v>
      </c>
      <c r="J40" s="36" t="s">
        <v>115</v>
      </c>
      <c r="K40" s="63">
        <v>9261670.0500000007</v>
      </c>
      <c r="L40" s="63">
        <f>SUM(O40)</f>
        <v>16000000</v>
      </c>
      <c r="M40" s="63">
        <f>SUM(L40-K40)</f>
        <v>6738329.9499999993</v>
      </c>
      <c r="N40" s="45">
        <v>4000000</v>
      </c>
      <c r="O40" s="47">
        <v>16000000</v>
      </c>
      <c r="P40" s="48"/>
      <c r="Q40" s="45">
        <f>SUM(O40-P40)</f>
        <v>16000000</v>
      </c>
    </row>
    <row r="41" spans="1:17" s="34" customFormat="1" ht="28.5" x14ac:dyDescent="0.2">
      <c r="A41" s="31"/>
      <c r="B41" s="32"/>
      <c r="C41" s="32"/>
      <c r="D41" s="32"/>
      <c r="E41" s="32"/>
      <c r="F41" s="32"/>
      <c r="G41" s="32"/>
      <c r="H41" s="33"/>
      <c r="I41" s="33"/>
      <c r="J41" s="35" t="s">
        <v>137</v>
      </c>
      <c r="K41" s="39">
        <f t="shared" ref="K41:Q41" si="11">SUM(K40:K40)</f>
        <v>9261670.0500000007</v>
      </c>
      <c r="L41" s="39">
        <f t="shared" si="11"/>
        <v>16000000</v>
      </c>
      <c r="M41" s="39">
        <f t="shared" si="11"/>
        <v>6738329.9499999993</v>
      </c>
      <c r="N41" s="49">
        <f t="shared" si="11"/>
        <v>4000000</v>
      </c>
      <c r="O41" s="49">
        <f t="shared" si="11"/>
        <v>16000000</v>
      </c>
      <c r="P41" s="49">
        <f t="shared" si="11"/>
        <v>0</v>
      </c>
      <c r="Q41" s="49">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W131"/>
  <sheetViews>
    <sheetView showGridLines="0" topLeftCell="A2" zoomScale="52" zoomScaleNormal="52" zoomScaleSheetLayoutView="53" zoomScalePageLayoutView="50" workbookViewId="0">
      <pane xSplit="13" ySplit="4" topLeftCell="AH31" activePane="bottomRight" state="frozen"/>
      <selection activeCell="A2" sqref="A2"/>
      <selection pane="topRight" activeCell="N2" sqref="N2"/>
      <selection pane="bottomLeft" activeCell="A6" sqref="A6"/>
      <selection pane="bottomRight" activeCell="AQ33" sqref="AQ33"/>
    </sheetView>
  </sheetViews>
  <sheetFormatPr baseColWidth="10" defaultColWidth="11.42578125" defaultRowHeight="23.25" x14ac:dyDescent="0.35"/>
  <cols>
    <col min="1" max="1" width="3.85546875" style="10" customWidth="1"/>
    <col min="2" max="2" width="8.5703125" style="10" customWidth="1"/>
    <col min="3" max="3" width="8.140625" style="10" customWidth="1"/>
    <col min="4" max="7" width="3.85546875" style="10" customWidth="1"/>
    <col min="8" max="8" width="12.42578125" style="10" customWidth="1"/>
    <col min="9" max="9" width="3.85546875" style="10" customWidth="1"/>
    <col min="10" max="10" width="50.28515625" style="10" customWidth="1"/>
    <col min="11" max="11" width="17.5703125" style="10" hidden="1" customWidth="1"/>
    <col min="12" max="12" width="18.5703125" style="10" hidden="1" customWidth="1"/>
    <col min="13" max="13" width="19.42578125" style="10" hidden="1" customWidth="1"/>
    <col min="14" max="14" width="35.42578125" style="10" customWidth="1"/>
    <col min="15" max="15" width="29.28515625" style="10" customWidth="1"/>
    <col min="16" max="16" width="28.85546875" style="10" customWidth="1"/>
    <col min="17" max="17" width="37" style="10" customWidth="1"/>
    <col min="18" max="18" width="23.5703125" style="10" customWidth="1"/>
    <col min="19" max="19" width="24.42578125" style="10" customWidth="1"/>
    <col min="20" max="20" width="23" style="10" customWidth="1"/>
    <col min="21" max="21" width="26.85546875" style="10" customWidth="1"/>
    <col min="22" max="22" width="35.7109375" style="10" customWidth="1"/>
    <col min="23" max="23" width="34.140625" style="10" customWidth="1"/>
    <col min="24" max="24" width="29" style="550" customWidth="1"/>
    <col min="25" max="25" width="34.7109375" style="10" customWidth="1"/>
    <col min="26" max="26" width="36.28515625" style="10" customWidth="1"/>
    <col min="27" max="27" width="43.28515625" style="10" customWidth="1"/>
    <col min="28" max="28" width="35.42578125" style="10" customWidth="1"/>
    <col min="29" max="29" width="25.5703125" style="10" hidden="1" customWidth="1"/>
    <col min="30" max="30" width="35.28515625" style="10" customWidth="1"/>
    <col min="31" max="31" width="32.85546875" style="10" customWidth="1"/>
    <col min="32" max="32" width="42.140625" style="10" customWidth="1"/>
    <col min="33" max="33" width="38.140625" style="107" customWidth="1"/>
    <col min="34" max="34" width="22.5703125" style="108" customWidth="1"/>
    <col min="35" max="35" width="24.42578125" style="10" hidden="1" customWidth="1"/>
    <col min="36" max="36" width="97.42578125" style="109" hidden="1" customWidth="1"/>
    <col min="37" max="37" width="8" style="10" hidden="1" customWidth="1"/>
    <col min="38" max="38" width="24.85546875" style="108" customWidth="1"/>
    <col min="39" max="39" width="3" style="110" customWidth="1"/>
    <col min="40" max="40" width="28.7109375" style="10" customWidth="1"/>
    <col min="41" max="41" width="44.28515625" style="10" customWidth="1"/>
    <col min="42" max="42" width="44.5703125" style="111" customWidth="1"/>
    <col min="43" max="43" width="41.85546875" style="111" customWidth="1"/>
    <col min="44" max="44" width="30.42578125" style="112" customWidth="1"/>
    <col min="45" max="45" width="13.85546875" style="10" customWidth="1"/>
    <col min="46" max="46" width="39.42578125" style="10" customWidth="1"/>
    <col min="47" max="47" width="32.42578125" style="113" customWidth="1"/>
    <col min="48" max="48" width="36.85546875" style="10" customWidth="1"/>
    <col min="49" max="49" width="26.7109375" style="10" customWidth="1"/>
    <col min="50" max="256" width="11.42578125" style="10"/>
    <col min="257" max="257" width="3.85546875" style="10" customWidth="1"/>
    <col min="258" max="258" width="8.5703125" style="10" customWidth="1"/>
    <col min="259" max="259" width="8.140625" style="10" customWidth="1"/>
    <col min="260" max="263" width="3.85546875" style="10" customWidth="1"/>
    <col min="264" max="264" width="12.42578125" style="10" customWidth="1"/>
    <col min="265" max="265" width="3.85546875" style="10" customWidth="1"/>
    <col min="266" max="266" width="45.7109375" style="10" customWidth="1"/>
    <col min="267" max="269" width="0" style="10" hidden="1" customWidth="1"/>
    <col min="270" max="270" width="35.42578125" style="10" customWidth="1"/>
    <col min="271" max="271" width="25.85546875" style="10" customWidth="1"/>
    <col min="272" max="272" width="28.85546875" style="10" customWidth="1"/>
    <col min="273" max="273" width="30.42578125" style="10" customWidth="1"/>
    <col min="274" max="274" width="23.5703125" style="10" customWidth="1"/>
    <col min="275" max="275" width="24.42578125" style="10" customWidth="1"/>
    <col min="276" max="276" width="23" style="10" customWidth="1"/>
    <col min="277" max="277" width="26.85546875" style="10" customWidth="1"/>
    <col min="278" max="278" width="29" style="10" customWidth="1"/>
    <col min="279" max="279" width="34.140625" style="10" customWidth="1"/>
    <col min="280" max="280" width="29" style="10" customWidth="1"/>
    <col min="281" max="281" width="25" style="10" customWidth="1"/>
    <col min="282" max="282" width="36.28515625" style="10" customWidth="1"/>
    <col min="283" max="283" width="36.140625" style="10" customWidth="1"/>
    <col min="284" max="284" width="31.5703125" style="10" customWidth="1"/>
    <col min="285" max="285" width="0" style="10" hidden="1" customWidth="1"/>
    <col min="286" max="286" width="35.28515625" style="10" customWidth="1"/>
    <col min="287" max="287" width="31" style="10" customWidth="1"/>
    <col min="288" max="288" width="34.7109375" style="10" customWidth="1"/>
    <col min="289" max="289" width="31.42578125" style="10" customWidth="1"/>
    <col min="290" max="290" width="22.5703125" style="10" customWidth="1"/>
    <col min="291" max="294" width="0" style="10" hidden="1" customWidth="1"/>
    <col min="295" max="295" width="3" style="10" customWidth="1"/>
    <col min="296" max="296" width="26.85546875" style="10" customWidth="1"/>
    <col min="297" max="297" width="29.85546875" style="10" customWidth="1"/>
    <col min="298" max="298" width="32.7109375" style="10" customWidth="1"/>
    <col min="299" max="299" width="34.85546875" style="10" customWidth="1"/>
    <col min="300" max="300" width="30.42578125" style="10" customWidth="1"/>
    <col min="301" max="301" width="13.85546875" style="10" customWidth="1"/>
    <col min="302" max="302" width="39.42578125" style="10" customWidth="1"/>
    <col min="303" max="303" width="23.5703125" style="10" customWidth="1"/>
    <col min="304" max="512" width="11.42578125" style="10"/>
    <col min="513" max="513" width="3.85546875" style="10" customWidth="1"/>
    <col min="514" max="514" width="8.5703125" style="10" customWidth="1"/>
    <col min="515" max="515" width="8.140625" style="10" customWidth="1"/>
    <col min="516" max="519" width="3.85546875" style="10" customWidth="1"/>
    <col min="520" max="520" width="12.42578125" style="10" customWidth="1"/>
    <col min="521" max="521" width="3.85546875" style="10" customWidth="1"/>
    <col min="522" max="522" width="45.7109375" style="10" customWidth="1"/>
    <col min="523" max="525" width="0" style="10" hidden="1" customWidth="1"/>
    <col min="526" max="526" width="35.42578125" style="10" customWidth="1"/>
    <col min="527" max="527" width="25.85546875" style="10" customWidth="1"/>
    <col min="528" max="528" width="28.85546875" style="10" customWidth="1"/>
    <col min="529" max="529" width="30.42578125" style="10" customWidth="1"/>
    <col min="530" max="530" width="23.5703125" style="10" customWidth="1"/>
    <col min="531" max="531" width="24.42578125" style="10" customWidth="1"/>
    <col min="532" max="532" width="23" style="10" customWidth="1"/>
    <col min="533" max="533" width="26.85546875" style="10" customWidth="1"/>
    <col min="534" max="534" width="29" style="10" customWidth="1"/>
    <col min="535" max="535" width="34.140625" style="10" customWidth="1"/>
    <col min="536" max="536" width="29" style="10" customWidth="1"/>
    <col min="537" max="537" width="25" style="10" customWidth="1"/>
    <col min="538" max="538" width="36.28515625" style="10" customWidth="1"/>
    <col min="539" max="539" width="36.140625" style="10" customWidth="1"/>
    <col min="540" max="540" width="31.5703125" style="10" customWidth="1"/>
    <col min="541" max="541" width="0" style="10" hidden="1" customWidth="1"/>
    <col min="542" max="542" width="35.28515625" style="10" customWidth="1"/>
    <col min="543" max="543" width="31" style="10" customWidth="1"/>
    <col min="544" max="544" width="34.7109375" style="10" customWidth="1"/>
    <col min="545" max="545" width="31.42578125" style="10" customWidth="1"/>
    <col min="546" max="546" width="22.5703125" style="10" customWidth="1"/>
    <col min="547" max="550" width="0" style="10" hidden="1" customWidth="1"/>
    <col min="551" max="551" width="3" style="10" customWidth="1"/>
    <col min="552" max="552" width="26.85546875" style="10" customWidth="1"/>
    <col min="553" max="553" width="29.85546875" style="10" customWidth="1"/>
    <col min="554" max="554" width="32.7109375" style="10" customWidth="1"/>
    <col min="555" max="555" width="34.85546875" style="10" customWidth="1"/>
    <col min="556" max="556" width="30.42578125" style="10" customWidth="1"/>
    <col min="557" max="557" width="13.85546875" style="10" customWidth="1"/>
    <col min="558" max="558" width="39.42578125" style="10" customWidth="1"/>
    <col min="559" max="559" width="23.5703125" style="10" customWidth="1"/>
    <col min="560" max="768" width="11.42578125" style="10"/>
    <col min="769" max="769" width="3.85546875" style="10" customWidth="1"/>
    <col min="770" max="770" width="8.5703125" style="10" customWidth="1"/>
    <col min="771" max="771" width="8.140625" style="10" customWidth="1"/>
    <col min="772" max="775" width="3.85546875" style="10" customWidth="1"/>
    <col min="776" max="776" width="12.42578125" style="10" customWidth="1"/>
    <col min="777" max="777" width="3.85546875" style="10" customWidth="1"/>
    <col min="778" max="778" width="45.7109375" style="10" customWidth="1"/>
    <col min="779" max="781" width="0" style="10" hidden="1" customWidth="1"/>
    <col min="782" max="782" width="35.42578125" style="10" customWidth="1"/>
    <col min="783" max="783" width="25.85546875" style="10" customWidth="1"/>
    <col min="784" max="784" width="28.85546875" style="10" customWidth="1"/>
    <col min="785" max="785" width="30.42578125" style="10" customWidth="1"/>
    <col min="786" max="786" width="23.5703125" style="10" customWidth="1"/>
    <col min="787" max="787" width="24.42578125" style="10" customWidth="1"/>
    <col min="788" max="788" width="23" style="10" customWidth="1"/>
    <col min="789" max="789" width="26.85546875" style="10" customWidth="1"/>
    <col min="790" max="790" width="29" style="10" customWidth="1"/>
    <col min="791" max="791" width="34.140625" style="10" customWidth="1"/>
    <col min="792" max="792" width="29" style="10" customWidth="1"/>
    <col min="793" max="793" width="25" style="10" customWidth="1"/>
    <col min="794" max="794" width="36.28515625" style="10" customWidth="1"/>
    <col min="795" max="795" width="36.140625" style="10" customWidth="1"/>
    <col min="796" max="796" width="31.5703125" style="10" customWidth="1"/>
    <col min="797" max="797" width="0" style="10" hidden="1" customWidth="1"/>
    <col min="798" max="798" width="35.28515625" style="10" customWidth="1"/>
    <col min="799" max="799" width="31" style="10" customWidth="1"/>
    <col min="800" max="800" width="34.7109375" style="10" customWidth="1"/>
    <col min="801" max="801" width="31.42578125" style="10" customWidth="1"/>
    <col min="802" max="802" width="22.5703125" style="10" customWidth="1"/>
    <col min="803" max="806" width="0" style="10" hidden="1" customWidth="1"/>
    <col min="807" max="807" width="3" style="10" customWidth="1"/>
    <col min="808" max="808" width="26.85546875" style="10" customWidth="1"/>
    <col min="809" max="809" width="29.85546875" style="10" customWidth="1"/>
    <col min="810" max="810" width="32.7109375" style="10" customWidth="1"/>
    <col min="811" max="811" width="34.85546875" style="10" customWidth="1"/>
    <col min="812" max="812" width="30.42578125" style="10" customWidth="1"/>
    <col min="813" max="813" width="13.85546875" style="10" customWidth="1"/>
    <col min="814" max="814" width="39.42578125" style="10" customWidth="1"/>
    <col min="815" max="815" width="23.5703125" style="10" customWidth="1"/>
    <col min="816" max="1024" width="11.42578125" style="10"/>
    <col min="1025" max="1025" width="3.85546875" style="10" customWidth="1"/>
    <col min="1026" max="1026" width="8.5703125" style="10" customWidth="1"/>
    <col min="1027" max="1027" width="8.140625" style="10" customWidth="1"/>
    <col min="1028" max="1031" width="3.85546875" style="10" customWidth="1"/>
    <col min="1032" max="1032" width="12.42578125" style="10" customWidth="1"/>
    <col min="1033" max="1033" width="3.85546875" style="10" customWidth="1"/>
    <col min="1034" max="1034" width="45.7109375" style="10" customWidth="1"/>
    <col min="1035" max="1037" width="0" style="10" hidden="1" customWidth="1"/>
    <col min="1038" max="1038" width="35.42578125" style="10" customWidth="1"/>
    <col min="1039" max="1039" width="25.85546875" style="10" customWidth="1"/>
    <col min="1040" max="1040" width="28.85546875" style="10" customWidth="1"/>
    <col min="1041" max="1041" width="30.42578125" style="10" customWidth="1"/>
    <col min="1042" max="1042" width="23.5703125" style="10" customWidth="1"/>
    <col min="1043" max="1043" width="24.42578125" style="10" customWidth="1"/>
    <col min="1044" max="1044" width="23" style="10" customWidth="1"/>
    <col min="1045" max="1045" width="26.85546875" style="10" customWidth="1"/>
    <col min="1046" max="1046" width="29" style="10" customWidth="1"/>
    <col min="1047" max="1047" width="34.140625" style="10" customWidth="1"/>
    <col min="1048" max="1048" width="29" style="10" customWidth="1"/>
    <col min="1049" max="1049" width="25" style="10" customWidth="1"/>
    <col min="1050" max="1050" width="36.28515625" style="10" customWidth="1"/>
    <col min="1051" max="1051" width="36.140625" style="10" customWidth="1"/>
    <col min="1052" max="1052" width="31.5703125" style="10" customWidth="1"/>
    <col min="1053" max="1053" width="0" style="10" hidden="1" customWidth="1"/>
    <col min="1054" max="1054" width="35.28515625" style="10" customWidth="1"/>
    <col min="1055" max="1055" width="31" style="10" customWidth="1"/>
    <col min="1056" max="1056" width="34.7109375" style="10" customWidth="1"/>
    <col min="1057" max="1057" width="31.42578125" style="10" customWidth="1"/>
    <col min="1058" max="1058" width="22.5703125" style="10" customWidth="1"/>
    <col min="1059" max="1062" width="0" style="10" hidden="1" customWidth="1"/>
    <col min="1063" max="1063" width="3" style="10" customWidth="1"/>
    <col min="1064" max="1064" width="26.85546875" style="10" customWidth="1"/>
    <col min="1065" max="1065" width="29.85546875" style="10" customWidth="1"/>
    <col min="1066" max="1066" width="32.7109375" style="10" customWidth="1"/>
    <col min="1067" max="1067" width="34.85546875" style="10" customWidth="1"/>
    <col min="1068" max="1068" width="30.42578125" style="10" customWidth="1"/>
    <col min="1069" max="1069" width="13.85546875" style="10" customWidth="1"/>
    <col min="1070" max="1070" width="39.42578125" style="10" customWidth="1"/>
    <col min="1071" max="1071" width="23.5703125" style="10" customWidth="1"/>
    <col min="1072" max="1280" width="11.42578125" style="10"/>
    <col min="1281" max="1281" width="3.85546875" style="10" customWidth="1"/>
    <col min="1282" max="1282" width="8.5703125" style="10" customWidth="1"/>
    <col min="1283" max="1283" width="8.140625" style="10" customWidth="1"/>
    <col min="1284" max="1287" width="3.85546875" style="10" customWidth="1"/>
    <col min="1288" max="1288" width="12.42578125" style="10" customWidth="1"/>
    <col min="1289" max="1289" width="3.85546875" style="10" customWidth="1"/>
    <col min="1290" max="1290" width="45.7109375" style="10" customWidth="1"/>
    <col min="1291" max="1293" width="0" style="10" hidden="1" customWidth="1"/>
    <col min="1294" max="1294" width="35.42578125" style="10" customWidth="1"/>
    <col min="1295" max="1295" width="25.85546875" style="10" customWidth="1"/>
    <col min="1296" max="1296" width="28.85546875" style="10" customWidth="1"/>
    <col min="1297" max="1297" width="30.42578125" style="10" customWidth="1"/>
    <col min="1298" max="1298" width="23.5703125" style="10" customWidth="1"/>
    <col min="1299" max="1299" width="24.42578125" style="10" customWidth="1"/>
    <col min="1300" max="1300" width="23" style="10" customWidth="1"/>
    <col min="1301" max="1301" width="26.85546875" style="10" customWidth="1"/>
    <col min="1302" max="1302" width="29" style="10" customWidth="1"/>
    <col min="1303" max="1303" width="34.140625" style="10" customWidth="1"/>
    <col min="1304" max="1304" width="29" style="10" customWidth="1"/>
    <col min="1305" max="1305" width="25" style="10" customWidth="1"/>
    <col min="1306" max="1306" width="36.28515625" style="10" customWidth="1"/>
    <col min="1307" max="1307" width="36.140625" style="10" customWidth="1"/>
    <col min="1308" max="1308" width="31.5703125" style="10" customWidth="1"/>
    <col min="1309" max="1309" width="0" style="10" hidden="1" customWidth="1"/>
    <col min="1310" max="1310" width="35.28515625" style="10" customWidth="1"/>
    <col min="1311" max="1311" width="31" style="10" customWidth="1"/>
    <col min="1312" max="1312" width="34.7109375" style="10" customWidth="1"/>
    <col min="1313" max="1313" width="31.42578125" style="10" customWidth="1"/>
    <col min="1314" max="1314" width="22.5703125" style="10" customWidth="1"/>
    <col min="1315" max="1318" width="0" style="10" hidden="1" customWidth="1"/>
    <col min="1319" max="1319" width="3" style="10" customWidth="1"/>
    <col min="1320" max="1320" width="26.85546875" style="10" customWidth="1"/>
    <col min="1321" max="1321" width="29.85546875" style="10" customWidth="1"/>
    <col min="1322" max="1322" width="32.7109375" style="10" customWidth="1"/>
    <col min="1323" max="1323" width="34.85546875" style="10" customWidth="1"/>
    <col min="1324" max="1324" width="30.42578125" style="10" customWidth="1"/>
    <col min="1325" max="1325" width="13.85546875" style="10" customWidth="1"/>
    <col min="1326" max="1326" width="39.42578125" style="10" customWidth="1"/>
    <col min="1327" max="1327" width="23.5703125" style="10" customWidth="1"/>
    <col min="1328" max="1536" width="11.42578125" style="10"/>
    <col min="1537" max="1537" width="3.85546875" style="10" customWidth="1"/>
    <col min="1538" max="1538" width="8.5703125" style="10" customWidth="1"/>
    <col min="1539" max="1539" width="8.140625" style="10" customWidth="1"/>
    <col min="1540" max="1543" width="3.85546875" style="10" customWidth="1"/>
    <col min="1544" max="1544" width="12.42578125" style="10" customWidth="1"/>
    <col min="1545" max="1545" width="3.85546875" style="10" customWidth="1"/>
    <col min="1546" max="1546" width="45.7109375" style="10" customWidth="1"/>
    <col min="1547" max="1549" width="0" style="10" hidden="1" customWidth="1"/>
    <col min="1550" max="1550" width="35.42578125" style="10" customWidth="1"/>
    <col min="1551" max="1551" width="25.85546875" style="10" customWidth="1"/>
    <col min="1552" max="1552" width="28.85546875" style="10" customWidth="1"/>
    <col min="1553" max="1553" width="30.42578125" style="10" customWidth="1"/>
    <col min="1554" max="1554" width="23.5703125" style="10" customWidth="1"/>
    <col min="1555" max="1555" width="24.42578125" style="10" customWidth="1"/>
    <col min="1556" max="1556" width="23" style="10" customWidth="1"/>
    <col min="1557" max="1557" width="26.85546875" style="10" customWidth="1"/>
    <col min="1558" max="1558" width="29" style="10" customWidth="1"/>
    <col min="1559" max="1559" width="34.140625" style="10" customWidth="1"/>
    <col min="1560" max="1560" width="29" style="10" customWidth="1"/>
    <col min="1561" max="1561" width="25" style="10" customWidth="1"/>
    <col min="1562" max="1562" width="36.28515625" style="10" customWidth="1"/>
    <col min="1563" max="1563" width="36.140625" style="10" customWidth="1"/>
    <col min="1564" max="1564" width="31.5703125" style="10" customWidth="1"/>
    <col min="1565" max="1565" width="0" style="10" hidden="1" customWidth="1"/>
    <col min="1566" max="1566" width="35.28515625" style="10" customWidth="1"/>
    <col min="1567" max="1567" width="31" style="10" customWidth="1"/>
    <col min="1568" max="1568" width="34.7109375" style="10" customWidth="1"/>
    <col min="1569" max="1569" width="31.42578125" style="10" customWidth="1"/>
    <col min="1570" max="1570" width="22.5703125" style="10" customWidth="1"/>
    <col min="1571" max="1574" width="0" style="10" hidden="1" customWidth="1"/>
    <col min="1575" max="1575" width="3" style="10" customWidth="1"/>
    <col min="1576" max="1576" width="26.85546875" style="10" customWidth="1"/>
    <col min="1577" max="1577" width="29.85546875" style="10" customWidth="1"/>
    <col min="1578" max="1578" width="32.7109375" style="10" customWidth="1"/>
    <col min="1579" max="1579" width="34.85546875" style="10" customWidth="1"/>
    <col min="1580" max="1580" width="30.42578125" style="10" customWidth="1"/>
    <col min="1581" max="1581" width="13.85546875" style="10" customWidth="1"/>
    <col min="1582" max="1582" width="39.42578125" style="10" customWidth="1"/>
    <col min="1583" max="1583" width="23.5703125" style="10" customWidth="1"/>
    <col min="1584" max="1792" width="11.42578125" style="10"/>
    <col min="1793" max="1793" width="3.85546875" style="10" customWidth="1"/>
    <col min="1794" max="1794" width="8.5703125" style="10" customWidth="1"/>
    <col min="1795" max="1795" width="8.140625" style="10" customWidth="1"/>
    <col min="1796" max="1799" width="3.85546875" style="10" customWidth="1"/>
    <col min="1800" max="1800" width="12.42578125" style="10" customWidth="1"/>
    <col min="1801" max="1801" width="3.85546875" style="10" customWidth="1"/>
    <col min="1802" max="1802" width="45.7109375" style="10" customWidth="1"/>
    <col min="1803" max="1805" width="0" style="10" hidden="1" customWidth="1"/>
    <col min="1806" max="1806" width="35.42578125" style="10" customWidth="1"/>
    <col min="1807" max="1807" width="25.85546875" style="10" customWidth="1"/>
    <col min="1808" max="1808" width="28.85546875" style="10" customWidth="1"/>
    <col min="1809" max="1809" width="30.42578125" style="10" customWidth="1"/>
    <col min="1810" max="1810" width="23.5703125" style="10" customWidth="1"/>
    <col min="1811" max="1811" width="24.42578125" style="10" customWidth="1"/>
    <col min="1812" max="1812" width="23" style="10" customWidth="1"/>
    <col min="1813" max="1813" width="26.85546875" style="10" customWidth="1"/>
    <col min="1814" max="1814" width="29" style="10" customWidth="1"/>
    <col min="1815" max="1815" width="34.140625" style="10" customWidth="1"/>
    <col min="1816" max="1816" width="29" style="10" customWidth="1"/>
    <col min="1817" max="1817" width="25" style="10" customWidth="1"/>
    <col min="1818" max="1818" width="36.28515625" style="10" customWidth="1"/>
    <col min="1819" max="1819" width="36.140625" style="10" customWidth="1"/>
    <col min="1820" max="1820" width="31.5703125" style="10" customWidth="1"/>
    <col min="1821" max="1821" width="0" style="10" hidden="1" customWidth="1"/>
    <col min="1822" max="1822" width="35.28515625" style="10" customWidth="1"/>
    <col min="1823" max="1823" width="31" style="10" customWidth="1"/>
    <col min="1824" max="1824" width="34.7109375" style="10" customWidth="1"/>
    <col min="1825" max="1825" width="31.42578125" style="10" customWidth="1"/>
    <col min="1826" max="1826" width="22.5703125" style="10" customWidth="1"/>
    <col min="1827" max="1830" width="0" style="10" hidden="1" customWidth="1"/>
    <col min="1831" max="1831" width="3" style="10" customWidth="1"/>
    <col min="1832" max="1832" width="26.85546875" style="10" customWidth="1"/>
    <col min="1833" max="1833" width="29.85546875" style="10" customWidth="1"/>
    <col min="1834" max="1834" width="32.7109375" style="10" customWidth="1"/>
    <col min="1835" max="1835" width="34.85546875" style="10" customWidth="1"/>
    <col min="1836" max="1836" width="30.42578125" style="10" customWidth="1"/>
    <col min="1837" max="1837" width="13.85546875" style="10" customWidth="1"/>
    <col min="1838" max="1838" width="39.42578125" style="10" customWidth="1"/>
    <col min="1839" max="1839" width="23.5703125" style="10" customWidth="1"/>
    <col min="1840" max="2048" width="11.42578125" style="10"/>
    <col min="2049" max="2049" width="3.85546875" style="10" customWidth="1"/>
    <col min="2050" max="2050" width="8.5703125" style="10" customWidth="1"/>
    <col min="2051" max="2051" width="8.140625" style="10" customWidth="1"/>
    <col min="2052" max="2055" width="3.85546875" style="10" customWidth="1"/>
    <col min="2056" max="2056" width="12.42578125" style="10" customWidth="1"/>
    <col min="2057" max="2057" width="3.85546875" style="10" customWidth="1"/>
    <col min="2058" max="2058" width="45.7109375" style="10" customWidth="1"/>
    <col min="2059" max="2061" width="0" style="10" hidden="1" customWidth="1"/>
    <col min="2062" max="2062" width="35.42578125" style="10" customWidth="1"/>
    <col min="2063" max="2063" width="25.85546875" style="10" customWidth="1"/>
    <col min="2064" max="2064" width="28.85546875" style="10" customWidth="1"/>
    <col min="2065" max="2065" width="30.42578125" style="10" customWidth="1"/>
    <col min="2066" max="2066" width="23.5703125" style="10" customWidth="1"/>
    <col min="2067" max="2067" width="24.42578125" style="10" customWidth="1"/>
    <col min="2068" max="2068" width="23" style="10" customWidth="1"/>
    <col min="2069" max="2069" width="26.85546875" style="10" customWidth="1"/>
    <col min="2070" max="2070" width="29" style="10" customWidth="1"/>
    <col min="2071" max="2071" width="34.140625" style="10" customWidth="1"/>
    <col min="2072" max="2072" width="29" style="10" customWidth="1"/>
    <col min="2073" max="2073" width="25" style="10" customWidth="1"/>
    <col min="2074" max="2074" width="36.28515625" style="10" customWidth="1"/>
    <col min="2075" max="2075" width="36.140625" style="10" customWidth="1"/>
    <col min="2076" max="2076" width="31.5703125" style="10" customWidth="1"/>
    <col min="2077" max="2077" width="0" style="10" hidden="1" customWidth="1"/>
    <col min="2078" max="2078" width="35.28515625" style="10" customWidth="1"/>
    <col min="2079" max="2079" width="31" style="10" customWidth="1"/>
    <col min="2080" max="2080" width="34.7109375" style="10" customWidth="1"/>
    <col min="2081" max="2081" width="31.42578125" style="10" customWidth="1"/>
    <col min="2082" max="2082" width="22.5703125" style="10" customWidth="1"/>
    <col min="2083" max="2086" width="0" style="10" hidden="1" customWidth="1"/>
    <col min="2087" max="2087" width="3" style="10" customWidth="1"/>
    <col min="2088" max="2088" width="26.85546875" style="10" customWidth="1"/>
    <col min="2089" max="2089" width="29.85546875" style="10" customWidth="1"/>
    <col min="2090" max="2090" width="32.7109375" style="10" customWidth="1"/>
    <col min="2091" max="2091" width="34.85546875" style="10" customWidth="1"/>
    <col min="2092" max="2092" width="30.42578125" style="10" customWidth="1"/>
    <col min="2093" max="2093" width="13.85546875" style="10" customWidth="1"/>
    <col min="2094" max="2094" width="39.42578125" style="10" customWidth="1"/>
    <col min="2095" max="2095" width="23.5703125" style="10" customWidth="1"/>
    <col min="2096" max="2304" width="11.42578125" style="10"/>
    <col min="2305" max="2305" width="3.85546875" style="10" customWidth="1"/>
    <col min="2306" max="2306" width="8.5703125" style="10" customWidth="1"/>
    <col min="2307" max="2307" width="8.140625" style="10" customWidth="1"/>
    <col min="2308" max="2311" width="3.85546875" style="10" customWidth="1"/>
    <col min="2312" max="2312" width="12.42578125" style="10" customWidth="1"/>
    <col min="2313" max="2313" width="3.85546875" style="10" customWidth="1"/>
    <col min="2314" max="2314" width="45.7109375" style="10" customWidth="1"/>
    <col min="2315" max="2317" width="0" style="10" hidden="1" customWidth="1"/>
    <col min="2318" max="2318" width="35.42578125" style="10" customWidth="1"/>
    <col min="2319" max="2319" width="25.85546875" style="10" customWidth="1"/>
    <col min="2320" max="2320" width="28.85546875" style="10" customWidth="1"/>
    <col min="2321" max="2321" width="30.42578125" style="10" customWidth="1"/>
    <col min="2322" max="2322" width="23.5703125" style="10" customWidth="1"/>
    <col min="2323" max="2323" width="24.42578125" style="10" customWidth="1"/>
    <col min="2324" max="2324" width="23" style="10" customWidth="1"/>
    <col min="2325" max="2325" width="26.85546875" style="10" customWidth="1"/>
    <col min="2326" max="2326" width="29" style="10" customWidth="1"/>
    <col min="2327" max="2327" width="34.140625" style="10" customWidth="1"/>
    <col min="2328" max="2328" width="29" style="10" customWidth="1"/>
    <col min="2329" max="2329" width="25" style="10" customWidth="1"/>
    <col min="2330" max="2330" width="36.28515625" style="10" customWidth="1"/>
    <col min="2331" max="2331" width="36.140625" style="10" customWidth="1"/>
    <col min="2332" max="2332" width="31.5703125" style="10" customWidth="1"/>
    <col min="2333" max="2333" width="0" style="10" hidden="1" customWidth="1"/>
    <col min="2334" max="2334" width="35.28515625" style="10" customWidth="1"/>
    <col min="2335" max="2335" width="31" style="10" customWidth="1"/>
    <col min="2336" max="2336" width="34.7109375" style="10" customWidth="1"/>
    <col min="2337" max="2337" width="31.42578125" style="10" customWidth="1"/>
    <col min="2338" max="2338" width="22.5703125" style="10" customWidth="1"/>
    <col min="2339" max="2342" width="0" style="10" hidden="1" customWidth="1"/>
    <col min="2343" max="2343" width="3" style="10" customWidth="1"/>
    <col min="2344" max="2344" width="26.85546875" style="10" customWidth="1"/>
    <col min="2345" max="2345" width="29.85546875" style="10" customWidth="1"/>
    <col min="2346" max="2346" width="32.7109375" style="10" customWidth="1"/>
    <col min="2347" max="2347" width="34.85546875" style="10" customWidth="1"/>
    <col min="2348" max="2348" width="30.42578125" style="10" customWidth="1"/>
    <col min="2349" max="2349" width="13.85546875" style="10" customWidth="1"/>
    <col min="2350" max="2350" width="39.42578125" style="10" customWidth="1"/>
    <col min="2351" max="2351" width="23.5703125" style="10" customWidth="1"/>
    <col min="2352" max="2560" width="11.42578125" style="10"/>
    <col min="2561" max="2561" width="3.85546875" style="10" customWidth="1"/>
    <col min="2562" max="2562" width="8.5703125" style="10" customWidth="1"/>
    <col min="2563" max="2563" width="8.140625" style="10" customWidth="1"/>
    <col min="2564" max="2567" width="3.85546875" style="10" customWidth="1"/>
    <col min="2568" max="2568" width="12.42578125" style="10" customWidth="1"/>
    <col min="2569" max="2569" width="3.85546875" style="10" customWidth="1"/>
    <col min="2570" max="2570" width="45.7109375" style="10" customWidth="1"/>
    <col min="2571" max="2573" width="0" style="10" hidden="1" customWidth="1"/>
    <col min="2574" max="2574" width="35.42578125" style="10" customWidth="1"/>
    <col min="2575" max="2575" width="25.85546875" style="10" customWidth="1"/>
    <col min="2576" max="2576" width="28.85546875" style="10" customWidth="1"/>
    <col min="2577" max="2577" width="30.42578125" style="10" customWidth="1"/>
    <col min="2578" max="2578" width="23.5703125" style="10" customWidth="1"/>
    <col min="2579" max="2579" width="24.42578125" style="10" customWidth="1"/>
    <col min="2580" max="2580" width="23" style="10" customWidth="1"/>
    <col min="2581" max="2581" width="26.85546875" style="10" customWidth="1"/>
    <col min="2582" max="2582" width="29" style="10" customWidth="1"/>
    <col min="2583" max="2583" width="34.140625" style="10" customWidth="1"/>
    <col min="2584" max="2584" width="29" style="10" customWidth="1"/>
    <col min="2585" max="2585" width="25" style="10" customWidth="1"/>
    <col min="2586" max="2586" width="36.28515625" style="10" customWidth="1"/>
    <col min="2587" max="2587" width="36.140625" style="10" customWidth="1"/>
    <col min="2588" max="2588" width="31.5703125" style="10" customWidth="1"/>
    <col min="2589" max="2589" width="0" style="10" hidden="1" customWidth="1"/>
    <col min="2590" max="2590" width="35.28515625" style="10" customWidth="1"/>
    <col min="2591" max="2591" width="31" style="10" customWidth="1"/>
    <col min="2592" max="2592" width="34.7109375" style="10" customWidth="1"/>
    <col min="2593" max="2593" width="31.42578125" style="10" customWidth="1"/>
    <col min="2594" max="2594" width="22.5703125" style="10" customWidth="1"/>
    <col min="2595" max="2598" width="0" style="10" hidden="1" customWidth="1"/>
    <col min="2599" max="2599" width="3" style="10" customWidth="1"/>
    <col min="2600" max="2600" width="26.85546875" style="10" customWidth="1"/>
    <col min="2601" max="2601" width="29.85546875" style="10" customWidth="1"/>
    <col min="2602" max="2602" width="32.7109375" style="10" customWidth="1"/>
    <col min="2603" max="2603" width="34.85546875" style="10" customWidth="1"/>
    <col min="2604" max="2604" width="30.42578125" style="10" customWidth="1"/>
    <col min="2605" max="2605" width="13.85546875" style="10" customWidth="1"/>
    <col min="2606" max="2606" width="39.42578125" style="10" customWidth="1"/>
    <col min="2607" max="2607" width="23.5703125" style="10" customWidth="1"/>
    <col min="2608" max="2816" width="11.42578125" style="10"/>
    <col min="2817" max="2817" width="3.85546875" style="10" customWidth="1"/>
    <col min="2818" max="2818" width="8.5703125" style="10" customWidth="1"/>
    <col min="2819" max="2819" width="8.140625" style="10" customWidth="1"/>
    <col min="2820" max="2823" width="3.85546875" style="10" customWidth="1"/>
    <col min="2824" max="2824" width="12.42578125" style="10" customWidth="1"/>
    <col min="2825" max="2825" width="3.85546875" style="10" customWidth="1"/>
    <col min="2826" max="2826" width="45.7109375" style="10" customWidth="1"/>
    <col min="2827" max="2829" width="0" style="10" hidden="1" customWidth="1"/>
    <col min="2830" max="2830" width="35.42578125" style="10" customWidth="1"/>
    <col min="2831" max="2831" width="25.85546875" style="10" customWidth="1"/>
    <col min="2832" max="2832" width="28.85546875" style="10" customWidth="1"/>
    <col min="2833" max="2833" width="30.42578125" style="10" customWidth="1"/>
    <col min="2834" max="2834" width="23.5703125" style="10" customWidth="1"/>
    <col min="2835" max="2835" width="24.42578125" style="10" customWidth="1"/>
    <col min="2836" max="2836" width="23" style="10" customWidth="1"/>
    <col min="2837" max="2837" width="26.85546875" style="10" customWidth="1"/>
    <col min="2838" max="2838" width="29" style="10" customWidth="1"/>
    <col min="2839" max="2839" width="34.140625" style="10" customWidth="1"/>
    <col min="2840" max="2840" width="29" style="10" customWidth="1"/>
    <col min="2841" max="2841" width="25" style="10" customWidth="1"/>
    <col min="2842" max="2842" width="36.28515625" style="10" customWidth="1"/>
    <col min="2843" max="2843" width="36.140625" style="10" customWidth="1"/>
    <col min="2844" max="2844" width="31.5703125" style="10" customWidth="1"/>
    <col min="2845" max="2845" width="0" style="10" hidden="1" customWidth="1"/>
    <col min="2846" max="2846" width="35.28515625" style="10" customWidth="1"/>
    <col min="2847" max="2847" width="31" style="10" customWidth="1"/>
    <col min="2848" max="2848" width="34.7109375" style="10" customWidth="1"/>
    <col min="2849" max="2849" width="31.42578125" style="10" customWidth="1"/>
    <col min="2850" max="2850" width="22.5703125" style="10" customWidth="1"/>
    <col min="2851" max="2854" width="0" style="10" hidden="1" customWidth="1"/>
    <col min="2855" max="2855" width="3" style="10" customWidth="1"/>
    <col min="2856" max="2856" width="26.85546875" style="10" customWidth="1"/>
    <col min="2857" max="2857" width="29.85546875" style="10" customWidth="1"/>
    <col min="2858" max="2858" width="32.7109375" style="10" customWidth="1"/>
    <col min="2859" max="2859" width="34.85546875" style="10" customWidth="1"/>
    <col min="2860" max="2860" width="30.42578125" style="10" customWidth="1"/>
    <col min="2861" max="2861" width="13.85546875" style="10" customWidth="1"/>
    <col min="2862" max="2862" width="39.42578125" style="10" customWidth="1"/>
    <col min="2863" max="2863" width="23.5703125" style="10" customWidth="1"/>
    <col min="2864" max="3072" width="11.42578125" style="10"/>
    <col min="3073" max="3073" width="3.85546875" style="10" customWidth="1"/>
    <col min="3074" max="3074" width="8.5703125" style="10" customWidth="1"/>
    <col min="3075" max="3075" width="8.140625" style="10" customWidth="1"/>
    <col min="3076" max="3079" width="3.85546875" style="10" customWidth="1"/>
    <col min="3080" max="3080" width="12.42578125" style="10" customWidth="1"/>
    <col min="3081" max="3081" width="3.85546875" style="10" customWidth="1"/>
    <col min="3082" max="3082" width="45.7109375" style="10" customWidth="1"/>
    <col min="3083" max="3085" width="0" style="10" hidden="1" customWidth="1"/>
    <col min="3086" max="3086" width="35.42578125" style="10" customWidth="1"/>
    <col min="3087" max="3087" width="25.85546875" style="10" customWidth="1"/>
    <col min="3088" max="3088" width="28.85546875" style="10" customWidth="1"/>
    <col min="3089" max="3089" width="30.42578125" style="10" customWidth="1"/>
    <col min="3090" max="3090" width="23.5703125" style="10" customWidth="1"/>
    <col min="3091" max="3091" width="24.42578125" style="10" customWidth="1"/>
    <col min="3092" max="3092" width="23" style="10" customWidth="1"/>
    <col min="3093" max="3093" width="26.85546875" style="10" customWidth="1"/>
    <col min="3094" max="3094" width="29" style="10" customWidth="1"/>
    <col min="3095" max="3095" width="34.140625" style="10" customWidth="1"/>
    <col min="3096" max="3096" width="29" style="10" customWidth="1"/>
    <col min="3097" max="3097" width="25" style="10" customWidth="1"/>
    <col min="3098" max="3098" width="36.28515625" style="10" customWidth="1"/>
    <col min="3099" max="3099" width="36.140625" style="10" customWidth="1"/>
    <col min="3100" max="3100" width="31.5703125" style="10" customWidth="1"/>
    <col min="3101" max="3101" width="0" style="10" hidden="1" customWidth="1"/>
    <col min="3102" max="3102" width="35.28515625" style="10" customWidth="1"/>
    <col min="3103" max="3103" width="31" style="10" customWidth="1"/>
    <col min="3104" max="3104" width="34.7109375" style="10" customWidth="1"/>
    <col min="3105" max="3105" width="31.42578125" style="10" customWidth="1"/>
    <col min="3106" max="3106" width="22.5703125" style="10" customWidth="1"/>
    <col min="3107" max="3110" width="0" style="10" hidden="1" customWidth="1"/>
    <col min="3111" max="3111" width="3" style="10" customWidth="1"/>
    <col min="3112" max="3112" width="26.85546875" style="10" customWidth="1"/>
    <col min="3113" max="3113" width="29.85546875" style="10" customWidth="1"/>
    <col min="3114" max="3114" width="32.7109375" style="10" customWidth="1"/>
    <col min="3115" max="3115" width="34.85546875" style="10" customWidth="1"/>
    <col min="3116" max="3116" width="30.42578125" style="10" customWidth="1"/>
    <col min="3117" max="3117" width="13.85546875" style="10" customWidth="1"/>
    <col min="3118" max="3118" width="39.42578125" style="10" customWidth="1"/>
    <col min="3119" max="3119" width="23.5703125" style="10" customWidth="1"/>
    <col min="3120" max="3328" width="11.42578125" style="10"/>
    <col min="3329" max="3329" width="3.85546875" style="10" customWidth="1"/>
    <col min="3330" max="3330" width="8.5703125" style="10" customWidth="1"/>
    <col min="3331" max="3331" width="8.140625" style="10" customWidth="1"/>
    <col min="3332" max="3335" width="3.85546875" style="10" customWidth="1"/>
    <col min="3336" max="3336" width="12.42578125" style="10" customWidth="1"/>
    <col min="3337" max="3337" width="3.85546875" style="10" customWidth="1"/>
    <col min="3338" max="3338" width="45.7109375" style="10" customWidth="1"/>
    <col min="3339" max="3341" width="0" style="10" hidden="1" customWidth="1"/>
    <col min="3342" max="3342" width="35.42578125" style="10" customWidth="1"/>
    <col min="3343" max="3343" width="25.85546875" style="10" customWidth="1"/>
    <col min="3344" max="3344" width="28.85546875" style="10" customWidth="1"/>
    <col min="3345" max="3345" width="30.42578125" style="10" customWidth="1"/>
    <col min="3346" max="3346" width="23.5703125" style="10" customWidth="1"/>
    <col min="3347" max="3347" width="24.42578125" style="10" customWidth="1"/>
    <col min="3348" max="3348" width="23" style="10" customWidth="1"/>
    <col min="3349" max="3349" width="26.85546875" style="10" customWidth="1"/>
    <col min="3350" max="3350" width="29" style="10" customWidth="1"/>
    <col min="3351" max="3351" width="34.140625" style="10" customWidth="1"/>
    <col min="3352" max="3352" width="29" style="10" customWidth="1"/>
    <col min="3353" max="3353" width="25" style="10" customWidth="1"/>
    <col min="3354" max="3354" width="36.28515625" style="10" customWidth="1"/>
    <col min="3355" max="3355" width="36.140625" style="10" customWidth="1"/>
    <col min="3356" max="3356" width="31.5703125" style="10" customWidth="1"/>
    <col min="3357" max="3357" width="0" style="10" hidden="1" customWidth="1"/>
    <col min="3358" max="3358" width="35.28515625" style="10" customWidth="1"/>
    <col min="3359" max="3359" width="31" style="10" customWidth="1"/>
    <col min="3360" max="3360" width="34.7109375" style="10" customWidth="1"/>
    <col min="3361" max="3361" width="31.42578125" style="10" customWidth="1"/>
    <col min="3362" max="3362" width="22.5703125" style="10" customWidth="1"/>
    <col min="3363" max="3366" width="0" style="10" hidden="1" customWidth="1"/>
    <col min="3367" max="3367" width="3" style="10" customWidth="1"/>
    <col min="3368" max="3368" width="26.85546875" style="10" customWidth="1"/>
    <col min="3369" max="3369" width="29.85546875" style="10" customWidth="1"/>
    <col min="3370" max="3370" width="32.7109375" style="10" customWidth="1"/>
    <col min="3371" max="3371" width="34.85546875" style="10" customWidth="1"/>
    <col min="3372" max="3372" width="30.42578125" style="10" customWidth="1"/>
    <col min="3373" max="3373" width="13.85546875" style="10" customWidth="1"/>
    <col min="3374" max="3374" width="39.42578125" style="10" customWidth="1"/>
    <col min="3375" max="3375" width="23.5703125" style="10" customWidth="1"/>
    <col min="3376" max="3584" width="11.42578125" style="10"/>
    <col min="3585" max="3585" width="3.85546875" style="10" customWidth="1"/>
    <col min="3586" max="3586" width="8.5703125" style="10" customWidth="1"/>
    <col min="3587" max="3587" width="8.140625" style="10" customWidth="1"/>
    <col min="3588" max="3591" width="3.85546875" style="10" customWidth="1"/>
    <col min="3592" max="3592" width="12.42578125" style="10" customWidth="1"/>
    <col min="3593" max="3593" width="3.85546875" style="10" customWidth="1"/>
    <col min="3594" max="3594" width="45.7109375" style="10" customWidth="1"/>
    <col min="3595" max="3597" width="0" style="10" hidden="1" customWidth="1"/>
    <col min="3598" max="3598" width="35.42578125" style="10" customWidth="1"/>
    <col min="3599" max="3599" width="25.85546875" style="10" customWidth="1"/>
    <col min="3600" max="3600" width="28.85546875" style="10" customWidth="1"/>
    <col min="3601" max="3601" width="30.42578125" style="10" customWidth="1"/>
    <col min="3602" max="3602" width="23.5703125" style="10" customWidth="1"/>
    <col min="3603" max="3603" width="24.42578125" style="10" customWidth="1"/>
    <col min="3604" max="3604" width="23" style="10" customWidth="1"/>
    <col min="3605" max="3605" width="26.85546875" style="10" customWidth="1"/>
    <col min="3606" max="3606" width="29" style="10" customWidth="1"/>
    <col min="3607" max="3607" width="34.140625" style="10" customWidth="1"/>
    <col min="3608" max="3608" width="29" style="10" customWidth="1"/>
    <col min="3609" max="3609" width="25" style="10" customWidth="1"/>
    <col min="3610" max="3610" width="36.28515625" style="10" customWidth="1"/>
    <col min="3611" max="3611" width="36.140625" style="10" customWidth="1"/>
    <col min="3612" max="3612" width="31.5703125" style="10" customWidth="1"/>
    <col min="3613" max="3613" width="0" style="10" hidden="1" customWidth="1"/>
    <col min="3614" max="3614" width="35.28515625" style="10" customWidth="1"/>
    <col min="3615" max="3615" width="31" style="10" customWidth="1"/>
    <col min="3616" max="3616" width="34.7109375" style="10" customWidth="1"/>
    <col min="3617" max="3617" width="31.42578125" style="10" customWidth="1"/>
    <col min="3618" max="3618" width="22.5703125" style="10" customWidth="1"/>
    <col min="3619" max="3622" width="0" style="10" hidden="1" customWidth="1"/>
    <col min="3623" max="3623" width="3" style="10" customWidth="1"/>
    <col min="3624" max="3624" width="26.85546875" style="10" customWidth="1"/>
    <col min="3625" max="3625" width="29.85546875" style="10" customWidth="1"/>
    <col min="3626" max="3626" width="32.7109375" style="10" customWidth="1"/>
    <col min="3627" max="3627" width="34.85546875" style="10" customWidth="1"/>
    <col min="3628" max="3628" width="30.42578125" style="10" customWidth="1"/>
    <col min="3629" max="3629" width="13.85546875" style="10" customWidth="1"/>
    <col min="3630" max="3630" width="39.42578125" style="10" customWidth="1"/>
    <col min="3631" max="3631" width="23.5703125" style="10" customWidth="1"/>
    <col min="3632" max="3840" width="11.42578125" style="10"/>
    <col min="3841" max="3841" width="3.85546875" style="10" customWidth="1"/>
    <col min="3842" max="3842" width="8.5703125" style="10" customWidth="1"/>
    <col min="3843" max="3843" width="8.140625" style="10" customWidth="1"/>
    <col min="3844" max="3847" width="3.85546875" style="10" customWidth="1"/>
    <col min="3848" max="3848" width="12.42578125" style="10" customWidth="1"/>
    <col min="3849" max="3849" width="3.85546875" style="10" customWidth="1"/>
    <col min="3850" max="3850" width="45.7109375" style="10" customWidth="1"/>
    <col min="3851" max="3853" width="0" style="10" hidden="1" customWidth="1"/>
    <col min="3854" max="3854" width="35.42578125" style="10" customWidth="1"/>
    <col min="3855" max="3855" width="25.85546875" style="10" customWidth="1"/>
    <col min="3856" max="3856" width="28.85546875" style="10" customWidth="1"/>
    <col min="3857" max="3857" width="30.42578125" style="10" customWidth="1"/>
    <col min="3858" max="3858" width="23.5703125" style="10" customWidth="1"/>
    <col min="3859" max="3859" width="24.42578125" style="10" customWidth="1"/>
    <col min="3860" max="3860" width="23" style="10" customWidth="1"/>
    <col min="3861" max="3861" width="26.85546875" style="10" customWidth="1"/>
    <col min="3862" max="3862" width="29" style="10" customWidth="1"/>
    <col min="3863" max="3863" width="34.140625" style="10" customWidth="1"/>
    <col min="3864" max="3864" width="29" style="10" customWidth="1"/>
    <col min="3865" max="3865" width="25" style="10" customWidth="1"/>
    <col min="3866" max="3866" width="36.28515625" style="10" customWidth="1"/>
    <col min="3867" max="3867" width="36.140625" style="10" customWidth="1"/>
    <col min="3868" max="3868" width="31.5703125" style="10" customWidth="1"/>
    <col min="3869" max="3869" width="0" style="10" hidden="1" customWidth="1"/>
    <col min="3870" max="3870" width="35.28515625" style="10" customWidth="1"/>
    <col min="3871" max="3871" width="31" style="10" customWidth="1"/>
    <col min="3872" max="3872" width="34.7109375" style="10" customWidth="1"/>
    <col min="3873" max="3873" width="31.42578125" style="10" customWidth="1"/>
    <col min="3874" max="3874" width="22.5703125" style="10" customWidth="1"/>
    <col min="3875" max="3878" width="0" style="10" hidden="1" customWidth="1"/>
    <col min="3879" max="3879" width="3" style="10" customWidth="1"/>
    <col min="3880" max="3880" width="26.85546875" style="10" customWidth="1"/>
    <col min="3881" max="3881" width="29.85546875" style="10" customWidth="1"/>
    <col min="3882" max="3882" width="32.7109375" style="10" customWidth="1"/>
    <col min="3883" max="3883" width="34.85546875" style="10" customWidth="1"/>
    <col min="3884" max="3884" width="30.42578125" style="10" customWidth="1"/>
    <col min="3885" max="3885" width="13.85546875" style="10" customWidth="1"/>
    <col min="3886" max="3886" width="39.42578125" style="10" customWidth="1"/>
    <col min="3887" max="3887" width="23.5703125" style="10" customWidth="1"/>
    <col min="3888" max="4096" width="11.42578125" style="10"/>
    <col min="4097" max="4097" width="3.85546875" style="10" customWidth="1"/>
    <col min="4098" max="4098" width="8.5703125" style="10" customWidth="1"/>
    <col min="4099" max="4099" width="8.140625" style="10" customWidth="1"/>
    <col min="4100" max="4103" width="3.85546875" style="10" customWidth="1"/>
    <col min="4104" max="4104" width="12.42578125" style="10" customWidth="1"/>
    <col min="4105" max="4105" width="3.85546875" style="10" customWidth="1"/>
    <col min="4106" max="4106" width="45.7109375" style="10" customWidth="1"/>
    <col min="4107" max="4109" width="0" style="10" hidden="1" customWidth="1"/>
    <col min="4110" max="4110" width="35.42578125" style="10" customWidth="1"/>
    <col min="4111" max="4111" width="25.85546875" style="10" customWidth="1"/>
    <col min="4112" max="4112" width="28.85546875" style="10" customWidth="1"/>
    <col min="4113" max="4113" width="30.42578125" style="10" customWidth="1"/>
    <col min="4114" max="4114" width="23.5703125" style="10" customWidth="1"/>
    <col min="4115" max="4115" width="24.42578125" style="10" customWidth="1"/>
    <col min="4116" max="4116" width="23" style="10" customWidth="1"/>
    <col min="4117" max="4117" width="26.85546875" style="10" customWidth="1"/>
    <col min="4118" max="4118" width="29" style="10" customWidth="1"/>
    <col min="4119" max="4119" width="34.140625" style="10" customWidth="1"/>
    <col min="4120" max="4120" width="29" style="10" customWidth="1"/>
    <col min="4121" max="4121" width="25" style="10" customWidth="1"/>
    <col min="4122" max="4122" width="36.28515625" style="10" customWidth="1"/>
    <col min="4123" max="4123" width="36.140625" style="10" customWidth="1"/>
    <col min="4124" max="4124" width="31.5703125" style="10" customWidth="1"/>
    <col min="4125" max="4125" width="0" style="10" hidden="1" customWidth="1"/>
    <col min="4126" max="4126" width="35.28515625" style="10" customWidth="1"/>
    <col min="4127" max="4127" width="31" style="10" customWidth="1"/>
    <col min="4128" max="4128" width="34.7109375" style="10" customWidth="1"/>
    <col min="4129" max="4129" width="31.42578125" style="10" customWidth="1"/>
    <col min="4130" max="4130" width="22.5703125" style="10" customWidth="1"/>
    <col min="4131" max="4134" width="0" style="10" hidden="1" customWidth="1"/>
    <col min="4135" max="4135" width="3" style="10" customWidth="1"/>
    <col min="4136" max="4136" width="26.85546875" style="10" customWidth="1"/>
    <col min="4137" max="4137" width="29.85546875" style="10" customWidth="1"/>
    <col min="4138" max="4138" width="32.7109375" style="10" customWidth="1"/>
    <col min="4139" max="4139" width="34.85546875" style="10" customWidth="1"/>
    <col min="4140" max="4140" width="30.42578125" style="10" customWidth="1"/>
    <col min="4141" max="4141" width="13.85546875" style="10" customWidth="1"/>
    <col min="4142" max="4142" width="39.42578125" style="10" customWidth="1"/>
    <col min="4143" max="4143" width="23.5703125" style="10" customWidth="1"/>
    <col min="4144" max="4352" width="11.42578125" style="10"/>
    <col min="4353" max="4353" width="3.85546875" style="10" customWidth="1"/>
    <col min="4354" max="4354" width="8.5703125" style="10" customWidth="1"/>
    <col min="4355" max="4355" width="8.140625" style="10" customWidth="1"/>
    <col min="4356" max="4359" width="3.85546875" style="10" customWidth="1"/>
    <col min="4360" max="4360" width="12.42578125" style="10" customWidth="1"/>
    <col min="4361" max="4361" width="3.85546875" style="10" customWidth="1"/>
    <col min="4362" max="4362" width="45.7109375" style="10" customWidth="1"/>
    <col min="4363" max="4365" width="0" style="10" hidden="1" customWidth="1"/>
    <col min="4366" max="4366" width="35.42578125" style="10" customWidth="1"/>
    <col min="4367" max="4367" width="25.85546875" style="10" customWidth="1"/>
    <col min="4368" max="4368" width="28.85546875" style="10" customWidth="1"/>
    <col min="4369" max="4369" width="30.42578125" style="10" customWidth="1"/>
    <col min="4370" max="4370" width="23.5703125" style="10" customWidth="1"/>
    <col min="4371" max="4371" width="24.42578125" style="10" customWidth="1"/>
    <col min="4372" max="4372" width="23" style="10" customWidth="1"/>
    <col min="4373" max="4373" width="26.85546875" style="10" customWidth="1"/>
    <col min="4374" max="4374" width="29" style="10" customWidth="1"/>
    <col min="4375" max="4375" width="34.140625" style="10" customWidth="1"/>
    <col min="4376" max="4376" width="29" style="10" customWidth="1"/>
    <col min="4377" max="4377" width="25" style="10" customWidth="1"/>
    <col min="4378" max="4378" width="36.28515625" style="10" customWidth="1"/>
    <col min="4379" max="4379" width="36.140625" style="10" customWidth="1"/>
    <col min="4380" max="4380" width="31.5703125" style="10" customWidth="1"/>
    <col min="4381" max="4381" width="0" style="10" hidden="1" customWidth="1"/>
    <col min="4382" max="4382" width="35.28515625" style="10" customWidth="1"/>
    <col min="4383" max="4383" width="31" style="10" customWidth="1"/>
    <col min="4384" max="4384" width="34.7109375" style="10" customWidth="1"/>
    <col min="4385" max="4385" width="31.42578125" style="10" customWidth="1"/>
    <col min="4386" max="4386" width="22.5703125" style="10" customWidth="1"/>
    <col min="4387" max="4390" width="0" style="10" hidden="1" customWidth="1"/>
    <col min="4391" max="4391" width="3" style="10" customWidth="1"/>
    <col min="4392" max="4392" width="26.85546875" style="10" customWidth="1"/>
    <col min="4393" max="4393" width="29.85546875" style="10" customWidth="1"/>
    <col min="4394" max="4394" width="32.7109375" style="10" customWidth="1"/>
    <col min="4395" max="4395" width="34.85546875" style="10" customWidth="1"/>
    <col min="4396" max="4396" width="30.42578125" style="10" customWidth="1"/>
    <col min="4397" max="4397" width="13.85546875" style="10" customWidth="1"/>
    <col min="4398" max="4398" width="39.42578125" style="10" customWidth="1"/>
    <col min="4399" max="4399" width="23.5703125" style="10" customWidth="1"/>
    <col min="4400" max="4608" width="11.42578125" style="10"/>
    <col min="4609" max="4609" width="3.85546875" style="10" customWidth="1"/>
    <col min="4610" max="4610" width="8.5703125" style="10" customWidth="1"/>
    <col min="4611" max="4611" width="8.140625" style="10" customWidth="1"/>
    <col min="4612" max="4615" width="3.85546875" style="10" customWidth="1"/>
    <col min="4616" max="4616" width="12.42578125" style="10" customWidth="1"/>
    <col min="4617" max="4617" width="3.85546875" style="10" customWidth="1"/>
    <col min="4618" max="4618" width="45.7109375" style="10" customWidth="1"/>
    <col min="4619" max="4621" width="0" style="10" hidden="1" customWidth="1"/>
    <col min="4622" max="4622" width="35.42578125" style="10" customWidth="1"/>
    <col min="4623" max="4623" width="25.85546875" style="10" customWidth="1"/>
    <col min="4624" max="4624" width="28.85546875" style="10" customWidth="1"/>
    <col min="4625" max="4625" width="30.42578125" style="10" customWidth="1"/>
    <col min="4626" max="4626" width="23.5703125" style="10" customWidth="1"/>
    <col min="4627" max="4627" width="24.42578125" style="10" customWidth="1"/>
    <col min="4628" max="4628" width="23" style="10" customWidth="1"/>
    <col min="4629" max="4629" width="26.85546875" style="10" customWidth="1"/>
    <col min="4630" max="4630" width="29" style="10" customWidth="1"/>
    <col min="4631" max="4631" width="34.140625" style="10" customWidth="1"/>
    <col min="4632" max="4632" width="29" style="10" customWidth="1"/>
    <col min="4633" max="4633" width="25" style="10" customWidth="1"/>
    <col min="4634" max="4634" width="36.28515625" style="10" customWidth="1"/>
    <col min="4635" max="4635" width="36.140625" style="10" customWidth="1"/>
    <col min="4636" max="4636" width="31.5703125" style="10" customWidth="1"/>
    <col min="4637" max="4637" width="0" style="10" hidden="1" customWidth="1"/>
    <col min="4638" max="4638" width="35.28515625" style="10" customWidth="1"/>
    <col min="4639" max="4639" width="31" style="10" customWidth="1"/>
    <col min="4640" max="4640" width="34.7109375" style="10" customWidth="1"/>
    <col min="4641" max="4641" width="31.42578125" style="10" customWidth="1"/>
    <col min="4642" max="4642" width="22.5703125" style="10" customWidth="1"/>
    <col min="4643" max="4646" width="0" style="10" hidden="1" customWidth="1"/>
    <col min="4647" max="4647" width="3" style="10" customWidth="1"/>
    <col min="4648" max="4648" width="26.85546875" style="10" customWidth="1"/>
    <col min="4649" max="4649" width="29.85546875" style="10" customWidth="1"/>
    <col min="4650" max="4650" width="32.7109375" style="10" customWidth="1"/>
    <col min="4651" max="4651" width="34.85546875" style="10" customWidth="1"/>
    <col min="4652" max="4652" width="30.42578125" style="10" customWidth="1"/>
    <col min="4653" max="4653" width="13.85546875" style="10" customWidth="1"/>
    <col min="4654" max="4654" width="39.42578125" style="10" customWidth="1"/>
    <col min="4655" max="4655" width="23.5703125" style="10" customWidth="1"/>
    <col min="4656" max="4864" width="11.42578125" style="10"/>
    <col min="4865" max="4865" width="3.85546875" style="10" customWidth="1"/>
    <col min="4866" max="4866" width="8.5703125" style="10" customWidth="1"/>
    <col min="4867" max="4867" width="8.140625" style="10" customWidth="1"/>
    <col min="4868" max="4871" width="3.85546875" style="10" customWidth="1"/>
    <col min="4872" max="4872" width="12.42578125" style="10" customWidth="1"/>
    <col min="4873" max="4873" width="3.85546875" style="10" customWidth="1"/>
    <col min="4874" max="4874" width="45.7109375" style="10" customWidth="1"/>
    <col min="4875" max="4877" width="0" style="10" hidden="1" customWidth="1"/>
    <col min="4878" max="4878" width="35.42578125" style="10" customWidth="1"/>
    <col min="4879" max="4879" width="25.85546875" style="10" customWidth="1"/>
    <col min="4880" max="4880" width="28.85546875" style="10" customWidth="1"/>
    <col min="4881" max="4881" width="30.42578125" style="10" customWidth="1"/>
    <col min="4882" max="4882" width="23.5703125" style="10" customWidth="1"/>
    <col min="4883" max="4883" width="24.42578125" style="10" customWidth="1"/>
    <col min="4884" max="4884" width="23" style="10" customWidth="1"/>
    <col min="4885" max="4885" width="26.85546875" style="10" customWidth="1"/>
    <col min="4886" max="4886" width="29" style="10" customWidth="1"/>
    <col min="4887" max="4887" width="34.140625" style="10" customWidth="1"/>
    <col min="4888" max="4888" width="29" style="10" customWidth="1"/>
    <col min="4889" max="4889" width="25" style="10" customWidth="1"/>
    <col min="4890" max="4890" width="36.28515625" style="10" customWidth="1"/>
    <col min="4891" max="4891" width="36.140625" style="10" customWidth="1"/>
    <col min="4892" max="4892" width="31.5703125" style="10" customWidth="1"/>
    <col min="4893" max="4893" width="0" style="10" hidden="1" customWidth="1"/>
    <col min="4894" max="4894" width="35.28515625" style="10" customWidth="1"/>
    <col min="4895" max="4895" width="31" style="10" customWidth="1"/>
    <col min="4896" max="4896" width="34.7109375" style="10" customWidth="1"/>
    <col min="4897" max="4897" width="31.42578125" style="10" customWidth="1"/>
    <col min="4898" max="4898" width="22.5703125" style="10" customWidth="1"/>
    <col min="4899" max="4902" width="0" style="10" hidden="1" customWidth="1"/>
    <col min="4903" max="4903" width="3" style="10" customWidth="1"/>
    <col min="4904" max="4904" width="26.85546875" style="10" customWidth="1"/>
    <col min="4905" max="4905" width="29.85546875" style="10" customWidth="1"/>
    <col min="4906" max="4906" width="32.7109375" style="10" customWidth="1"/>
    <col min="4907" max="4907" width="34.85546875" style="10" customWidth="1"/>
    <col min="4908" max="4908" width="30.42578125" style="10" customWidth="1"/>
    <col min="4909" max="4909" width="13.85546875" style="10" customWidth="1"/>
    <col min="4910" max="4910" width="39.42578125" style="10" customWidth="1"/>
    <col min="4911" max="4911" width="23.5703125" style="10" customWidth="1"/>
    <col min="4912" max="5120" width="11.42578125" style="10"/>
    <col min="5121" max="5121" width="3.85546875" style="10" customWidth="1"/>
    <col min="5122" max="5122" width="8.5703125" style="10" customWidth="1"/>
    <col min="5123" max="5123" width="8.140625" style="10" customWidth="1"/>
    <col min="5124" max="5127" width="3.85546875" style="10" customWidth="1"/>
    <col min="5128" max="5128" width="12.42578125" style="10" customWidth="1"/>
    <col min="5129" max="5129" width="3.85546875" style="10" customWidth="1"/>
    <col min="5130" max="5130" width="45.7109375" style="10" customWidth="1"/>
    <col min="5131" max="5133" width="0" style="10" hidden="1" customWidth="1"/>
    <col min="5134" max="5134" width="35.42578125" style="10" customWidth="1"/>
    <col min="5135" max="5135" width="25.85546875" style="10" customWidth="1"/>
    <col min="5136" max="5136" width="28.85546875" style="10" customWidth="1"/>
    <col min="5137" max="5137" width="30.42578125" style="10" customWidth="1"/>
    <col min="5138" max="5138" width="23.5703125" style="10" customWidth="1"/>
    <col min="5139" max="5139" width="24.42578125" style="10" customWidth="1"/>
    <col min="5140" max="5140" width="23" style="10" customWidth="1"/>
    <col min="5141" max="5141" width="26.85546875" style="10" customWidth="1"/>
    <col min="5142" max="5142" width="29" style="10" customWidth="1"/>
    <col min="5143" max="5143" width="34.140625" style="10" customWidth="1"/>
    <col min="5144" max="5144" width="29" style="10" customWidth="1"/>
    <col min="5145" max="5145" width="25" style="10" customWidth="1"/>
    <col min="5146" max="5146" width="36.28515625" style="10" customWidth="1"/>
    <col min="5147" max="5147" width="36.140625" style="10" customWidth="1"/>
    <col min="5148" max="5148" width="31.5703125" style="10" customWidth="1"/>
    <col min="5149" max="5149" width="0" style="10" hidden="1" customWidth="1"/>
    <col min="5150" max="5150" width="35.28515625" style="10" customWidth="1"/>
    <col min="5151" max="5151" width="31" style="10" customWidth="1"/>
    <col min="5152" max="5152" width="34.7109375" style="10" customWidth="1"/>
    <col min="5153" max="5153" width="31.42578125" style="10" customWidth="1"/>
    <col min="5154" max="5154" width="22.5703125" style="10" customWidth="1"/>
    <col min="5155" max="5158" width="0" style="10" hidden="1" customWidth="1"/>
    <col min="5159" max="5159" width="3" style="10" customWidth="1"/>
    <col min="5160" max="5160" width="26.85546875" style="10" customWidth="1"/>
    <col min="5161" max="5161" width="29.85546875" style="10" customWidth="1"/>
    <col min="5162" max="5162" width="32.7109375" style="10" customWidth="1"/>
    <col min="5163" max="5163" width="34.85546875" style="10" customWidth="1"/>
    <col min="5164" max="5164" width="30.42578125" style="10" customWidth="1"/>
    <col min="5165" max="5165" width="13.85546875" style="10" customWidth="1"/>
    <col min="5166" max="5166" width="39.42578125" style="10" customWidth="1"/>
    <col min="5167" max="5167" width="23.5703125" style="10" customWidth="1"/>
    <col min="5168" max="5376" width="11.42578125" style="10"/>
    <col min="5377" max="5377" width="3.85546875" style="10" customWidth="1"/>
    <col min="5378" max="5378" width="8.5703125" style="10" customWidth="1"/>
    <col min="5379" max="5379" width="8.140625" style="10" customWidth="1"/>
    <col min="5380" max="5383" width="3.85546875" style="10" customWidth="1"/>
    <col min="5384" max="5384" width="12.42578125" style="10" customWidth="1"/>
    <col min="5385" max="5385" width="3.85546875" style="10" customWidth="1"/>
    <col min="5386" max="5386" width="45.7109375" style="10" customWidth="1"/>
    <col min="5387" max="5389" width="0" style="10" hidden="1" customWidth="1"/>
    <col min="5390" max="5390" width="35.42578125" style="10" customWidth="1"/>
    <col min="5391" max="5391" width="25.85546875" style="10" customWidth="1"/>
    <col min="5392" max="5392" width="28.85546875" style="10" customWidth="1"/>
    <col min="5393" max="5393" width="30.42578125" style="10" customWidth="1"/>
    <col min="5394" max="5394" width="23.5703125" style="10" customWidth="1"/>
    <col min="5395" max="5395" width="24.42578125" style="10" customWidth="1"/>
    <col min="5396" max="5396" width="23" style="10" customWidth="1"/>
    <col min="5397" max="5397" width="26.85546875" style="10" customWidth="1"/>
    <col min="5398" max="5398" width="29" style="10" customWidth="1"/>
    <col min="5399" max="5399" width="34.140625" style="10" customWidth="1"/>
    <col min="5400" max="5400" width="29" style="10" customWidth="1"/>
    <col min="5401" max="5401" width="25" style="10" customWidth="1"/>
    <col min="5402" max="5402" width="36.28515625" style="10" customWidth="1"/>
    <col min="5403" max="5403" width="36.140625" style="10" customWidth="1"/>
    <col min="5404" max="5404" width="31.5703125" style="10" customWidth="1"/>
    <col min="5405" max="5405" width="0" style="10" hidden="1" customWidth="1"/>
    <col min="5406" max="5406" width="35.28515625" style="10" customWidth="1"/>
    <col min="5407" max="5407" width="31" style="10" customWidth="1"/>
    <col min="5408" max="5408" width="34.7109375" style="10" customWidth="1"/>
    <col min="5409" max="5409" width="31.42578125" style="10" customWidth="1"/>
    <col min="5410" max="5410" width="22.5703125" style="10" customWidth="1"/>
    <col min="5411" max="5414" width="0" style="10" hidden="1" customWidth="1"/>
    <col min="5415" max="5415" width="3" style="10" customWidth="1"/>
    <col min="5416" max="5416" width="26.85546875" style="10" customWidth="1"/>
    <col min="5417" max="5417" width="29.85546875" style="10" customWidth="1"/>
    <col min="5418" max="5418" width="32.7109375" style="10" customWidth="1"/>
    <col min="5419" max="5419" width="34.85546875" style="10" customWidth="1"/>
    <col min="5420" max="5420" width="30.42578125" style="10" customWidth="1"/>
    <col min="5421" max="5421" width="13.85546875" style="10" customWidth="1"/>
    <col min="5422" max="5422" width="39.42578125" style="10" customWidth="1"/>
    <col min="5423" max="5423" width="23.5703125" style="10" customWidth="1"/>
    <col min="5424" max="5632" width="11.42578125" style="10"/>
    <col min="5633" max="5633" width="3.85546875" style="10" customWidth="1"/>
    <col min="5634" max="5634" width="8.5703125" style="10" customWidth="1"/>
    <col min="5635" max="5635" width="8.140625" style="10" customWidth="1"/>
    <col min="5636" max="5639" width="3.85546875" style="10" customWidth="1"/>
    <col min="5640" max="5640" width="12.42578125" style="10" customWidth="1"/>
    <col min="5641" max="5641" width="3.85546875" style="10" customWidth="1"/>
    <col min="5642" max="5642" width="45.7109375" style="10" customWidth="1"/>
    <col min="5643" max="5645" width="0" style="10" hidden="1" customWidth="1"/>
    <col min="5646" max="5646" width="35.42578125" style="10" customWidth="1"/>
    <col min="5647" max="5647" width="25.85546875" style="10" customWidth="1"/>
    <col min="5648" max="5648" width="28.85546875" style="10" customWidth="1"/>
    <col min="5649" max="5649" width="30.42578125" style="10" customWidth="1"/>
    <col min="5650" max="5650" width="23.5703125" style="10" customWidth="1"/>
    <col min="5651" max="5651" width="24.42578125" style="10" customWidth="1"/>
    <col min="5652" max="5652" width="23" style="10" customWidth="1"/>
    <col min="5653" max="5653" width="26.85546875" style="10" customWidth="1"/>
    <col min="5654" max="5654" width="29" style="10" customWidth="1"/>
    <col min="5655" max="5655" width="34.140625" style="10" customWidth="1"/>
    <col min="5656" max="5656" width="29" style="10" customWidth="1"/>
    <col min="5657" max="5657" width="25" style="10" customWidth="1"/>
    <col min="5658" max="5658" width="36.28515625" style="10" customWidth="1"/>
    <col min="5659" max="5659" width="36.140625" style="10" customWidth="1"/>
    <col min="5660" max="5660" width="31.5703125" style="10" customWidth="1"/>
    <col min="5661" max="5661" width="0" style="10" hidden="1" customWidth="1"/>
    <col min="5662" max="5662" width="35.28515625" style="10" customWidth="1"/>
    <col min="5663" max="5663" width="31" style="10" customWidth="1"/>
    <col min="5664" max="5664" width="34.7109375" style="10" customWidth="1"/>
    <col min="5665" max="5665" width="31.42578125" style="10" customWidth="1"/>
    <col min="5666" max="5666" width="22.5703125" style="10" customWidth="1"/>
    <col min="5667" max="5670" width="0" style="10" hidden="1" customWidth="1"/>
    <col min="5671" max="5671" width="3" style="10" customWidth="1"/>
    <col min="5672" max="5672" width="26.85546875" style="10" customWidth="1"/>
    <col min="5673" max="5673" width="29.85546875" style="10" customWidth="1"/>
    <col min="5674" max="5674" width="32.7109375" style="10" customWidth="1"/>
    <col min="5675" max="5675" width="34.85546875" style="10" customWidth="1"/>
    <col min="5676" max="5676" width="30.42578125" style="10" customWidth="1"/>
    <col min="5677" max="5677" width="13.85546875" style="10" customWidth="1"/>
    <col min="5678" max="5678" width="39.42578125" style="10" customWidth="1"/>
    <col min="5679" max="5679" width="23.5703125" style="10" customWidth="1"/>
    <col min="5680" max="5888" width="11.42578125" style="10"/>
    <col min="5889" max="5889" width="3.85546875" style="10" customWidth="1"/>
    <col min="5890" max="5890" width="8.5703125" style="10" customWidth="1"/>
    <col min="5891" max="5891" width="8.140625" style="10" customWidth="1"/>
    <col min="5892" max="5895" width="3.85546875" style="10" customWidth="1"/>
    <col min="5896" max="5896" width="12.42578125" style="10" customWidth="1"/>
    <col min="5897" max="5897" width="3.85546875" style="10" customWidth="1"/>
    <col min="5898" max="5898" width="45.7109375" style="10" customWidth="1"/>
    <col min="5899" max="5901" width="0" style="10" hidden="1" customWidth="1"/>
    <col min="5902" max="5902" width="35.42578125" style="10" customWidth="1"/>
    <col min="5903" max="5903" width="25.85546875" style="10" customWidth="1"/>
    <col min="5904" max="5904" width="28.85546875" style="10" customWidth="1"/>
    <col min="5905" max="5905" width="30.42578125" style="10" customWidth="1"/>
    <col min="5906" max="5906" width="23.5703125" style="10" customWidth="1"/>
    <col min="5907" max="5907" width="24.42578125" style="10" customWidth="1"/>
    <col min="5908" max="5908" width="23" style="10" customWidth="1"/>
    <col min="5909" max="5909" width="26.85546875" style="10" customWidth="1"/>
    <col min="5910" max="5910" width="29" style="10" customWidth="1"/>
    <col min="5911" max="5911" width="34.140625" style="10" customWidth="1"/>
    <col min="5912" max="5912" width="29" style="10" customWidth="1"/>
    <col min="5913" max="5913" width="25" style="10" customWidth="1"/>
    <col min="5914" max="5914" width="36.28515625" style="10" customWidth="1"/>
    <col min="5915" max="5915" width="36.140625" style="10" customWidth="1"/>
    <col min="5916" max="5916" width="31.5703125" style="10" customWidth="1"/>
    <col min="5917" max="5917" width="0" style="10" hidden="1" customWidth="1"/>
    <col min="5918" max="5918" width="35.28515625" style="10" customWidth="1"/>
    <col min="5919" max="5919" width="31" style="10" customWidth="1"/>
    <col min="5920" max="5920" width="34.7109375" style="10" customWidth="1"/>
    <col min="5921" max="5921" width="31.42578125" style="10" customWidth="1"/>
    <col min="5922" max="5922" width="22.5703125" style="10" customWidth="1"/>
    <col min="5923" max="5926" width="0" style="10" hidden="1" customWidth="1"/>
    <col min="5927" max="5927" width="3" style="10" customWidth="1"/>
    <col min="5928" max="5928" width="26.85546875" style="10" customWidth="1"/>
    <col min="5929" max="5929" width="29.85546875" style="10" customWidth="1"/>
    <col min="5930" max="5930" width="32.7109375" style="10" customWidth="1"/>
    <col min="5931" max="5931" width="34.85546875" style="10" customWidth="1"/>
    <col min="5932" max="5932" width="30.42578125" style="10" customWidth="1"/>
    <col min="5933" max="5933" width="13.85546875" style="10" customWidth="1"/>
    <col min="5934" max="5934" width="39.42578125" style="10" customWidth="1"/>
    <col min="5935" max="5935" width="23.5703125" style="10" customWidth="1"/>
    <col min="5936" max="6144" width="11.42578125" style="10"/>
    <col min="6145" max="6145" width="3.85546875" style="10" customWidth="1"/>
    <col min="6146" max="6146" width="8.5703125" style="10" customWidth="1"/>
    <col min="6147" max="6147" width="8.140625" style="10" customWidth="1"/>
    <col min="6148" max="6151" width="3.85546875" style="10" customWidth="1"/>
    <col min="6152" max="6152" width="12.42578125" style="10" customWidth="1"/>
    <col min="6153" max="6153" width="3.85546875" style="10" customWidth="1"/>
    <col min="6154" max="6154" width="45.7109375" style="10" customWidth="1"/>
    <col min="6155" max="6157" width="0" style="10" hidden="1" customWidth="1"/>
    <col min="6158" max="6158" width="35.42578125" style="10" customWidth="1"/>
    <col min="6159" max="6159" width="25.85546875" style="10" customWidth="1"/>
    <col min="6160" max="6160" width="28.85546875" style="10" customWidth="1"/>
    <col min="6161" max="6161" width="30.42578125" style="10" customWidth="1"/>
    <col min="6162" max="6162" width="23.5703125" style="10" customWidth="1"/>
    <col min="6163" max="6163" width="24.42578125" style="10" customWidth="1"/>
    <col min="6164" max="6164" width="23" style="10" customWidth="1"/>
    <col min="6165" max="6165" width="26.85546875" style="10" customWidth="1"/>
    <col min="6166" max="6166" width="29" style="10" customWidth="1"/>
    <col min="6167" max="6167" width="34.140625" style="10" customWidth="1"/>
    <col min="6168" max="6168" width="29" style="10" customWidth="1"/>
    <col min="6169" max="6169" width="25" style="10" customWidth="1"/>
    <col min="6170" max="6170" width="36.28515625" style="10" customWidth="1"/>
    <col min="6171" max="6171" width="36.140625" style="10" customWidth="1"/>
    <col min="6172" max="6172" width="31.5703125" style="10" customWidth="1"/>
    <col min="6173" max="6173" width="0" style="10" hidden="1" customWidth="1"/>
    <col min="6174" max="6174" width="35.28515625" style="10" customWidth="1"/>
    <col min="6175" max="6175" width="31" style="10" customWidth="1"/>
    <col min="6176" max="6176" width="34.7109375" style="10" customWidth="1"/>
    <col min="6177" max="6177" width="31.42578125" style="10" customWidth="1"/>
    <col min="6178" max="6178" width="22.5703125" style="10" customWidth="1"/>
    <col min="6179" max="6182" width="0" style="10" hidden="1" customWidth="1"/>
    <col min="6183" max="6183" width="3" style="10" customWidth="1"/>
    <col min="6184" max="6184" width="26.85546875" style="10" customWidth="1"/>
    <col min="6185" max="6185" width="29.85546875" style="10" customWidth="1"/>
    <col min="6186" max="6186" width="32.7109375" style="10" customWidth="1"/>
    <col min="6187" max="6187" width="34.85546875" style="10" customWidth="1"/>
    <col min="6188" max="6188" width="30.42578125" style="10" customWidth="1"/>
    <col min="6189" max="6189" width="13.85546875" style="10" customWidth="1"/>
    <col min="6190" max="6190" width="39.42578125" style="10" customWidth="1"/>
    <col min="6191" max="6191" width="23.5703125" style="10" customWidth="1"/>
    <col min="6192" max="6400" width="11.42578125" style="10"/>
    <col min="6401" max="6401" width="3.85546875" style="10" customWidth="1"/>
    <col min="6402" max="6402" width="8.5703125" style="10" customWidth="1"/>
    <col min="6403" max="6403" width="8.140625" style="10" customWidth="1"/>
    <col min="6404" max="6407" width="3.85546875" style="10" customWidth="1"/>
    <col min="6408" max="6408" width="12.42578125" style="10" customWidth="1"/>
    <col min="6409" max="6409" width="3.85546875" style="10" customWidth="1"/>
    <col min="6410" max="6410" width="45.7109375" style="10" customWidth="1"/>
    <col min="6411" max="6413" width="0" style="10" hidden="1" customWidth="1"/>
    <col min="6414" max="6414" width="35.42578125" style="10" customWidth="1"/>
    <col min="6415" max="6415" width="25.85546875" style="10" customWidth="1"/>
    <col min="6416" max="6416" width="28.85546875" style="10" customWidth="1"/>
    <col min="6417" max="6417" width="30.42578125" style="10" customWidth="1"/>
    <col min="6418" max="6418" width="23.5703125" style="10" customWidth="1"/>
    <col min="6419" max="6419" width="24.42578125" style="10" customWidth="1"/>
    <col min="6420" max="6420" width="23" style="10" customWidth="1"/>
    <col min="6421" max="6421" width="26.85546875" style="10" customWidth="1"/>
    <col min="6422" max="6422" width="29" style="10" customWidth="1"/>
    <col min="6423" max="6423" width="34.140625" style="10" customWidth="1"/>
    <col min="6424" max="6424" width="29" style="10" customWidth="1"/>
    <col min="6425" max="6425" width="25" style="10" customWidth="1"/>
    <col min="6426" max="6426" width="36.28515625" style="10" customWidth="1"/>
    <col min="6427" max="6427" width="36.140625" style="10" customWidth="1"/>
    <col min="6428" max="6428" width="31.5703125" style="10" customWidth="1"/>
    <col min="6429" max="6429" width="0" style="10" hidden="1" customWidth="1"/>
    <col min="6430" max="6430" width="35.28515625" style="10" customWidth="1"/>
    <col min="6431" max="6431" width="31" style="10" customWidth="1"/>
    <col min="6432" max="6432" width="34.7109375" style="10" customWidth="1"/>
    <col min="6433" max="6433" width="31.42578125" style="10" customWidth="1"/>
    <col min="6434" max="6434" width="22.5703125" style="10" customWidth="1"/>
    <col min="6435" max="6438" width="0" style="10" hidden="1" customWidth="1"/>
    <col min="6439" max="6439" width="3" style="10" customWidth="1"/>
    <col min="6440" max="6440" width="26.85546875" style="10" customWidth="1"/>
    <col min="6441" max="6441" width="29.85546875" style="10" customWidth="1"/>
    <col min="6442" max="6442" width="32.7109375" style="10" customWidth="1"/>
    <col min="6443" max="6443" width="34.85546875" style="10" customWidth="1"/>
    <col min="6444" max="6444" width="30.42578125" style="10" customWidth="1"/>
    <col min="6445" max="6445" width="13.85546875" style="10" customWidth="1"/>
    <col min="6446" max="6446" width="39.42578125" style="10" customWidth="1"/>
    <col min="6447" max="6447" width="23.5703125" style="10" customWidth="1"/>
    <col min="6448" max="6656" width="11.42578125" style="10"/>
    <col min="6657" max="6657" width="3.85546875" style="10" customWidth="1"/>
    <col min="6658" max="6658" width="8.5703125" style="10" customWidth="1"/>
    <col min="6659" max="6659" width="8.140625" style="10" customWidth="1"/>
    <col min="6660" max="6663" width="3.85546875" style="10" customWidth="1"/>
    <col min="6664" max="6664" width="12.42578125" style="10" customWidth="1"/>
    <col min="6665" max="6665" width="3.85546875" style="10" customWidth="1"/>
    <col min="6666" max="6666" width="45.7109375" style="10" customWidth="1"/>
    <col min="6667" max="6669" width="0" style="10" hidden="1" customWidth="1"/>
    <col min="6670" max="6670" width="35.42578125" style="10" customWidth="1"/>
    <col min="6671" max="6671" width="25.85546875" style="10" customWidth="1"/>
    <col min="6672" max="6672" width="28.85546875" style="10" customWidth="1"/>
    <col min="6673" max="6673" width="30.42578125" style="10" customWidth="1"/>
    <col min="6674" max="6674" width="23.5703125" style="10" customWidth="1"/>
    <col min="6675" max="6675" width="24.42578125" style="10" customWidth="1"/>
    <col min="6676" max="6676" width="23" style="10" customWidth="1"/>
    <col min="6677" max="6677" width="26.85546875" style="10" customWidth="1"/>
    <col min="6678" max="6678" width="29" style="10" customWidth="1"/>
    <col min="6679" max="6679" width="34.140625" style="10" customWidth="1"/>
    <col min="6680" max="6680" width="29" style="10" customWidth="1"/>
    <col min="6681" max="6681" width="25" style="10" customWidth="1"/>
    <col min="6682" max="6682" width="36.28515625" style="10" customWidth="1"/>
    <col min="6683" max="6683" width="36.140625" style="10" customWidth="1"/>
    <col min="6684" max="6684" width="31.5703125" style="10" customWidth="1"/>
    <col min="6685" max="6685" width="0" style="10" hidden="1" customWidth="1"/>
    <col min="6686" max="6686" width="35.28515625" style="10" customWidth="1"/>
    <col min="6687" max="6687" width="31" style="10" customWidth="1"/>
    <col min="6688" max="6688" width="34.7109375" style="10" customWidth="1"/>
    <col min="6689" max="6689" width="31.42578125" style="10" customWidth="1"/>
    <col min="6690" max="6690" width="22.5703125" style="10" customWidth="1"/>
    <col min="6691" max="6694" width="0" style="10" hidden="1" customWidth="1"/>
    <col min="6695" max="6695" width="3" style="10" customWidth="1"/>
    <col min="6696" max="6696" width="26.85546875" style="10" customWidth="1"/>
    <col min="6697" max="6697" width="29.85546875" style="10" customWidth="1"/>
    <col min="6698" max="6698" width="32.7109375" style="10" customWidth="1"/>
    <col min="6699" max="6699" width="34.85546875" style="10" customWidth="1"/>
    <col min="6700" max="6700" width="30.42578125" style="10" customWidth="1"/>
    <col min="6701" max="6701" width="13.85546875" style="10" customWidth="1"/>
    <col min="6702" max="6702" width="39.42578125" style="10" customWidth="1"/>
    <col min="6703" max="6703" width="23.5703125" style="10" customWidth="1"/>
    <col min="6704" max="6912" width="11.42578125" style="10"/>
    <col min="6913" max="6913" width="3.85546875" style="10" customWidth="1"/>
    <col min="6914" max="6914" width="8.5703125" style="10" customWidth="1"/>
    <col min="6915" max="6915" width="8.140625" style="10" customWidth="1"/>
    <col min="6916" max="6919" width="3.85546875" style="10" customWidth="1"/>
    <col min="6920" max="6920" width="12.42578125" style="10" customWidth="1"/>
    <col min="6921" max="6921" width="3.85546875" style="10" customWidth="1"/>
    <col min="6922" max="6922" width="45.7109375" style="10" customWidth="1"/>
    <col min="6923" max="6925" width="0" style="10" hidden="1" customWidth="1"/>
    <col min="6926" max="6926" width="35.42578125" style="10" customWidth="1"/>
    <col min="6927" max="6927" width="25.85546875" style="10" customWidth="1"/>
    <col min="6928" max="6928" width="28.85546875" style="10" customWidth="1"/>
    <col min="6929" max="6929" width="30.42578125" style="10" customWidth="1"/>
    <col min="6930" max="6930" width="23.5703125" style="10" customWidth="1"/>
    <col min="6931" max="6931" width="24.42578125" style="10" customWidth="1"/>
    <col min="6932" max="6932" width="23" style="10" customWidth="1"/>
    <col min="6933" max="6933" width="26.85546875" style="10" customWidth="1"/>
    <col min="6934" max="6934" width="29" style="10" customWidth="1"/>
    <col min="6935" max="6935" width="34.140625" style="10" customWidth="1"/>
    <col min="6936" max="6936" width="29" style="10" customWidth="1"/>
    <col min="6937" max="6937" width="25" style="10" customWidth="1"/>
    <col min="6938" max="6938" width="36.28515625" style="10" customWidth="1"/>
    <col min="6939" max="6939" width="36.140625" style="10" customWidth="1"/>
    <col min="6940" max="6940" width="31.5703125" style="10" customWidth="1"/>
    <col min="6941" max="6941" width="0" style="10" hidden="1" customWidth="1"/>
    <col min="6942" max="6942" width="35.28515625" style="10" customWidth="1"/>
    <col min="6943" max="6943" width="31" style="10" customWidth="1"/>
    <col min="6944" max="6944" width="34.7109375" style="10" customWidth="1"/>
    <col min="6945" max="6945" width="31.42578125" style="10" customWidth="1"/>
    <col min="6946" max="6946" width="22.5703125" style="10" customWidth="1"/>
    <col min="6947" max="6950" width="0" style="10" hidden="1" customWidth="1"/>
    <col min="6951" max="6951" width="3" style="10" customWidth="1"/>
    <col min="6952" max="6952" width="26.85546875" style="10" customWidth="1"/>
    <col min="6953" max="6953" width="29.85546875" style="10" customWidth="1"/>
    <col min="6954" max="6954" width="32.7109375" style="10" customWidth="1"/>
    <col min="6955" max="6955" width="34.85546875" style="10" customWidth="1"/>
    <col min="6956" max="6956" width="30.42578125" style="10" customWidth="1"/>
    <col min="6957" max="6957" width="13.85546875" style="10" customWidth="1"/>
    <col min="6958" max="6958" width="39.42578125" style="10" customWidth="1"/>
    <col min="6959" max="6959" width="23.5703125" style="10" customWidth="1"/>
    <col min="6960" max="7168" width="11.42578125" style="10"/>
    <col min="7169" max="7169" width="3.85546875" style="10" customWidth="1"/>
    <col min="7170" max="7170" width="8.5703125" style="10" customWidth="1"/>
    <col min="7171" max="7171" width="8.140625" style="10" customWidth="1"/>
    <col min="7172" max="7175" width="3.85546875" style="10" customWidth="1"/>
    <col min="7176" max="7176" width="12.42578125" style="10" customWidth="1"/>
    <col min="7177" max="7177" width="3.85546875" style="10" customWidth="1"/>
    <col min="7178" max="7178" width="45.7109375" style="10" customWidth="1"/>
    <col min="7179" max="7181" width="0" style="10" hidden="1" customWidth="1"/>
    <col min="7182" max="7182" width="35.42578125" style="10" customWidth="1"/>
    <col min="7183" max="7183" width="25.85546875" style="10" customWidth="1"/>
    <col min="7184" max="7184" width="28.85546875" style="10" customWidth="1"/>
    <col min="7185" max="7185" width="30.42578125" style="10" customWidth="1"/>
    <col min="7186" max="7186" width="23.5703125" style="10" customWidth="1"/>
    <col min="7187" max="7187" width="24.42578125" style="10" customWidth="1"/>
    <col min="7188" max="7188" width="23" style="10" customWidth="1"/>
    <col min="7189" max="7189" width="26.85546875" style="10" customWidth="1"/>
    <col min="7190" max="7190" width="29" style="10" customWidth="1"/>
    <col min="7191" max="7191" width="34.140625" style="10" customWidth="1"/>
    <col min="7192" max="7192" width="29" style="10" customWidth="1"/>
    <col min="7193" max="7193" width="25" style="10" customWidth="1"/>
    <col min="7194" max="7194" width="36.28515625" style="10" customWidth="1"/>
    <col min="7195" max="7195" width="36.140625" style="10" customWidth="1"/>
    <col min="7196" max="7196" width="31.5703125" style="10" customWidth="1"/>
    <col min="7197" max="7197" width="0" style="10" hidden="1" customWidth="1"/>
    <col min="7198" max="7198" width="35.28515625" style="10" customWidth="1"/>
    <col min="7199" max="7199" width="31" style="10" customWidth="1"/>
    <col min="7200" max="7200" width="34.7109375" style="10" customWidth="1"/>
    <col min="7201" max="7201" width="31.42578125" style="10" customWidth="1"/>
    <col min="7202" max="7202" width="22.5703125" style="10" customWidth="1"/>
    <col min="7203" max="7206" width="0" style="10" hidden="1" customWidth="1"/>
    <col min="7207" max="7207" width="3" style="10" customWidth="1"/>
    <col min="7208" max="7208" width="26.85546875" style="10" customWidth="1"/>
    <col min="7209" max="7209" width="29.85546875" style="10" customWidth="1"/>
    <col min="7210" max="7210" width="32.7109375" style="10" customWidth="1"/>
    <col min="7211" max="7211" width="34.85546875" style="10" customWidth="1"/>
    <col min="7212" max="7212" width="30.42578125" style="10" customWidth="1"/>
    <col min="7213" max="7213" width="13.85546875" style="10" customWidth="1"/>
    <col min="7214" max="7214" width="39.42578125" style="10" customWidth="1"/>
    <col min="7215" max="7215" width="23.5703125" style="10" customWidth="1"/>
    <col min="7216" max="7424" width="11.42578125" style="10"/>
    <col min="7425" max="7425" width="3.85546875" style="10" customWidth="1"/>
    <col min="7426" max="7426" width="8.5703125" style="10" customWidth="1"/>
    <col min="7427" max="7427" width="8.140625" style="10" customWidth="1"/>
    <col min="7428" max="7431" width="3.85546875" style="10" customWidth="1"/>
    <col min="7432" max="7432" width="12.42578125" style="10" customWidth="1"/>
    <col min="7433" max="7433" width="3.85546875" style="10" customWidth="1"/>
    <col min="7434" max="7434" width="45.7109375" style="10" customWidth="1"/>
    <col min="7435" max="7437" width="0" style="10" hidden="1" customWidth="1"/>
    <col min="7438" max="7438" width="35.42578125" style="10" customWidth="1"/>
    <col min="7439" max="7439" width="25.85546875" style="10" customWidth="1"/>
    <col min="7440" max="7440" width="28.85546875" style="10" customWidth="1"/>
    <col min="7441" max="7441" width="30.42578125" style="10" customWidth="1"/>
    <col min="7442" max="7442" width="23.5703125" style="10" customWidth="1"/>
    <col min="7443" max="7443" width="24.42578125" style="10" customWidth="1"/>
    <col min="7444" max="7444" width="23" style="10" customWidth="1"/>
    <col min="7445" max="7445" width="26.85546875" style="10" customWidth="1"/>
    <col min="7446" max="7446" width="29" style="10" customWidth="1"/>
    <col min="7447" max="7447" width="34.140625" style="10" customWidth="1"/>
    <col min="7448" max="7448" width="29" style="10" customWidth="1"/>
    <col min="7449" max="7449" width="25" style="10" customWidth="1"/>
    <col min="7450" max="7450" width="36.28515625" style="10" customWidth="1"/>
    <col min="7451" max="7451" width="36.140625" style="10" customWidth="1"/>
    <col min="7452" max="7452" width="31.5703125" style="10" customWidth="1"/>
    <col min="7453" max="7453" width="0" style="10" hidden="1" customWidth="1"/>
    <col min="7454" max="7454" width="35.28515625" style="10" customWidth="1"/>
    <col min="7455" max="7455" width="31" style="10" customWidth="1"/>
    <col min="7456" max="7456" width="34.7109375" style="10" customWidth="1"/>
    <col min="7457" max="7457" width="31.42578125" style="10" customWidth="1"/>
    <col min="7458" max="7458" width="22.5703125" style="10" customWidth="1"/>
    <col min="7459" max="7462" width="0" style="10" hidden="1" customWidth="1"/>
    <col min="7463" max="7463" width="3" style="10" customWidth="1"/>
    <col min="7464" max="7464" width="26.85546875" style="10" customWidth="1"/>
    <col min="7465" max="7465" width="29.85546875" style="10" customWidth="1"/>
    <col min="7466" max="7466" width="32.7109375" style="10" customWidth="1"/>
    <col min="7467" max="7467" width="34.85546875" style="10" customWidth="1"/>
    <col min="7468" max="7468" width="30.42578125" style="10" customWidth="1"/>
    <col min="7469" max="7469" width="13.85546875" style="10" customWidth="1"/>
    <col min="7470" max="7470" width="39.42578125" style="10" customWidth="1"/>
    <col min="7471" max="7471" width="23.5703125" style="10" customWidth="1"/>
    <col min="7472" max="7680" width="11.42578125" style="10"/>
    <col min="7681" max="7681" width="3.85546875" style="10" customWidth="1"/>
    <col min="7682" max="7682" width="8.5703125" style="10" customWidth="1"/>
    <col min="7683" max="7683" width="8.140625" style="10" customWidth="1"/>
    <col min="7684" max="7687" width="3.85546875" style="10" customWidth="1"/>
    <col min="7688" max="7688" width="12.42578125" style="10" customWidth="1"/>
    <col min="7689" max="7689" width="3.85546875" style="10" customWidth="1"/>
    <col min="7690" max="7690" width="45.7109375" style="10" customWidth="1"/>
    <col min="7691" max="7693" width="0" style="10" hidden="1" customWidth="1"/>
    <col min="7694" max="7694" width="35.42578125" style="10" customWidth="1"/>
    <col min="7695" max="7695" width="25.85546875" style="10" customWidth="1"/>
    <col min="7696" max="7696" width="28.85546875" style="10" customWidth="1"/>
    <col min="7697" max="7697" width="30.42578125" style="10" customWidth="1"/>
    <col min="7698" max="7698" width="23.5703125" style="10" customWidth="1"/>
    <col min="7699" max="7699" width="24.42578125" style="10" customWidth="1"/>
    <col min="7700" max="7700" width="23" style="10" customWidth="1"/>
    <col min="7701" max="7701" width="26.85546875" style="10" customWidth="1"/>
    <col min="7702" max="7702" width="29" style="10" customWidth="1"/>
    <col min="7703" max="7703" width="34.140625" style="10" customWidth="1"/>
    <col min="7704" max="7704" width="29" style="10" customWidth="1"/>
    <col min="7705" max="7705" width="25" style="10" customWidth="1"/>
    <col min="7706" max="7706" width="36.28515625" style="10" customWidth="1"/>
    <col min="7707" max="7707" width="36.140625" style="10" customWidth="1"/>
    <col min="7708" max="7708" width="31.5703125" style="10" customWidth="1"/>
    <col min="7709" max="7709" width="0" style="10" hidden="1" customWidth="1"/>
    <col min="7710" max="7710" width="35.28515625" style="10" customWidth="1"/>
    <col min="7711" max="7711" width="31" style="10" customWidth="1"/>
    <col min="7712" max="7712" width="34.7109375" style="10" customWidth="1"/>
    <col min="7713" max="7713" width="31.42578125" style="10" customWidth="1"/>
    <col min="7714" max="7714" width="22.5703125" style="10" customWidth="1"/>
    <col min="7715" max="7718" width="0" style="10" hidden="1" customWidth="1"/>
    <col min="7719" max="7719" width="3" style="10" customWidth="1"/>
    <col min="7720" max="7720" width="26.85546875" style="10" customWidth="1"/>
    <col min="7721" max="7721" width="29.85546875" style="10" customWidth="1"/>
    <col min="7722" max="7722" width="32.7109375" style="10" customWidth="1"/>
    <col min="7723" max="7723" width="34.85546875" style="10" customWidth="1"/>
    <col min="7724" max="7724" width="30.42578125" style="10" customWidth="1"/>
    <col min="7725" max="7725" width="13.85546875" style="10" customWidth="1"/>
    <col min="7726" max="7726" width="39.42578125" style="10" customWidth="1"/>
    <col min="7727" max="7727" width="23.5703125" style="10" customWidth="1"/>
    <col min="7728" max="7936" width="11.42578125" style="10"/>
    <col min="7937" max="7937" width="3.85546875" style="10" customWidth="1"/>
    <col min="7938" max="7938" width="8.5703125" style="10" customWidth="1"/>
    <col min="7939" max="7939" width="8.140625" style="10" customWidth="1"/>
    <col min="7940" max="7943" width="3.85546875" style="10" customWidth="1"/>
    <col min="7944" max="7944" width="12.42578125" style="10" customWidth="1"/>
    <col min="7945" max="7945" width="3.85546875" style="10" customWidth="1"/>
    <col min="7946" max="7946" width="45.7109375" style="10" customWidth="1"/>
    <col min="7947" max="7949" width="0" style="10" hidden="1" customWidth="1"/>
    <col min="7950" max="7950" width="35.42578125" style="10" customWidth="1"/>
    <col min="7951" max="7951" width="25.85546875" style="10" customWidth="1"/>
    <col min="7952" max="7952" width="28.85546875" style="10" customWidth="1"/>
    <col min="7953" max="7953" width="30.42578125" style="10" customWidth="1"/>
    <col min="7954" max="7954" width="23.5703125" style="10" customWidth="1"/>
    <col min="7955" max="7955" width="24.42578125" style="10" customWidth="1"/>
    <col min="7956" max="7956" width="23" style="10" customWidth="1"/>
    <col min="7957" max="7957" width="26.85546875" style="10" customWidth="1"/>
    <col min="7958" max="7958" width="29" style="10" customWidth="1"/>
    <col min="7959" max="7959" width="34.140625" style="10" customWidth="1"/>
    <col min="7960" max="7960" width="29" style="10" customWidth="1"/>
    <col min="7961" max="7961" width="25" style="10" customWidth="1"/>
    <col min="7962" max="7962" width="36.28515625" style="10" customWidth="1"/>
    <col min="7963" max="7963" width="36.140625" style="10" customWidth="1"/>
    <col min="7964" max="7964" width="31.5703125" style="10" customWidth="1"/>
    <col min="7965" max="7965" width="0" style="10" hidden="1" customWidth="1"/>
    <col min="7966" max="7966" width="35.28515625" style="10" customWidth="1"/>
    <col min="7967" max="7967" width="31" style="10" customWidth="1"/>
    <col min="7968" max="7968" width="34.7109375" style="10" customWidth="1"/>
    <col min="7969" max="7969" width="31.42578125" style="10" customWidth="1"/>
    <col min="7970" max="7970" width="22.5703125" style="10" customWidth="1"/>
    <col min="7971" max="7974" width="0" style="10" hidden="1" customWidth="1"/>
    <col min="7975" max="7975" width="3" style="10" customWidth="1"/>
    <col min="7976" max="7976" width="26.85546875" style="10" customWidth="1"/>
    <col min="7977" max="7977" width="29.85546875" style="10" customWidth="1"/>
    <col min="7978" max="7978" width="32.7109375" style="10" customWidth="1"/>
    <col min="7979" max="7979" width="34.85546875" style="10" customWidth="1"/>
    <col min="7980" max="7980" width="30.42578125" style="10" customWidth="1"/>
    <col min="7981" max="7981" width="13.85546875" style="10" customWidth="1"/>
    <col min="7982" max="7982" width="39.42578125" style="10" customWidth="1"/>
    <col min="7983" max="7983" width="23.5703125" style="10" customWidth="1"/>
    <col min="7984" max="8192" width="11.42578125" style="10"/>
    <col min="8193" max="8193" width="3.85546875" style="10" customWidth="1"/>
    <col min="8194" max="8194" width="8.5703125" style="10" customWidth="1"/>
    <col min="8195" max="8195" width="8.140625" style="10" customWidth="1"/>
    <col min="8196" max="8199" width="3.85546875" style="10" customWidth="1"/>
    <col min="8200" max="8200" width="12.42578125" style="10" customWidth="1"/>
    <col min="8201" max="8201" width="3.85546875" style="10" customWidth="1"/>
    <col min="8202" max="8202" width="45.7109375" style="10" customWidth="1"/>
    <col min="8203" max="8205" width="0" style="10" hidden="1" customWidth="1"/>
    <col min="8206" max="8206" width="35.42578125" style="10" customWidth="1"/>
    <col min="8207" max="8207" width="25.85546875" style="10" customWidth="1"/>
    <col min="8208" max="8208" width="28.85546875" style="10" customWidth="1"/>
    <col min="8209" max="8209" width="30.42578125" style="10" customWidth="1"/>
    <col min="8210" max="8210" width="23.5703125" style="10" customWidth="1"/>
    <col min="8211" max="8211" width="24.42578125" style="10" customWidth="1"/>
    <col min="8212" max="8212" width="23" style="10" customWidth="1"/>
    <col min="8213" max="8213" width="26.85546875" style="10" customWidth="1"/>
    <col min="8214" max="8214" width="29" style="10" customWidth="1"/>
    <col min="8215" max="8215" width="34.140625" style="10" customWidth="1"/>
    <col min="8216" max="8216" width="29" style="10" customWidth="1"/>
    <col min="8217" max="8217" width="25" style="10" customWidth="1"/>
    <col min="8218" max="8218" width="36.28515625" style="10" customWidth="1"/>
    <col min="8219" max="8219" width="36.140625" style="10" customWidth="1"/>
    <col min="8220" max="8220" width="31.5703125" style="10" customWidth="1"/>
    <col min="8221" max="8221" width="0" style="10" hidden="1" customWidth="1"/>
    <col min="8222" max="8222" width="35.28515625" style="10" customWidth="1"/>
    <col min="8223" max="8223" width="31" style="10" customWidth="1"/>
    <col min="8224" max="8224" width="34.7109375" style="10" customWidth="1"/>
    <col min="8225" max="8225" width="31.42578125" style="10" customWidth="1"/>
    <col min="8226" max="8226" width="22.5703125" style="10" customWidth="1"/>
    <col min="8227" max="8230" width="0" style="10" hidden="1" customWidth="1"/>
    <col min="8231" max="8231" width="3" style="10" customWidth="1"/>
    <col min="8232" max="8232" width="26.85546875" style="10" customWidth="1"/>
    <col min="8233" max="8233" width="29.85546875" style="10" customWidth="1"/>
    <col min="8234" max="8234" width="32.7109375" style="10" customWidth="1"/>
    <col min="8235" max="8235" width="34.85546875" style="10" customWidth="1"/>
    <col min="8236" max="8236" width="30.42578125" style="10" customWidth="1"/>
    <col min="8237" max="8237" width="13.85546875" style="10" customWidth="1"/>
    <col min="8238" max="8238" width="39.42578125" style="10" customWidth="1"/>
    <col min="8239" max="8239" width="23.5703125" style="10" customWidth="1"/>
    <col min="8240" max="8448" width="11.42578125" style="10"/>
    <col min="8449" max="8449" width="3.85546875" style="10" customWidth="1"/>
    <col min="8450" max="8450" width="8.5703125" style="10" customWidth="1"/>
    <col min="8451" max="8451" width="8.140625" style="10" customWidth="1"/>
    <col min="8452" max="8455" width="3.85546875" style="10" customWidth="1"/>
    <col min="8456" max="8456" width="12.42578125" style="10" customWidth="1"/>
    <col min="8457" max="8457" width="3.85546875" style="10" customWidth="1"/>
    <col min="8458" max="8458" width="45.7109375" style="10" customWidth="1"/>
    <col min="8459" max="8461" width="0" style="10" hidden="1" customWidth="1"/>
    <col min="8462" max="8462" width="35.42578125" style="10" customWidth="1"/>
    <col min="8463" max="8463" width="25.85546875" style="10" customWidth="1"/>
    <col min="8464" max="8464" width="28.85546875" style="10" customWidth="1"/>
    <col min="8465" max="8465" width="30.42578125" style="10" customWidth="1"/>
    <col min="8466" max="8466" width="23.5703125" style="10" customWidth="1"/>
    <col min="8467" max="8467" width="24.42578125" style="10" customWidth="1"/>
    <col min="8468" max="8468" width="23" style="10" customWidth="1"/>
    <col min="8469" max="8469" width="26.85546875" style="10" customWidth="1"/>
    <col min="8470" max="8470" width="29" style="10" customWidth="1"/>
    <col min="8471" max="8471" width="34.140625" style="10" customWidth="1"/>
    <col min="8472" max="8472" width="29" style="10" customWidth="1"/>
    <col min="8473" max="8473" width="25" style="10" customWidth="1"/>
    <col min="8474" max="8474" width="36.28515625" style="10" customWidth="1"/>
    <col min="8475" max="8475" width="36.140625" style="10" customWidth="1"/>
    <col min="8476" max="8476" width="31.5703125" style="10" customWidth="1"/>
    <col min="8477" max="8477" width="0" style="10" hidden="1" customWidth="1"/>
    <col min="8478" max="8478" width="35.28515625" style="10" customWidth="1"/>
    <col min="8479" max="8479" width="31" style="10" customWidth="1"/>
    <col min="8480" max="8480" width="34.7109375" style="10" customWidth="1"/>
    <col min="8481" max="8481" width="31.42578125" style="10" customWidth="1"/>
    <col min="8482" max="8482" width="22.5703125" style="10" customWidth="1"/>
    <col min="8483" max="8486" width="0" style="10" hidden="1" customWidth="1"/>
    <col min="8487" max="8487" width="3" style="10" customWidth="1"/>
    <col min="8488" max="8488" width="26.85546875" style="10" customWidth="1"/>
    <col min="8489" max="8489" width="29.85546875" style="10" customWidth="1"/>
    <col min="8490" max="8490" width="32.7109375" style="10" customWidth="1"/>
    <col min="8491" max="8491" width="34.85546875" style="10" customWidth="1"/>
    <col min="8492" max="8492" width="30.42578125" style="10" customWidth="1"/>
    <col min="8493" max="8493" width="13.85546875" style="10" customWidth="1"/>
    <col min="8494" max="8494" width="39.42578125" style="10" customWidth="1"/>
    <col min="8495" max="8495" width="23.5703125" style="10" customWidth="1"/>
    <col min="8496" max="8704" width="11.42578125" style="10"/>
    <col min="8705" max="8705" width="3.85546875" style="10" customWidth="1"/>
    <col min="8706" max="8706" width="8.5703125" style="10" customWidth="1"/>
    <col min="8707" max="8707" width="8.140625" style="10" customWidth="1"/>
    <col min="8708" max="8711" width="3.85546875" style="10" customWidth="1"/>
    <col min="8712" max="8712" width="12.42578125" style="10" customWidth="1"/>
    <col min="8713" max="8713" width="3.85546875" style="10" customWidth="1"/>
    <col min="8714" max="8714" width="45.7109375" style="10" customWidth="1"/>
    <col min="8715" max="8717" width="0" style="10" hidden="1" customWidth="1"/>
    <col min="8718" max="8718" width="35.42578125" style="10" customWidth="1"/>
    <col min="8719" max="8719" width="25.85546875" style="10" customWidth="1"/>
    <col min="8720" max="8720" width="28.85546875" style="10" customWidth="1"/>
    <col min="8721" max="8721" width="30.42578125" style="10" customWidth="1"/>
    <col min="8722" max="8722" width="23.5703125" style="10" customWidth="1"/>
    <col min="8723" max="8723" width="24.42578125" style="10" customWidth="1"/>
    <col min="8724" max="8724" width="23" style="10" customWidth="1"/>
    <col min="8725" max="8725" width="26.85546875" style="10" customWidth="1"/>
    <col min="8726" max="8726" width="29" style="10" customWidth="1"/>
    <col min="8727" max="8727" width="34.140625" style="10" customWidth="1"/>
    <col min="8728" max="8728" width="29" style="10" customWidth="1"/>
    <col min="8729" max="8729" width="25" style="10" customWidth="1"/>
    <col min="8730" max="8730" width="36.28515625" style="10" customWidth="1"/>
    <col min="8731" max="8731" width="36.140625" style="10" customWidth="1"/>
    <col min="8732" max="8732" width="31.5703125" style="10" customWidth="1"/>
    <col min="8733" max="8733" width="0" style="10" hidden="1" customWidth="1"/>
    <col min="8734" max="8734" width="35.28515625" style="10" customWidth="1"/>
    <col min="8735" max="8735" width="31" style="10" customWidth="1"/>
    <col min="8736" max="8736" width="34.7109375" style="10" customWidth="1"/>
    <col min="8737" max="8737" width="31.42578125" style="10" customWidth="1"/>
    <col min="8738" max="8738" width="22.5703125" style="10" customWidth="1"/>
    <col min="8739" max="8742" width="0" style="10" hidden="1" customWidth="1"/>
    <col min="8743" max="8743" width="3" style="10" customWidth="1"/>
    <col min="8744" max="8744" width="26.85546875" style="10" customWidth="1"/>
    <col min="8745" max="8745" width="29.85546875" style="10" customWidth="1"/>
    <col min="8746" max="8746" width="32.7109375" style="10" customWidth="1"/>
    <col min="8747" max="8747" width="34.85546875" style="10" customWidth="1"/>
    <col min="8748" max="8748" width="30.42578125" style="10" customWidth="1"/>
    <col min="8749" max="8749" width="13.85546875" style="10" customWidth="1"/>
    <col min="8750" max="8750" width="39.42578125" style="10" customWidth="1"/>
    <col min="8751" max="8751" width="23.5703125" style="10" customWidth="1"/>
    <col min="8752" max="8960" width="11.42578125" style="10"/>
    <col min="8961" max="8961" width="3.85546875" style="10" customWidth="1"/>
    <col min="8962" max="8962" width="8.5703125" style="10" customWidth="1"/>
    <col min="8963" max="8963" width="8.140625" style="10" customWidth="1"/>
    <col min="8964" max="8967" width="3.85546875" style="10" customWidth="1"/>
    <col min="8968" max="8968" width="12.42578125" style="10" customWidth="1"/>
    <col min="8969" max="8969" width="3.85546875" style="10" customWidth="1"/>
    <col min="8970" max="8970" width="45.7109375" style="10" customWidth="1"/>
    <col min="8971" max="8973" width="0" style="10" hidden="1" customWidth="1"/>
    <col min="8974" max="8974" width="35.42578125" style="10" customWidth="1"/>
    <col min="8975" max="8975" width="25.85546875" style="10" customWidth="1"/>
    <col min="8976" max="8976" width="28.85546875" style="10" customWidth="1"/>
    <col min="8977" max="8977" width="30.42578125" style="10" customWidth="1"/>
    <col min="8978" max="8978" width="23.5703125" style="10" customWidth="1"/>
    <col min="8979" max="8979" width="24.42578125" style="10" customWidth="1"/>
    <col min="8980" max="8980" width="23" style="10" customWidth="1"/>
    <col min="8981" max="8981" width="26.85546875" style="10" customWidth="1"/>
    <col min="8982" max="8982" width="29" style="10" customWidth="1"/>
    <col min="8983" max="8983" width="34.140625" style="10" customWidth="1"/>
    <col min="8984" max="8984" width="29" style="10" customWidth="1"/>
    <col min="8985" max="8985" width="25" style="10" customWidth="1"/>
    <col min="8986" max="8986" width="36.28515625" style="10" customWidth="1"/>
    <col min="8987" max="8987" width="36.140625" style="10" customWidth="1"/>
    <col min="8988" max="8988" width="31.5703125" style="10" customWidth="1"/>
    <col min="8989" max="8989" width="0" style="10" hidden="1" customWidth="1"/>
    <col min="8990" max="8990" width="35.28515625" style="10" customWidth="1"/>
    <col min="8991" max="8991" width="31" style="10" customWidth="1"/>
    <col min="8992" max="8992" width="34.7109375" style="10" customWidth="1"/>
    <col min="8993" max="8993" width="31.42578125" style="10" customWidth="1"/>
    <col min="8994" max="8994" width="22.5703125" style="10" customWidth="1"/>
    <col min="8995" max="8998" width="0" style="10" hidden="1" customWidth="1"/>
    <col min="8999" max="8999" width="3" style="10" customWidth="1"/>
    <col min="9000" max="9000" width="26.85546875" style="10" customWidth="1"/>
    <col min="9001" max="9001" width="29.85546875" style="10" customWidth="1"/>
    <col min="9002" max="9002" width="32.7109375" style="10" customWidth="1"/>
    <col min="9003" max="9003" width="34.85546875" style="10" customWidth="1"/>
    <col min="9004" max="9004" width="30.42578125" style="10" customWidth="1"/>
    <col min="9005" max="9005" width="13.85546875" style="10" customWidth="1"/>
    <col min="9006" max="9006" width="39.42578125" style="10" customWidth="1"/>
    <col min="9007" max="9007" width="23.5703125" style="10" customWidth="1"/>
    <col min="9008" max="9216" width="11.42578125" style="10"/>
    <col min="9217" max="9217" width="3.85546875" style="10" customWidth="1"/>
    <col min="9218" max="9218" width="8.5703125" style="10" customWidth="1"/>
    <col min="9219" max="9219" width="8.140625" style="10" customWidth="1"/>
    <col min="9220" max="9223" width="3.85546875" style="10" customWidth="1"/>
    <col min="9224" max="9224" width="12.42578125" style="10" customWidth="1"/>
    <col min="9225" max="9225" width="3.85546875" style="10" customWidth="1"/>
    <col min="9226" max="9226" width="45.7109375" style="10" customWidth="1"/>
    <col min="9227" max="9229" width="0" style="10" hidden="1" customWidth="1"/>
    <col min="9230" max="9230" width="35.42578125" style="10" customWidth="1"/>
    <col min="9231" max="9231" width="25.85546875" style="10" customWidth="1"/>
    <col min="9232" max="9232" width="28.85546875" style="10" customWidth="1"/>
    <col min="9233" max="9233" width="30.42578125" style="10" customWidth="1"/>
    <col min="9234" max="9234" width="23.5703125" style="10" customWidth="1"/>
    <col min="9235" max="9235" width="24.42578125" style="10" customWidth="1"/>
    <col min="9236" max="9236" width="23" style="10" customWidth="1"/>
    <col min="9237" max="9237" width="26.85546875" style="10" customWidth="1"/>
    <col min="9238" max="9238" width="29" style="10" customWidth="1"/>
    <col min="9239" max="9239" width="34.140625" style="10" customWidth="1"/>
    <col min="9240" max="9240" width="29" style="10" customWidth="1"/>
    <col min="9241" max="9241" width="25" style="10" customWidth="1"/>
    <col min="9242" max="9242" width="36.28515625" style="10" customWidth="1"/>
    <col min="9243" max="9243" width="36.140625" style="10" customWidth="1"/>
    <col min="9244" max="9244" width="31.5703125" style="10" customWidth="1"/>
    <col min="9245" max="9245" width="0" style="10" hidden="1" customWidth="1"/>
    <col min="9246" max="9246" width="35.28515625" style="10" customWidth="1"/>
    <col min="9247" max="9247" width="31" style="10" customWidth="1"/>
    <col min="9248" max="9248" width="34.7109375" style="10" customWidth="1"/>
    <col min="9249" max="9249" width="31.42578125" style="10" customWidth="1"/>
    <col min="9250" max="9250" width="22.5703125" style="10" customWidth="1"/>
    <col min="9251" max="9254" width="0" style="10" hidden="1" customWidth="1"/>
    <col min="9255" max="9255" width="3" style="10" customWidth="1"/>
    <col min="9256" max="9256" width="26.85546875" style="10" customWidth="1"/>
    <col min="9257" max="9257" width="29.85546875" style="10" customWidth="1"/>
    <col min="9258" max="9258" width="32.7109375" style="10" customWidth="1"/>
    <col min="9259" max="9259" width="34.85546875" style="10" customWidth="1"/>
    <col min="9260" max="9260" width="30.42578125" style="10" customWidth="1"/>
    <col min="9261" max="9261" width="13.85546875" style="10" customWidth="1"/>
    <col min="9262" max="9262" width="39.42578125" style="10" customWidth="1"/>
    <col min="9263" max="9263" width="23.5703125" style="10" customWidth="1"/>
    <col min="9264" max="9472" width="11.42578125" style="10"/>
    <col min="9473" max="9473" width="3.85546875" style="10" customWidth="1"/>
    <col min="9474" max="9474" width="8.5703125" style="10" customWidth="1"/>
    <col min="9475" max="9475" width="8.140625" style="10" customWidth="1"/>
    <col min="9476" max="9479" width="3.85546875" style="10" customWidth="1"/>
    <col min="9480" max="9480" width="12.42578125" style="10" customWidth="1"/>
    <col min="9481" max="9481" width="3.85546875" style="10" customWidth="1"/>
    <col min="9482" max="9482" width="45.7109375" style="10" customWidth="1"/>
    <col min="9483" max="9485" width="0" style="10" hidden="1" customWidth="1"/>
    <col min="9486" max="9486" width="35.42578125" style="10" customWidth="1"/>
    <col min="9487" max="9487" width="25.85546875" style="10" customWidth="1"/>
    <col min="9488" max="9488" width="28.85546875" style="10" customWidth="1"/>
    <col min="9489" max="9489" width="30.42578125" style="10" customWidth="1"/>
    <col min="9490" max="9490" width="23.5703125" style="10" customWidth="1"/>
    <col min="9491" max="9491" width="24.42578125" style="10" customWidth="1"/>
    <col min="9492" max="9492" width="23" style="10" customWidth="1"/>
    <col min="9493" max="9493" width="26.85546875" style="10" customWidth="1"/>
    <col min="9494" max="9494" width="29" style="10" customWidth="1"/>
    <col min="9495" max="9495" width="34.140625" style="10" customWidth="1"/>
    <col min="9496" max="9496" width="29" style="10" customWidth="1"/>
    <col min="9497" max="9497" width="25" style="10" customWidth="1"/>
    <col min="9498" max="9498" width="36.28515625" style="10" customWidth="1"/>
    <col min="9499" max="9499" width="36.140625" style="10" customWidth="1"/>
    <col min="9500" max="9500" width="31.5703125" style="10" customWidth="1"/>
    <col min="9501" max="9501" width="0" style="10" hidden="1" customWidth="1"/>
    <col min="9502" max="9502" width="35.28515625" style="10" customWidth="1"/>
    <col min="9503" max="9503" width="31" style="10" customWidth="1"/>
    <col min="9504" max="9504" width="34.7109375" style="10" customWidth="1"/>
    <col min="9505" max="9505" width="31.42578125" style="10" customWidth="1"/>
    <col min="9506" max="9506" width="22.5703125" style="10" customWidth="1"/>
    <col min="9507" max="9510" width="0" style="10" hidden="1" customWidth="1"/>
    <col min="9511" max="9511" width="3" style="10" customWidth="1"/>
    <col min="9512" max="9512" width="26.85546875" style="10" customWidth="1"/>
    <col min="9513" max="9513" width="29.85546875" style="10" customWidth="1"/>
    <col min="9514" max="9514" width="32.7109375" style="10" customWidth="1"/>
    <col min="9515" max="9515" width="34.85546875" style="10" customWidth="1"/>
    <col min="9516" max="9516" width="30.42578125" style="10" customWidth="1"/>
    <col min="9517" max="9517" width="13.85546875" style="10" customWidth="1"/>
    <col min="9518" max="9518" width="39.42578125" style="10" customWidth="1"/>
    <col min="9519" max="9519" width="23.5703125" style="10" customWidth="1"/>
    <col min="9520" max="9728" width="11.42578125" style="10"/>
    <col min="9729" max="9729" width="3.85546875" style="10" customWidth="1"/>
    <col min="9730" max="9730" width="8.5703125" style="10" customWidth="1"/>
    <col min="9731" max="9731" width="8.140625" style="10" customWidth="1"/>
    <col min="9732" max="9735" width="3.85546875" style="10" customWidth="1"/>
    <col min="9736" max="9736" width="12.42578125" style="10" customWidth="1"/>
    <col min="9737" max="9737" width="3.85546875" style="10" customWidth="1"/>
    <col min="9738" max="9738" width="45.7109375" style="10" customWidth="1"/>
    <col min="9739" max="9741" width="0" style="10" hidden="1" customWidth="1"/>
    <col min="9742" max="9742" width="35.42578125" style="10" customWidth="1"/>
    <col min="9743" max="9743" width="25.85546875" style="10" customWidth="1"/>
    <col min="9744" max="9744" width="28.85546875" style="10" customWidth="1"/>
    <col min="9745" max="9745" width="30.42578125" style="10" customWidth="1"/>
    <col min="9746" max="9746" width="23.5703125" style="10" customWidth="1"/>
    <col min="9747" max="9747" width="24.42578125" style="10" customWidth="1"/>
    <col min="9748" max="9748" width="23" style="10" customWidth="1"/>
    <col min="9749" max="9749" width="26.85546875" style="10" customWidth="1"/>
    <col min="9750" max="9750" width="29" style="10" customWidth="1"/>
    <col min="9751" max="9751" width="34.140625" style="10" customWidth="1"/>
    <col min="9752" max="9752" width="29" style="10" customWidth="1"/>
    <col min="9753" max="9753" width="25" style="10" customWidth="1"/>
    <col min="9754" max="9754" width="36.28515625" style="10" customWidth="1"/>
    <col min="9755" max="9755" width="36.140625" style="10" customWidth="1"/>
    <col min="9756" max="9756" width="31.5703125" style="10" customWidth="1"/>
    <col min="9757" max="9757" width="0" style="10" hidden="1" customWidth="1"/>
    <col min="9758" max="9758" width="35.28515625" style="10" customWidth="1"/>
    <col min="9759" max="9759" width="31" style="10" customWidth="1"/>
    <col min="9760" max="9760" width="34.7109375" style="10" customWidth="1"/>
    <col min="9761" max="9761" width="31.42578125" style="10" customWidth="1"/>
    <col min="9762" max="9762" width="22.5703125" style="10" customWidth="1"/>
    <col min="9763" max="9766" width="0" style="10" hidden="1" customWidth="1"/>
    <col min="9767" max="9767" width="3" style="10" customWidth="1"/>
    <col min="9768" max="9768" width="26.85546875" style="10" customWidth="1"/>
    <col min="9769" max="9769" width="29.85546875" style="10" customWidth="1"/>
    <col min="9770" max="9770" width="32.7109375" style="10" customWidth="1"/>
    <col min="9771" max="9771" width="34.85546875" style="10" customWidth="1"/>
    <col min="9772" max="9772" width="30.42578125" style="10" customWidth="1"/>
    <col min="9773" max="9773" width="13.85546875" style="10" customWidth="1"/>
    <col min="9774" max="9774" width="39.42578125" style="10" customWidth="1"/>
    <col min="9775" max="9775" width="23.5703125" style="10" customWidth="1"/>
    <col min="9776" max="9984" width="11.42578125" style="10"/>
    <col min="9985" max="9985" width="3.85546875" style="10" customWidth="1"/>
    <col min="9986" max="9986" width="8.5703125" style="10" customWidth="1"/>
    <col min="9987" max="9987" width="8.140625" style="10" customWidth="1"/>
    <col min="9988" max="9991" width="3.85546875" style="10" customWidth="1"/>
    <col min="9992" max="9992" width="12.42578125" style="10" customWidth="1"/>
    <col min="9993" max="9993" width="3.85546875" style="10" customWidth="1"/>
    <col min="9994" max="9994" width="45.7109375" style="10" customWidth="1"/>
    <col min="9995" max="9997" width="0" style="10" hidden="1" customWidth="1"/>
    <col min="9998" max="9998" width="35.42578125" style="10" customWidth="1"/>
    <col min="9999" max="9999" width="25.85546875" style="10" customWidth="1"/>
    <col min="10000" max="10000" width="28.85546875" style="10" customWidth="1"/>
    <col min="10001" max="10001" width="30.42578125" style="10" customWidth="1"/>
    <col min="10002" max="10002" width="23.5703125" style="10" customWidth="1"/>
    <col min="10003" max="10003" width="24.42578125" style="10" customWidth="1"/>
    <col min="10004" max="10004" width="23" style="10" customWidth="1"/>
    <col min="10005" max="10005" width="26.85546875" style="10" customWidth="1"/>
    <col min="10006" max="10006" width="29" style="10" customWidth="1"/>
    <col min="10007" max="10007" width="34.140625" style="10" customWidth="1"/>
    <col min="10008" max="10008" width="29" style="10" customWidth="1"/>
    <col min="10009" max="10009" width="25" style="10" customWidth="1"/>
    <col min="10010" max="10010" width="36.28515625" style="10" customWidth="1"/>
    <col min="10011" max="10011" width="36.140625" style="10" customWidth="1"/>
    <col min="10012" max="10012" width="31.5703125" style="10" customWidth="1"/>
    <col min="10013" max="10013" width="0" style="10" hidden="1" customWidth="1"/>
    <col min="10014" max="10014" width="35.28515625" style="10" customWidth="1"/>
    <col min="10015" max="10015" width="31" style="10" customWidth="1"/>
    <col min="10016" max="10016" width="34.7109375" style="10" customWidth="1"/>
    <col min="10017" max="10017" width="31.42578125" style="10" customWidth="1"/>
    <col min="10018" max="10018" width="22.5703125" style="10" customWidth="1"/>
    <col min="10019" max="10022" width="0" style="10" hidden="1" customWidth="1"/>
    <col min="10023" max="10023" width="3" style="10" customWidth="1"/>
    <col min="10024" max="10024" width="26.85546875" style="10" customWidth="1"/>
    <col min="10025" max="10025" width="29.85546875" style="10" customWidth="1"/>
    <col min="10026" max="10026" width="32.7109375" style="10" customWidth="1"/>
    <col min="10027" max="10027" width="34.85546875" style="10" customWidth="1"/>
    <col min="10028" max="10028" width="30.42578125" style="10" customWidth="1"/>
    <col min="10029" max="10029" width="13.85546875" style="10" customWidth="1"/>
    <col min="10030" max="10030" width="39.42578125" style="10" customWidth="1"/>
    <col min="10031" max="10031" width="23.5703125" style="10" customWidth="1"/>
    <col min="10032" max="10240" width="11.42578125" style="10"/>
    <col min="10241" max="10241" width="3.85546875" style="10" customWidth="1"/>
    <col min="10242" max="10242" width="8.5703125" style="10" customWidth="1"/>
    <col min="10243" max="10243" width="8.140625" style="10" customWidth="1"/>
    <col min="10244" max="10247" width="3.85546875" style="10" customWidth="1"/>
    <col min="10248" max="10248" width="12.42578125" style="10" customWidth="1"/>
    <col min="10249" max="10249" width="3.85546875" style="10" customWidth="1"/>
    <col min="10250" max="10250" width="45.7109375" style="10" customWidth="1"/>
    <col min="10251" max="10253" width="0" style="10" hidden="1" customWidth="1"/>
    <col min="10254" max="10254" width="35.42578125" style="10" customWidth="1"/>
    <col min="10255" max="10255" width="25.85546875" style="10" customWidth="1"/>
    <col min="10256" max="10256" width="28.85546875" style="10" customWidth="1"/>
    <col min="10257" max="10257" width="30.42578125" style="10" customWidth="1"/>
    <col min="10258" max="10258" width="23.5703125" style="10" customWidth="1"/>
    <col min="10259" max="10259" width="24.42578125" style="10" customWidth="1"/>
    <col min="10260" max="10260" width="23" style="10" customWidth="1"/>
    <col min="10261" max="10261" width="26.85546875" style="10" customWidth="1"/>
    <col min="10262" max="10262" width="29" style="10" customWidth="1"/>
    <col min="10263" max="10263" width="34.140625" style="10" customWidth="1"/>
    <col min="10264" max="10264" width="29" style="10" customWidth="1"/>
    <col min="10265" max="10265" width="25" style="10" customWidth="1"/>
    <col min="10266" max="10266" width="36.28515625" style="10" customWidth="1"/>
    <col min="10267" max="10267" width="36.140625" style="10" customWidth="1"/>
    <col min="10268" max="10268" width="31.5703125" style="10" customWidth="1"/>
    <col min="10269" max="10269" width="0" style="10" hidden="1" customWidth="1"/>
    <col min="10270" max="10270" width="35.28515625" style="10" customWidth="1"/>
    <col min="10271" max="10271" width="31" style="10" customWidth="1"/>
    <col min="10272" max="10272" width="34.7109375" style="10" customWidth="1"/>
    <col min="10273" max="10273" width="31.42578125" style="10" customWidth="1"/>
    <col min="10274" max="10274" width="22.5703125" style="10" customWidth="1"/>
    <col min="10275" max="10278" width="0" style="10" hidden="1" customWidth="1"/>
    <col min="10279" max="10279" width="3" style="10" customWidth="1"/>
    <col min="10280" max="10280" width="26.85546875" style="10" customWidth="1"/>
    <col min="10281" max="10281" width="29.85546875" style="10" customWidth="1"/>
    <col min="10282" max="10282" width="32.7109375" style="10" customWidth="1"/>
    <col min="10283" max="10283" width="34.85546875" style="10" customWidth="1"/>
    <col min="10284" max="10284" width="30.42578125" style="10" customWidth="1"/>
    <col min="10285" max="10285" width="13.85546875" style="10" customWidth="1"/>
    <col min="10286" max="10286" width="39.42578125" style="10" customWidth="1"/>
    <col min="10287" max="10287" width="23.5703125" style="10" customWidth="1"/>
    <col min="10288" max="10496" width="11.42578125" style="10"/>
    <col min="10497" max="10497" width="3.85546875" style="10" customWidth="1"/>
    <col min="10498" max="10498" width="8.5703125" style="10" customWidth="1"/>
    <col min="10499" max="10499" width="8.140625" style="10" customWidth="1"/>
    <col min="10500" max="10503" width="3.85546875" style="10" customWidth="1"/>
    <col min="10504" max="10504" width="12.42578125" style="10" customWidth="1"/>
    <col min="10505" max="10505" width="3.85546875" style="10" customWidth="1"/>
    <col min="10506" max="10506" width="45.7109375" style="10" customWidth="1"/>
    <col min="10507" max="10509" width="0" style="10" hidden="1" customWidth="1"/>
    <col min="10510" max="10510" width="35.42578125" style="10" customWidth="1"/>
    <col min="10511" max="10511" width="25.85546875" style="10" customWidth="1"/>
    <col min="10512" max="10512" width="28.85546875" style="10" customWidth="1"/>
    <col min="10513" max="10513" width="30.42578125" style="10" customWidth="1"/>
    <col min="10514" max="10514" width="23.5703125" style="10" customWidth="1"/>
    <col min="10515" max="10515" width="24.42578125" style="10" customWidth="1"/>
    <col min="10516" max="10516" width="23" style="10" customWidth="1"/>
    <col min="10517" max="10517" width="26.85546875" style="10" customWidth="1"/>
    <col min="10518" max="10518" width="29" style="10" customWidth="1"/>
    <col min="10519" max="10519" width="34.140625" style="10" customWidth="1"/>
    <col min="10520" max="10520" width="29" style="10" customWidth="1"/>
    <col min="10521" max="10521" width="25" style="10" customWidth="1"/>
    <col min="10522" max="10522" width="36.28515625" style="10" customWidth="1"/>
    <col min="10523" max="10523" width="36.140625" style="10" customWidth="1"/>
    <col min="10524" max="10524" width="31.5703125" style="10" customWidth="1"/>
    <col min="10525" max="10525" width="0" style="10" hidden="1" customWidth="1"/>
    <col min="10526" max="10526" width="35.28515625" style="10" customWidth="1"/>
    <col min="10527" max="10527" width="31" style="10" customWidth="1"/>
    <col min="10528" max="10528" width="34.7109375" style="10" customWidth="1"/>
    <col min="10529" max="10529" width="31.42578125" style="10" customWidth="1"/>
    <col min="10530" max="10530" width="22.5703125" style="10" customWidth="1"/>
    <col min="10531" max="10534" width="0" style="10" hidden="1" customWidth="1"/>
    <col min="10535" max="10535" width="3" style="10" customWidth="1"/>
    <col min="10536" max="10536" width="26.85546875" style="10" customWidth="1"/>
    <col min="10537" max="10537" width="29.85546875" style="10" customWidth="1"/>
    <col min="10538" max="10538" width="32.7109375" style="10" customWidth="1"/>
    <col min="10539" max="10539" width="34.85546875" style="10" customWidth="1"/>
    <col min="10540" max="10540" width="30.42578125" style="10" customWidth="1"/>
    <col min="10541" max="10541" width="13.85546875" style="10" customWidth="1"/>
    <col min="10542" max="10542" width="39.42578125" style="10" customWidth="1"/>
    <col min="10543" max="10543" width="23.5703125" style="10" customWidth="1"/>
    <col min="10544" max="10752" width="11.42578125" style="10"/>
    <col min="10753" max="10753" width="3.85546875" style="10" customWidth="1"/>
    <col min="10754" max="10754" width="8.5703125" style="10" customWidth="1"/>
    <col min="10755" max="10755" width="8.140625" style="10" customWidth="1"/>
    <col min="10756" max="10759" width="3.85546875" style="10" customWidth="1"/>
    <col min="10760" max="10760" width="12.42578125" style="10" customWidth="1"/>
    <col min="10761" max="10761" width="3.85546875" style="10" customWidth="1"/>
    <col min="10762" max="10762" width="45.7109375" style="10" customWidth="1"/>
    <col min="10763" max="10765" width="0" style="10" hidden="1" customWidth="1"/>
    <col min="10766" max="10766" width="35.42578125" style="10" customWidth="1"/>
    <col min="10767" max="10767" width="25.85546875" style="10" customWidth="1"/>
    <col min="10768" max="10768" width="28.85546875" style="10" customWidth="1"/>
    <col min="10769" max="10769" width="30.42578125" style="10" customWidth="1"/>
    <col min="10770" max="10770" width="23.5703125" style="10" customWidth="1"/>
    <col min="10771" max="10771" width="24.42578125" style="10" customWidth="1"/>
    <col min="10772" max="10772" width="23" style="10" customWidth="1"/>
    <col min="10773" max="10773" width="26.85546875" style="10" customWidth="1"/>
    <col min="10774" max="10774" width="29" style="10" customWidth="1"/>
    <col min="10775" max="10775" width="34.140625" style="10" customWidth="1"/>
    <col min="10776" max="10776" width="29" style="10" customWidth="1"/>
    <col min="10777" max="10777" width="25" style="10" customWidth="1"/>
    <col min="10778" max="10778" width="36.28515625" style="10" customWidth="1"/>
    <col min="10779" max="10779" width="36.140625" style="10" customWidth="1"/>
    <col min="10780" max="10780" width="31.5703125" style="10" customWidth="1"/>
    <col min="10781" max="10781" width="0" style="10" hidden="1" customWidth="1"/>
    <col min="10782" max="10782" width="35.28515625" style="10" customWidth="1"/>
    <col min="10783" max="10783" width="31" style="10" customWidth="1"/>
    <col min="10784" max="10784" width="34.7109375" style="10" customWidth="1"/>
    <col min="10785" max="10785" width="31.42578125" style="10" customWidth="1"/>
    <col min="10786" max="10786" width="22.5703125" style="10" customWidth="1"/>
    <col min="10787" max="10790" width="0" style="10" hidden="1" customWidth="1"/>
    <col min="10791" max="10791" width="3" style="10" customWidth="1"/>
    <col min="10792" max="10792" width="26.85546875" style="10" customWidth="1"/>
    <col min="10793" max="10793" width="29.85546875" style="10" customWidth="1"/>
    <col min="10794" max="10794" width="32.7109375" style="10" customWidth="1"/>
    <col min="10795" max="10795" width="34.85546875" style="10" customWidth="1"/>
    <col min="10796" max="10796" width="30.42578125" style="10" customWidth="1"/>
    <col min="10797" max="10797" width="13.85546875" style="10" customWidth="1"/>
    <col min="10798" max="10798" width="39.42578125" style="10" customWidth="1"/>
    <col min="10799" max="10799" width="23.5703125" style="10" customWidth="1"/>
    <col min="10800" max="11008" width="11.42578125" style="10"/>
    <col min="11009" max="11009" width="3.85546875" style="10" customWidth="1"/>
    <col min="11010" max="11010" width="8.5703125" style="10" customWidth="1"/>
    <col min="11011" max="11011" width="8.140625" style="10" customWidth="1"/>
    <col min="11012" max="11015" width="3.85546875" style="10" customWidth="1"/>
    <col min="11016" max="11016" width="12.42578125" style="10" customWidth="1"/>
    <col min="11017" max="11017" width="3.85546875" style="10" customWidth="1"/>
    <col min="11018" max="11018" width="45.7109375" style="10" customWidth="1"/>
    <col min="11019" max="11021" width="0" style="10" hidden="1" customWidth="1"/>
    <col min="11022" max="11022" width="35.42578125" style="10" customWidth="1"/>
    <col min="11023" max="11023" width="25.85546875" style="10" customWidth="1"/>
    <col min="11024" max="11024" width="28.85546875" style="10" customWidth="1"/>
    <col min="11025" max="11025" width="30.42578125" style="10" customWidth="1"/>
    <col min="11026" max="11026" width="23.5703125" style="10" customWidth="1"/>
    <col min="11027" max="11027" width="24.42578125" style="10" customWidth="1"/>
    <col min="11028" max="11028" width="23" style="10" customWidth="1"/>
    <col min="11029" max="11029" width="26.85546875" style="10" customWidth="1"/>
    <col min="11030" max="11030" width="29" style="10" customWidth="1"/>
    <col min="11031" max="11031" width="34.140625" style="10" customWidth="1"/>
    <col min="11032" max="11032" width="29" style="10" customWidth="1"/>
    <col min="11033" max="11033" width="25" style="10" customWidth="1"/>
    <col min="11034" max="11034" width="36.28515625" style="10" customWidth="1"/>
    <col min="11035" max="11035" width="36.140625" style="10" customWidth="1"/>
    <col min="11036" max="11036" width="31.5703125" style="10" customWidth="1"/>
    <col min="11037" max="11037" width="0" style="10" hidden="1" customWidth="1"/>
    <col min="11038" max="11038" width="35.28515625" style="10" customWidth="1"/>
    <col min="11039" max="11039" width="31" style="10" customWidth="1"/>
    <col min="11040" max="11040" width="34.7109375" style="10" customWidth="1"/>
    <col min="11041" max="11041" width="31.42578125" style="10" customWidth="1"/>
    <col min="11042" max="11042" width="22.5703125" style="10" customWidth="1"/>
    <col min="11043" max="11046" width="0" style="10" hidden="1" customWidth="1"/>
    <col min="11047" max="11047" width="3" style="10" customWidth="1"/>
    <col min="11048" max="11048" width="26.85546875" style="10" customWidth="1"/>
    <col min="11049" max="11049" width="29.85546875" style="10" customWidth="1"/>
    <col min="11050" max="11050" width="32.7109375" style="10" customWidth="1"/>
    <col min="11051" max="11051" width="34.85546875" style="10" customWidth="1"/>
    <col min="11052" max="11052" width="30.42578125" style="10" customWidth="1"/>
    <col min="11053" max="11053" width="13.85546875" style="10" customWidth="1"/>
    <col min="11054" max="11054" width="39.42578125" style="10" customWidth="1"/>
    <col min="11055" max="11055" width="23.5703125" style="10" customWidth="1"/>
    <col min="11056" max="11264" width="11.42578125" style="10"/>
    <col min="11265" max="11265" width="3.85546875" style="10" customWidth="1"/>
    <col min="11266" max="11266" width="8.5703125" style="10" customWidth="1"/>
    <col min="11267" max="11267" width="8.140625" style="10" customWidth="1"/>
    <col min="11268" max="11271" width="3.85546875" style="10" customWidth="1"/>
    <col min="11272" max="11272" width="12.42578125" style="10" customWidth="1"/>
    <col min="11273" max="11273" width="3.85546875" style="10" customWidth="1"/>
    <col min="11274" max="11274" width="45.7109375" style="10" customWidth="1"/>
    <col min="11275" max="11277" width="0" style="10" hidden="1" customWidth="1"/>
    <col min="11278" max="11278" width="35.42578125" style="10" customWidth="1"/>
    <col min="11279" max="11279" width="25.85546875" style="10" customWidth="1"/>
    <col min="11280" max="11280" width="28.85546875" style="10" customWidth="1"/>
    <col min="11281" max="11281" width="30.42578125" style="10" customWidth="1"/>
    <col min="11282" max="11282" width="23.5703125" style="10" customWidth="1"/>
    <col min="11283" max="11283" width="24.42578125" style="10" customWidth="1"/>
    <col min="11284" max="11284" width="23" style="10" customWidth="1"/>
    <col min="11285" max="11285" width="26.85546875" style="10" customWidth="1"/>
    <col min="11286" max="11286" width="29" style="10" customWidth="1"/>
    <col min="11287" max="11287" width="34.140625" style="10" customWidth="1"/>
    <col min="11288" max="11288" width="29" style="10" customWidth="1"/>
    <col min="11289" max="11289" width="25" style="10" customWidth="1"/>
    <col min="11290" max="11290" width="36.28515625" style="10" customWidth="1"/>
    <col min="11291" max="11291" width="36.140625" style="10" customWidth="1"/>
    <col min="11292" max="11292" width="31.5703125" style="10" customWidth="1"/>
    <col min="11293" max="11293" width="0" style="10" hidden="1" customWidth="1"/>
    <col min="11294" max="11294" width="35.28515625" style="10" customWidth="1"/>
    <col min="11295" max="11295" width="31" style="10" customWidth="1"/>
    <col min="11296" max="11296" width="34.7109375" style="10" customWidth="1"/>
    <col min="11297" max="11297" width="31.42578125" style="10" customWidth="1"/>
    <col min="11298" max="11298" width="22.5703125" style="10" customWidth="1"/>
    <col min="11299" max="11302" width="0" style="10" hidden="1" customWidth="1"/>
    <col min="11303" max="11303" width="3" style="10" customWidth="1"/>
    <col min="11304" max="11304" width="26.85546875" style="10" customWidth="1"/>
    <col min="11305" max="11305" width="29.85546875" style="10" customWidth="1"/>
    <col min="11306" max="11306" width="32.7109375" style="10" customWidth="1"/>
    <col min="11307" max="11307" width="34.85546875" style="10" customWidth="1"/>
    <col min="11308" max="11308" width="30.42578125" style="10" customWidth="1"/>
    <col min="11309" max="11309" width="13.85546875" style="10" customWidth="1"/>
    <col min="11310" max="11310" width="39.42578125" style="10" customWidth="1"/>
    <col min="11311" max="11311" width="23.5703125" style="10" customWidth="1"/>
    <col min="11312" max="11520" width="11.42578125" style="10"/>
    <col min="11521" max="11521" width="3.85546875" style="10" customWidth="1"/>
    <col min="11522" max="11522" width="8.5703125" style="10" customWidth="1"/>
    <col min="11523" max="11523" width="8.140625" style="10" customWidth="1"/>
    <col min="11524" max="11527" width="3.85546875" style="10" customWidth="1"/>
    <col min="11528" max="11528" width="12.42578125" style="10" customWidth="1"/>
    <col min="11529" max="11529" width="3.85546875" style="10" customWidth="1"/>
    <col min="11530" max="11530" width="45.7109375" style="10" customWidth="1"/>
    <col min="11531" max="11533" width="0" style="10" hidden="1" customWidth="1"/>
    <col min="11534" max="11534" width="35.42578125" style="10" customWidth="1"/>
    <col min="11535" max="11535" width="25.85546875" style="10" customWidth="1"/>
    <col min="11536" max="11536" width="28.85546875" style="10" customWidth="1"/>
    <col min="11537" max="11537" width="30.42578125" style="10" customWidth="1"/>
    <col min="11538" max="11538" width="23.5703125" style="10" customWidth="1"/>
    <col min="11539" max="11539" width="24.42578125" style="10" customWidth="1"/>
    <col min="11540" max="11540" width="23" style="10" customWidth="1"/>
    <col min="11541" max="11541" width="26.85546875" style="10" customWidth="1"/>
    <col min="11542" max="11542" width="29" style="10" customWidth="1"/>
    <col min="11543" max="11543" width="34.140625" style="10" customWidth="1"/>
    <col min="11544" max="11544" width="29" style="10" customWidth="1"/>
    <col min="11545" max="11545" width="25" style="10" customWidth="1"/>
    <col min="11546" max="11546" width="36.28515625" style="10" customWidth="1"/>
    <col min="11547" max="11547" width="36.140625" style="10" customWidth="1"/>
    <col min="11548" max="11548" width="31.5703125" style="10" customWidth="1"/>
    <col min="11549" max="11549" width="0" style="10" hidden="1" customWidth="1"/>
    <col min="11550" max="11550" width="35.28515625" style="10" customWidth="1"/>
    <col min="11551" max="11551" width="31" style="10" customWidth="1"/>
    <col min="11552" max="11552" width="34.7109375" style="10" customWidth="1"/>
    <col min="11553" max="11553" width="31.42578125" style="10" customWidth="1"/>
    <col min="11554" max="11554" width="22.5703125" style="10" customWidth="1"/>
    <col min="11555" max="11558" width="0" style="10" hidden="1" customWidth="1"/>
    <col min="11559" max="11559" width="3" style="10" customWidth="1"/>
    <col min="11560" max="11560" width="26.85546875" style="10" customWidth="1"/>
    <col min="11561" max="11561" width="29.85546875" style="10" customWidth="1"/>
    <col min="11562" max="11562" width="32.7109375" style="10" customWidth="1"/>
    <col min="11563" max="11563" width="34.85546875" style="10" customWidth="1"/>
    <col min="11564" max="11564" width="30.42578125" style="10" customWidth="1"/>
    <col min="11565" max="11565" width="13.85546875" style="10" customWidth="1"/>
    <col min="11566" max="11566" width="39.42578125" style="10" customWidth="1"/>
    <col min="11567" max="11567" width="23.5703125" style="10" customWidth="1"/>
    <col min="11568" max="11776" width="11.42578125" style="10"/>
    <col min="11777" max="11777" width="3.85546875" style="10" customWidth="1"/>
    <col min="11778" max="11778" width="8.5703125" style="10" customWidth="1"/>
    <col min="11779" max="11779" width="8.140625" style="10" customWidth="1"/>
    <col min="11780" max="11783" width="3.85546875" style="10" customWidth="1"/>
    <col min="11784" max="11784" width="12.42578125" style="10" customWidth="1"/>
    <col min="11785" max="11785" width="3.85546875" style="10" customWidth="1"/>
    <col min="11786" max="11786" width="45.7109375" style="10" customWidth="1"/>
    <col min="11787" max="11789" width="0" style="10" hidden="1" customWidth="1"/>
    <col min="11790" max="11790" width="35.42578125" style="10" customWidth="1"/>
    <col min="11791" max="11791" width="25.85546875" style="10" customWidth="1"/>
    <col min="11792" max="11792" width="28.85546875" style="10" customWidth="1"/>
    <col min="11793" max="11793" width="30.42578125" style="10" customWidth="1"/>
    <col min="11794" max="11794" width="23.5703125" style="10" customWidth="1"/>
    <col min="11795" max="11795" width="24.42578125" style="10" customWidth="1"/>
    <col min="11796" max="11796" width="23" style="10" customWidth="1"/>
    <col min="11797" max="11797" width="26.85546875" style="10" customWidth="1"/>
    <col min="11798" max="11798" width="29" style="10" customWidth="1"/>
    <col min="11799" max="11799" width="34.140625" style="10" customWidth="1"/>
    <col min="11800" max="11800" width="29" style="10" customWidth="1"/>
    <col min="11801" max="11801" width="25" style="10" customWidth="1"/>
    <col min="11802" max="11802" width="36.28515625" style="10" customWidth="1"/>
    <col min="11803" max="11803" width="36.140625" style="10" customWidth="1"/>
    <col min="11804" max="11804" width="31.5703125" style="10" customWidth="1"/>
    <col min="11805" max="11805" width="0" style="10" hidden="1" customWidth="1"/>
    <col min="11806" max="11806" width="35.28515625" style="10" customWidth="1"/>
    <col min="11807" max="11807" width="31" style="10" customWidth="1"/>
    <col min="11808" max="11808" width="34.7109375" style="10" customWidth="1"/>
    <col min="11809" max="11809" width="31.42578125" style="10" customWidth="1"/>
    <col min="11810" max="11810" width="22.5703125" style="10" customWidth="1"/>
    <col min="11811" max="11814" width="0" style="10" hidden="1" customWidth="1"/>
    <col min="11815" max="11815" width="3" style="10" customWidth="1"/>
    <col min="11816" max="11816" width="26.85546875" style="10" customWidth="1"/>
    <col min="11817" max="11817" width="29.85546875" style="10" customWidth="1"/>
    <col min="11818" max="11818" width="32.7109375" style="10" customWidth="1"/>
    <col min="11819" max="11819" width="34.85546875" style="10" customWidth="1"/>
    <col min="11820" max="11820" width="30.42578125" style="10" customWidth="1"/>
    <col min="11821" max="11821" width="13.85546875" style="10" customWidth="1"/>
    <col min="11822" max="11822" width="39.42578125" style="10" customWidth="1"/>
    <col min="11823" max="11823" width="23.5703125" style="10" customWidth="1"/>
    <col min="11824" max="12032" width="11.42578125" style="10"/>
    <col min="12033" max="12033" width="3.85546875" style="10" customWidth="1"/>
    <col min="12034" max="12034" width="8.5703125" style="10" customWidth="1"/>
    <col min="12035" max="12035" width="8.140625" style="10" customWidth="1"/>
    <col min="12036" max="12039" width="3.85546875" style="10" customWidth="1"/>
    <col min="12040" max="12040" width="12.42578125" style="10" customWidth="1"/>
    <col min="12041" max="12041" width="3.85546875" style="10" customWidth="1"/>
    <col min="12042" max="12042" width="45.7109375" style="10" customWidth="1"/>
    <col min="12043" max="12045" width="0" style="10" hidden="1" customWidth="1"/>
    <col min="12046" max="12046" width="35.42578125" style="10" customWidth="1"/>
    <col min="12047" max="12047" width="25.85546875" style="10" customWidth="1"/>
    <col min="12048" max="12048" width="28.85546875" style="10" customWidth="1"/>
    <col min="12049" max="12049" width="30.42578125" style="10" customWidth="1"/>
    <col min="12050" max="12050" width="23.5703125" style="10" customWidth="1"/>
    <col min="12051" max="12051" width="24.42578125" style="10" customWidth="1"/>
    <col min="12052" max="12052" width="23" style="10" customWidth="1"/>
    <col min="12053" max="12053" width="26.85546875" style="10" customWidth="1"/>
    <col min="12054" max="12054" width="29" style="10" customWidth="1"/>
    <col min="12055" max="12055" width="34.140625" style="10" customWidth="1"/>
    <col min="12056" max="12056" width="29" style="10" customWidth="1"/>
    <col min="12057" max="12057" width="25" style="10" customWidth="1"/>
    <col min="12058" max="12058" width="36.28515625" style="10" customWidth="1"/>
    <col min="12059" max="12059" width="36.140625" style="10" customWidth="1"/>
    <col min="12060" max="12060" width="31.5703125" style="10" customWidth="1"/>
    <col min="12061" max="12061" width="0" style="10" hidden="1" customWidth="1"/>
    <col min="12062" max="12062" width="35.28515625" style="10" customWidth="1"/>
    <col min="12063" max="12063" width="31" style="10" customWidth="1"/>
    <col min="12064" max="12064" width="34.7109375" style="10" customWidth="1"/>
    <col min="12065" max="12065" width="31.42578125" style="10" customWidth="1"/>
    <col min="12066" max="12066" width="22.5703125" style="10" customWidth="1"/>
    <col min="12067" max="12070" width="0" style="10" hidden="1" customWidth="1"/>
    <col min="12071" max="12071" width="3" style="10" customWidth="1"/>
    <col min="12072" max="12072" width="26.85546875" style="10" customWidth="1"/>
    <col min="12073" max="12073" width="29.85546875" style="10" customWidth="1"/>
    <col min="12074" max="12074" width="32.7109375" style="10" customWidth="1"/>
    <col min="12075" max="12075" width="34.85546875" style="10" customWidth="1"/>
    <col min="12076" max="12076" width="30.42578125" style="10" customWidth="1"/>
    <col min="12077" max="12077" width="13.85546875" style="10" customWidth="1"/>
    <col min="12078" max="12078" width="39.42578125" style="10" customWidth="1"/>
    <col min="12079" max="12079" width="23.5703125" style="10" customWidth="1"/>
    <col min="12080" max="12288" width="11.42578125" style="10"/>
    <col min="12289" max="12289" width="3.85546875" style="10" customWidth="1"/>
    <col min="12290" max="12290" width="8.5703125" style="10" customWidth="1"/>
    <col min="12291" max="12291" width="8.140625" style="10" customWidth="1"/>
    <col min="12292" max="12295" width="3.85546875" style="10" customWidth="1"/>
    <col min="12296" max="12296" width="12.42578125" style="10" customWidth="1"/>
    <col min="12297" max="12297" width="3.85546875" style="10" customWidth="1"/>
    <col min="12298" max="12298" width="45.7109375" style="10" customWidth="1"/>
    <col min="12299" max="12301" width="0" style="10" hidden="1" customWidth="1"/>
    <col min="12302" max="12302" width="35.42578125" style="10" customWidth="1"/>
    <col min="12303" max="12303" width="25.85546875" style="10" customWidth="1"/>
    <col min="12304" max="12304" width="28.85546875" style="10" customWidth="1"/>
    <col min="12305" max="12305" width="30.42578125" style="10" customWidth="1"/>
    <col min="12306" max="12306" width="23.5703125" style="10" customWidth="1"/>
    <col min="12307" max="12307" width="24.42578125" style="10" customWidth="1"/>
    <col min="12308" max="12308" width="23" style="10" customWidth="1"/>
    <col min="12309" max="12309" width="26.85546875" style="10" customWidth="1"/>
    <col min="12310" max="12310" width="29" style="10" customWidth="1"/>
    <col min="12311" max="12311" width="34.140625" style="10" customWidth="1"/>
    <col min="12312" max="12312" width="29" style="10" customWidth="1"/>
    <col min="12313" max="12313" width="25" style="10" customWidth="1"/>
    <col min="12314" max="12314" width="36.28515625" style="10" customWidth="1"/>
    <col min="12315" max="12315" width="36.140625" style="10" customWidth="1"/>
    <col min="12316" max="12316" width="31.5703125" style="10" customWidth="1"/>
    <col min="12317" max="12317" width="0" style="10" hidden="1" customWidth="1"/>
    <col min="12318" max="12318" width="35.28515625" style="10" customWidth="1"/>
    <col min="12319" max="12319" width="31" style="10" customWidth="1"/>
    <col min="12320" max="12320" width="34.7109375" style="10" customWidth="1"/>
    <col min="12321" max="12321" width="31.42578125" style="10" customWidth="1"/>
    <col min="12322" max="12322" width="22.5703125" style="10" customWidth="1"/>
    <col min="12323" max="12326" width="0" style="10" hidden="1" customWidth="1"/>
    <col min="12327" max="12327" width="3" style="10" customWidth="1"/>
    <col min="12328" max="12328" width="26.85546875" style="10" customWidth="1"/>
    <col min="12329" max="12329" width="29.85546875" style="10" customWidth="1"/>
    <col min="12330" max="12330" width="32.7109375" style="10" customWidth="1"/>
    <col min="12331" max="12331" width="34.85546875" style="10" customWidth="1"/>
    <col min="12332" max="12332" width="30.42578125" style="10" customWidth="1"/>
    <col min="12333" max="12333" width="13.85546875" style="10" customWidth="1"/>
    <col min="12334" max="12334" width="39.42578125" style="10" customWidth="1"/>
    <col min="12335" max="12335" width="23.5703125" style="10" customWidth="1"/>
    <col min="12336" max="12544" width="11.42578125" style="10"/>
    <col min="12545" max="12545" width="3.85546875" style="10" customWidth="1"/>
    <col min="12546" max="12546" width="8.5703125" style="10" customWidth="1"/>
    <col min="12547" max="12547" width="8.140625" style="10" customWidth="1"/>
    <col min="12548" max="12551" width="3.85546875" style="10" customWidth="1"/>
    <col min="12552" max="12552" width="12.42578125" style="10" customWidth="1"/>
    <col min="12553" max="12553" width="3.85546875" style="10" customWidth="1"/>
    <col min="12554" max="12554" width="45.7109375" style="10" customWidth="1"/>
    <col min="12555" max="12557" width="0" style="10" hidden="1" customWidth="1"/>
    <col min="12558" max="12558" width="35.42578125" style="10" customWidth="1"/>
    <col min="12559" max="12559" width="25.85546875" style="10" customWidth="1"/>
    <col min="12560" max="12560" width="28.85546875" style="10" customWidth="1"/>
    <col min="12561" max="12561" width="30.42578125" style="10" customWidth="1"/>
    <col min="12562" max="12562" width="23.5703125" style="10" customWidth="1"/>
    <col min="12563" max="12563" width="24.42578125" style="10" customWidth="1"/>
    <col min="12564" max="12564" width="23" style="10" customWidth="1"/>
    <col min="12565" max="12565" width="26.85546875" style="10" customWidth="1"/>
    <col min="12566" max="12566" width="29" style="10" customWidth="1"/>
    <col min="12567" max="12567" width="34.140625" style="10" customWidth="1"/>
    <col min="12568" max="12568" width="29" style="10" customWidth="1"/>
    <col min="12569" max="12569" width="25" style="10" customWidth="1"/>
    <col min="12570" max="12570" width="36.28515625" style="10" customWidth="1"/>
    <col min="12571" max="12571" width="36.140625" style="10" customWidth="1"/>
    <col min="12572" max="12572" width="31.5703125" style="10" customWidth="1"/>
    <col min="12573" max="12573" width="0" style="10" hidden="1" customWidth="1"/>
    <col min="12574" max="12574" width="35.28515625" style="10" customWidth="1"/>
    <col min="12575" max="12575" width="31" style="10" customWidth="1"/>
    <col min="12576" max="12576" width="34.7109375" style="10" customWidth="1"/>
    <col min="12577" max="12577" width="31.42578125" style="10" customWidth="1"/>
    <col min="12578" max="12578" width="22.5703125" style="10" customWidth="1"/>
    <col min="12579" max="12582" width="0" style="10" hidden="1" customWidth="1"/>
    <col min="12583" max="12583" width="3" style="10" customWidth="1"/>
    <col min="12584" max="12584" width="26.85546875" style="10" customWidth="1"/>
    <col min="12585" max="12585" width="29.85546875" style="10" customWidth="1"/>
    <col min="12586" max="12586" width="32.7109375" style="10" customWidth="1"/>
    <col min="12587" max="12587" width="34.85546875" style="10" customWidth="1"/>
    <col min="12588" max="12588" width="30.42578125" style="10" customWidth="1"/>
    <col min="12589" max="12589" width="13.85546875" style="10" customWidth="1"/>
    <col min="12590" max="12590" width="39.42578125" style="10" customWidth="1"/>
    <col min="12591" max="12591" width="23.5703125" style="10" customWidth="1"/>
    <col min="12592" max="12800" width="11.42578125" style="10"/>
    <col min="12801" max="12801" width="3.85546875" style="10" customWidth="1"/>
    <col min="12802" max="12802" width="8.5703125" style="10" customWidth="1"/>
    <col min="12803" max="12803" width="8.140625" style="10" customWidth="1"/>
    <col min="12804" max="12807" width="3.85546875" style="10" customWidth="1"/>
    <col min="12808" max="12808" width="12.42578125" style="10" customWidth="1"/>
    <col min="12809" max="12809" width="3.85546875" style="10" customWidth="1"/>
    <col min="12810" max="12810" width="45.7109375" style="10" customWidth="1"/>
    <col min="12811" max="12813" width="0" style="10" hidden="1" customWidth="1"/>
    <col min="12814" max="12814" width="35.42578125" style="10" customWidth="1"/>
    <col min="12815" max="12815" width="25.85546875" style="10" customWidth="1"/>
    <col min="12816" max="12816" width="28.85546875" style="10" customWidth="1"/>
    <col min="12817" max="12817" width="30.42578125" style="10" customWidth="1"/>
    <col min="12818" max="12818" width="23.5703125" style="10" customWidth="1"/>
    <col min="12819" max="12819" width="24.42578125" style="10" customWidth="1"/>
    <col min="12820" max="12820" width="23" style="10" customWidth="1"/>
    <col min="12821" max="12821" width="26.85546875" style="10" customWidth="1"/>
    <col min="12822" max="12822" width="29" style="10" customWidth="1"/>
    <col min="12823" max="12823" width="34.140625" style="10" customWidth="1"/>
    <col min="12824" max="12824" width="29" style="10" customWidth="1"/>
    <col min="12825" max="12825" width="25" style="10" customWidth="1"/>
    <col min="12826" max="12826" width="36.28515625" style="10" customWidth="1"/>
    <col min="12827" max="12827" width="36.140625" style="10" customWidth="1"/>
    <col min="12828" max="12828" width="31.5703125" style="10" customWidth="1"/>
    <col min="12829" max="12829" width="0" style="10" hidden="1" customWidth="1"/>
    <col min="12830" max="12830" width="35.28515625" style="10" customWidth="1"/>
    <col min="12831" max="12831" width="31" style="10" customWidth="1"/>
    <col min="12832" max="12832" width="34.7109375" style="10" customWidth="1"/>
    <col min="12833" max="12833" width="31.42578125" style="10" customWidth="1"/>
    <col min="12834" max="12834" width="22.5703125" style="10" customWidth="1"/>
    <col min="12835" max="12838" width="0" style="10" hidden="1" customWidth="1"/>
    <col min="12839" max="12839" width="3" style="10" customWidth="1"/>
    <col min="12840" max="12840" width="26.85546875" style="10" customWidth="1"/>
    <col min="12841" max="12841" width="29.85546875" style="10" customWidth="1"/>
    <col min="12842" max="12842" width="32.7109375" style="10" customWidth="1"/>
    <col min="12843" max="12843" width="34.85546875" style="10" customWidth="1"/>
    <col min="12844" max="12844" width="30.42578125" style="10" customWidth="1"/>
    <col min="12845" max="12845" width="13.85546875" style="10" customWidth="1"/>
    <col min="12846" max="12846" width="39.42578125" style="10" customWidth="1"/>
    <col min="12847" max="12847" width="23.5703125" style="10" customWidth="1"/>
    <col min="12848" max="13056" width="11.42578125" style="10"/>
    <col min="13057" max="13057" width="3.85546875" style="10" customWidth="1"/>
    <col min="13058" max="13058" width="8.5703125" style="10" customWidth="1"/>
    <col min="13059" max="13059" width="8.140625" style="10" customWidth="1"/>
    <col min="13060" max="13063" width="3.85546875" style="10" customWidth="1"/>
    <col min="13064" max="13064" width="12.42578125" style="10" customWidth="1"/>
    <col min="13065" max="13065" width="3.85546875" style="10" customWidth="1"/>
    <col min="13066" max="13066" width="45.7109375" style="10" customWidth="1"/>
    <col min="13067" max="13069" width="0" style="10" hidden="1" customWidth="1"/>
    <col min="13070" max="13070" width="35.42578125" style="10" customWidth="1"/>
    <col min="13071" max="13071" width="25.85546875" style="10" customWidth="1"/>
    <col min="13072" max="13072" width="28.85546875" style="10" customWidth="1"/>
    <col min="13073" max="13073" width="30.42578125" style="10" customWidth="1"/>
    <col min="13074" max="13074" width="23.5703125" style="10" customWidth="1"/>
    <col min="13075" max="13075" width="24.42578125" style="10" customWidth="1"/>
    <col min="13076" max="13076" width="23" style="10" customWidth="1"/>
    <col min="13077" max="13077" width="26.85546875" style="10" customWidth="1"/>
    <col min="13078" max="13078" width="29" style="10" customWidth="1"/>
    <col min="13079" max="13079" width="34.140625" style="10" customWidth="1"/>
    <col min="13080" max="13080" width="29" style="10" customWidth="1"/>
    <col min="13081" max="13081" width="25" style="10" customWidth="1"/>
    <col min="13082" max="13082" width="36.28515625" style="10" customWidth="1"/>
    <col min="13083" max="13083" width="36.140625" style="10" customWidth="1"/>
    <col min="13084" max="13084" width="31.5703125" style="10" customWidth="1"/>
    <col min="13085" max="13085" width="0" style="10" hidden="1" customWidth="1"/>
    <col min="13086" max="13086" width="35.28515625" style="10" customWidth="1"/>
    <col min="13087" max="13087" width="31" style="10" customWidth="1"/>
    <col min="13088" max="13088" width="34.7109375" style="10" customWidth="1"/>
    <col min="13089" max="13089" width="31.42578125" style="10" customWidth="1"/>
    <col min="13090" max="13090" width="22.5703125" style="10" customWidth="1"/>
    <col min="13091" max="13094" width="0" style="10" hidden="1" customWidth="1"/>
    <col min="13095" max="13095" width="3" style="10" customWidth="1"/>
    <col min="13096" max="13096" width="26.85546875" style="10" customWidth="1"/>
    <col min="13097" max="13097" width="29.85546875" style="10" customWidth="1"/>
    <col min="13098" max="13098" width="32.7109375" style="10" customWidth="1"/>
    <col min="13099" max="13099" width="34.85546875" style="10" customWidth="1"/>
    <col min="13100" max="13100" width="30.42578125" style="10" customWidth="1"/>
    <col min="13101" max="13101" width="13.85546875" style="10" customWidth="1"/>
    <col min="13102" max="13102" width="39.42578125" style="10" customWidth="1"/>
    <col min="13103" max="13103" width="23.5703125" style="10" customWidth="1"/>
    <col min="13104" max="13312" width="11.42578125" style="10"/>
    <col min="13313" max="13313" width="3.85546875" style="10" customWidth="1"/>
    <col min="13314" max="13314" width="8.5703125" style="10" customWidth="1"/>
    <col min="13315" max="13315" width="8.140625" style="10" customWidth="1"/>
    <col min="13316" max="13319" width="3.85546875" style="10" customWidth="1"/>
    <col min="13320" max="13320" width="12.42578125" style="10" customWidth="1"/>
    <col min="13321" max="13321" width="3.85546875" style="10" customWidth="1"/>
    <col min="13322" max="13322" width="45.7109375" style="10" customWidth="1"/>
    <col min="13323" max="13325" width="0" style="10" hidden="1" customWidth="1"/>
    <col min="13326" max="13326" width="35.42578125" style="10" customWidth="1"/>
    <col min="13327" max="13327" width="25.85546875" style="10" customWidth="1"/>
    <col min="13328" max="13328" width="28.85546875" style="10" customWidth="1"/>
    <col min="13329" max="13329" width="30.42578125" style="10" customWidth="1"/>
    <col min="13330" max="13330" width="23.5703125" style="10" customWidth="1"/>
    <col min="13331" max="13331" width="24.42578125" style="10" customWidth="1"/>
    <col min="13332" max="13332" width="23" style="10" customWidth="1"/>
    <col min="13333" max="13333" width="26.85546875" style="10" customWidth="1"/>
    <col min="13334" max="13334" width="29" style="10" customWidth="1"/>
    <col min="13335" max="13335" width="34.140625" style="10" customWidth="1"/>
    <col min="13336" max="13336" width="29" style="10" customWidth="1"/>
    <col min="13337" max="13337" width="25" style="10" customWidth="1"/>
    <col min="13338" max="13338" width="36.28515625" style="10" customWidth="1"/>
    <col min="13339" max="13339" width="36.140625" style="10" customWidth="1"/>
    <col min="13340" max="13340" width="31.5703125" style="10" customWidth="1"/>
    <col min="13341" max="13341" width="0" style="10" hidden="1" customWidth="1"/>
    <col min="13342" max="13342" width="35.28515625" style="10" customWidth="1"/>
    <col min="13343" max="13343" width="31" style="10" customWidth="1"/>
    <col min="13344" max="13344" width="34.7109375" style="10" customWidth="1"/>
    <col min="13345" max="13345" width="31.42578125" style="10" customWidth="1"/>
    <col min="13346" max="13346" width="22.5703125" style="10" customWidth="1"/>
    <col min="13347" max="13350" width="0" style="10" hidden="1" customWidth="1"/>
    <col min="13351" max="13351" width="3" style="10" customWidth="1"/>
    <col min="13352" max="13352" width="26.85546875" style="10" customWidth="1"/>
    <col min="13353" max="13353" width="29.85546875" style="10" customWidth="1"/>
    <col min="13354" max="13354" width="32.7109375" style="10" customWidth="1"/>
    <col min="13355" max="13355" width="34.85546875" style="10" customWidth="1"/>
    <col min="13356" max="13356" width="30.42578125" style="10" customWidth="1"/>
    <col min="13357" max="13357" width="13.85546875" style="10" customWidth="1"/>
    <col min="13358" max="13358" width="39.42578125" style="10" customWidth="1"/>
    <col min="13359" max="13359" width="23.5703125" style="10" customWidth="1"/>
    <col min="13360" max="13568" width="11.42578125" style="10"/>
    <col min="13569" max="13569" width="3.85546875" style="10" customWidth="1"/>
    <col min="13570" max="13570" width="8.5703125" style="10" customWidth="1"/>
    <col min="13571" max="13571" width="8.140625" style="10" customWidth="1"/>
    <col min="13572" max="13575" width="3.85546875" style="10" customWidth="1"/>
    <col min="13576" max="13576" width="12.42578125" style="10" customWidth="1"/>
    <col min="13577" max="13577" width="3.85546875" style="10" customWidth="1"/>
    <col min="13578" max="13578" width="45.7109375" style="10" customWidth="1"/>
    <col min="13579" max="13581" width="0" style="10" hidden="1" customWidth="1"/>
    <col min="13582" max="13582" width="35.42578125" style="10" customWidth="1"/>
    <col min="13583" max="13583" width="25.85546875" style="10" customWidth="1"/>
    <col min="13584" max="13584" width="28.85546875" style="10" customWidth="1"/>
    <col min="13585" max="13585" width="30.42578125" style="10" customWidth="1"/>
    <col min="13586" max="13586" width="23.5703125" style="10" customWidth="1"/>
    <col min="13587" max="13587" width="24.42578125" style="10" customWidth="1"/>
    <col min="13588" max="13588" width="23" style="10" customWidth="1"/>
    <col min="13589" max="13589" width="26.85546875" style="10" customWidth="1"/>
    <col min="13590" max="13590" width="29" style="10" customWidth="1"/>
    <col min="13591" max="13591" width="34.140625" style="10" customWidth="1"/>
    <col min="13592" max="13592" width="29" style="10" customWidth="1"/>
    <col min="13593" max="13593" width="25" style="10" customWidth="1"/>
    <col min="13594" max="13594" width="36.28515625" style="10" customWidth="1"/>
    <col min="13595" max="13595" width="36.140625" style="10" customWidth="1"/>
    <col min="13596" max="13596" width="31.5703125" style="10" customWidth="1"/>
    <col min="13597" max="13597" width="0" style="10" hidden="1" customWidth="1"/>
    <col min="13598" max="13598" width="35.28515625" style="10" customWidth="1"/>
    <col min="13599" max="13599" width="31" style="10" customWidth="1"/>
    <col min="13600" max="13600" width="34.7109375" style="10" customWidth="1"/>
    <col min="13601" max="13601" width="31.42578125" style="10" customWidth="1"/>
    <col min="13602" max="13602" width="22.5703125" style="10" customWidth="1"/>
    <col min="13603" max="13606" width="0" style="10" hidden="1" customWidth="1"/>
    <col min="13607" max="13607" width="3" style="10" customWidth="1"/>
    <col min="13608" max="13608" width="26.85546875" style="10" customWidth="1"/>
    <col min="13609" max="13609" width="29.85546875" style="10" customWidth="1"/>
    <col min="13610" max="13610" width="32.7109375" style="10" customWidth="1"/>
    <col min="13611" max="13611" width="34.85546875" style="10" customWidth="1"/>
    <col min="13612" max="13612" width="30.42578125" style="10" customWidth="1"/>
    <col min="13613" max="13613" width="13.85546875" style="10" customWidth="1"/>
    <col min="13614" max="13614" width="39.42578125" style="10" customWidth="1"/>
    <col min="13615" max="13615" width="23.5703125" style="10" customWidth="1"/>
    <col min="13616" max="13824" width="11.42578125" style="10"/>
    <col min="13825" max="13825" width="3.85546875" style="10" customWidth="1"/>
    <col min="13826" max="13826" width="8.5703125" style="10" customWidth="1"/>
    <col min="13827" max="13827" width="8.140625" style="10" customWidth="1"/>
    <col min="13828" max="13831" width="3.85546875" style="10" customWidth="1"/>
    <col min="13832" max="13832" width="12.42578125" style="10" customWidth="1"/>
    <col min="13833" max="13833" width="3.85546875" style="10" customWidth="1"/>
    <col min="13834" max="13834" width="45.7109375" style="10" customWidth="1"/>
    <col min="13835" max="13837" width="0" style="10" hidden="1" customWidth="1"/>
    <col min="13838" max="13838" width="35.42578125" style="10" customWidth="1"/>
    <col min="13839" max="13839" width="25.85546875" style="10" customWidth="1"/>
    <col min="13840" max="13840" width="28.85546875" style="10" customWidth="1"/>
    <col min="13841" max="13841" width="30.42578125" style="10" customWidth="1"/>
    <col min="13842" max="13842" width="23.5703125" style="10" customWidth="1"/>
    <col min="13843" max="13843" width="24.42578125" style="10" customWidth="1"/>
    <col min="13844" max="13844" width="23" style="10" customWidth="1"/>
    <col min="13845" max="13845" width="26.85546875" style="10" customWidth="1"/>
    <col min="13846" max="13846" width="29" style="10" customWidth="1"/>
    <col min="13847" max="13847" width="34.140625" style="10" customWidth="1"/>
    <col min="13848" max="13848" width="29" style="10" customWidth="1"/>
    <col min="13849" max="13849" width="25" style="10" customWidth="1"/>
    <col min="13850" max="13850" width="36.28515625" style="10" customWidth="1"/>
    <col min="13851" max="13851" width="36.140625" style="10" customWidth="1"/>
    <col min="13852" max="13852" width="31.5703125" style="10" customWidth="1"/>
    <col min="13853" max="13853" width="0" style="10" hidden="1" customWidth="1"/>
    <col min="13854" max="13854" width="35.28515625" style="10" customWidth="1"/>
    <col min="13855" max="13855" width="31" style="10" customWidth="1"/>
    <col min="13856" max="13856" width="34.7109375" style="10" customWidth="1"/>
    <col min="13857" max="13857" width="31.42578125" style="10" customWidth="1"/>
    <col min="13858" max="13858" width="22.5703125" style="10" customWidth="1"/>
    <col min="13859" max="13862" width="0" style="10" hidden="1" customWidth="1"/>
    <col min="13863" max="13863" width="3" style="10" customWidth="1"/>
    <col min="13864" max="13864" width="26.85546875" style="10" customWidth="1"/>
    <col min="13865" max="13865" width="29.85546875" style="10" customWidth="1"/>
    <col min="13866" max="13866" width="32.7109375" style="10" customWidth="1"/>
    <col min="13867" max="13867" width="34.85546875" style="10" customWidth="1"/>
    <col min="13868" max="13868" width="30.42578125" style="10" customWidth="1"/>
    <col min="13869" max="13869" width="13.85546875" style="10" customWidth="1"/>
    <col min="13870" max="13870" width="39.42578125" style="10" customWidth="1"/>
    <col min="13871" max="13871" width="23.5703125" style="10" customWidth="1"/>
    <col min="13872" max="14080" width="11.42578125" style="10"/>
    <col min="14081" max="14081" width="3.85546875" style="10" customWidth="1"/>
    <col min="14082" max="14082" width="8.5703125" style="10" customWidth="1"/>
    <col min="14083" max="14083" width="8.140625" style="10" customWidth="1"/>
    <col min="14084" max="14087" width="3.85546875" style="10" customWidth="1"/>
    <col min="14088" max="14088" width="12.42578125" style="10" customWidth="1"/>
    <col min="14089" max="14089" width="3.85546875" style="10" customWidth="1"/>
    <col min="14090" max="14090" width="45.7109375" style="10" customWidth="1"/>
    <col min="14091" max="14093" width="0" style="10" hidden="1" customWidth="1"/>
    <col min="14094" max="14094" width="35.42578125" style="10" customWidth="1"/>
    <col min="14095" max="14095" width="25.85546875" style="10" customWidth="1"/>
    <col min="14096" max="14096" width="28.85546875" style="10" customWidth="1"/>
    <col min="14097" max="14097" width="30.42578125" style="10" customWidth="1"/>
    <col min="14098" max="14098" width="23.5703125" style="10" customWidth="1"/>
    <col min="14099" max="14099" width="24.42578125" style="10" customWidth="1"/>
    <col min="14100" max="14100" width="23" style="10" customWidth="1"/>
    <col min="14101" max="14101" width="26.85546875" style="10" customWidth="1"/>
    <col min="14102" max="14102" width="29" style="10" customWidth="1"/>
    <col min="14103" max="14103" width="34.140625" style="10" customWidth="1"/>
    <col min="14104" max="14104" width="29" style="10" customWidth="1"/>
    <col min="14105" max="14105" width="25" style="10" customWidth="1"/>
    <col min="14106" max="14106" width="36.28515625" style="10" customWidth="1"/>
    <col min="14107" max="14107" width="36.140625" style="10" customWidth="1"/>
    <col min="14108" max="14108" width="31.5703125" style="10" customWidth="1"/>
    <col min="14109" max="14109" width="0" style="10" hidden="1" customWidth="1"/>
    <col min="14110" max="14110" width="35.28515625" style="10" customWidth="1"/>
    <col min="14111" max="14111" width="31" style="10" customWidth="1"/>
    <col min="14112" max="14112" width="34.7109375" style="10" customWidth="1"/>
    <col min="14113" max="14113" width="31.42578125" style="10" customWidth="1"/>
    <col min="14114" max="14114" width="22.5703125" style="10" customWidth="1"/>
    <col min="14115" max="14118" width="0" style="10" hidden="1" customWidth="1"/>
    <col min="14119" max="14119" width="3" style="10" customWidth="1"/>
    <col min="14120" max="14120" width="26.85546875" style="10" customWidth="1"/>
    <col min="14121" max="14121" width="29.85546875" style="10" customWidth="1"/>
    <col min="14122" max="14122" width="32.7109375" style="10" customWidth="1"/>
    <col min="14123" max="14123" width="34.85546875" style="10" customWidth="1"/>
    <col min="14124" max="14124" width="30.42578125" style="10" customWidth="1"/>
    <col min="14125" max="14125" width="13.85546875" style="10" customWidth="1"/>
    <col min="14126" max="14126" width="39.42578125" style="10" customWidth="1"/>
    <col min="14127" max="14127" width="23.5703125" style="10" customWidth="1"/>
    <col min="14128" max="14336" width="11.42578125" style="10"/>
    <col min="14337" max="14337" width="3.85546875" style="10" customWidth="1"/>
    <col min="14338" max="14338" width="8.5703125" style="10" customWidth="1"/>
    <col min="14339" max="14339" width="8.140625" style="10" customWidth="1"/>
    <col min="14340" max="14343" width="3.85546875" style="10" customWidth="1"/>
    <col min="14344" max="14344" width="12.42578125" style="10" customWidth="1"/>
    <col min="14345" max="14345" width="3.85546875" style="10" customWidth="1"/>
    <col min="14346" max="14346" width="45.7109375" style="10" customWidth="1"/>
    <col min="14347" max="14349" width="0" style="10" hidden="1" customWidth="1"/>
    <col min="14350" max="14350" width="35.42578125" style="10" customWidth="1"/>
    <col min="14351" max="14351" width="25.85546875" style="10" customWidth="1"/>
    <col min="14352" max="14352" width="28.85546875" style="10" customWidth="1"/>
    <col min="14353" max="14353" width="30.42578125" style="10" customWidth="1"/>
    <col min="14354" max="14354" width="23.5703125" style="10" customWidth="1"/>
    <col min="14355" max="14355" width="24.42578125" style="10" customWidth="1"/>
    <col min="14356" max="14356" width="23" style="10" customWidth="1"/>
    <col min="14357" max="14357" width="26.85546875" style="10" customWidth="1"/>
    <col min="14358" max="14358" width="29" style="10" customWidth="1"/>
    <col min="14359" max="14359" width="34.140625" style="10" customWidth="1"/>
    <col min="14360" max="14360" width="29" style="10" customWidth="1"/>
    <col min="14361" max="14361" width="25" style="10" customWidth="1"/>
    <col min="14362" max="14362" width="36.28515625" style="10" customWidth="1"/>
    <col min="14363" max="14363" width="36.140625" style="10" customWidth="1"/>
    <col min="14364" max="14364" width="31.5703125" style="10" customWidth="1"/>
    <col min="14365" max="14365" width="0" style="10" hidden="1" customWidth="1"/>
    <col min="14366" max="14366" width="35.28515625" style="10" customWidth="1"/>
    <col min="14367" max="14367" width="31" style="10" customWidth="1"/>
    <col min="14368" max="14368" width="34.7109375" style="10" customWidth="1"/>
    <col min="14369" max="14369" width="31.42578125" style="10" customWidth="1"/>
    <col min="14370" max="14370" width="22.5703125" style="10" customWidth="1"/>
    <col min="14371" max="14374" width="0" style="10" hidden="1" customWidth="1"/>
    <col min="14375" max="14375" width="3" style="10" customWidth="1"/>
    <col min="14376" max="14376" width="26.85546875" style="10" customWidth="1"/>
    <col min="14377" max="14377" width="29.85546875" style="10" customWidth="1"/>
    <col min="14378" max="14378" width="32.7109375" style="10" customWidth="1"/>
    <col min="14379" max="14379" width="34.85546875" style="10" customWidth="1"/>
    <col min="14380" max="14380" width="30.42578125" style="10" customWidth="1"/>
    <col min="14381" max="14381" width="13.85546875" style="10" customWidth="1"/>
    <col min="14382" max="14382" width="39.42578125" style="10" customWidth="1"/>
    <col min="14383" max="14383" width="23.5703125" style="10" customWidth="1"/>
    <col min="14384" max="14592" width="11.42578125" style="10"/>
    <col min="14593" max="14593" width="3.85546875" style="10" customWidth="1"/>
    <col min="14594" max="14594" width="8.5703125" style="10" customWidth="1"/>
    <col min="14595" max="14595" width="8.140625" style="10" customWidth="1"/>
    <col min="14596" max="14599" width="3.85546875" style="10" customWidth="1"/>
    <col min="14600" max="14600" width="12.42578125" style="10" customWidth="1"/>
    <col min="14601" max="14601" width="3.85546875" style="10" customWidth="1"/>
    <col min="14602" max="14602" width="45.7109375" style="10" customWidth="1"/>
    <col min="14603" max="14605" width="0" style="10" hidden="1" customWidth="1"/>
    <col min="14606" max="14606" width="35.42578125" style="10" customWidth="1"/>
    <col min="14607" max="14607" width="25.85546875" style="10" customWidth="1"/>
    <col min="14608" max="14608" width="28.85546875" style="10" customWidth="1"/>
    <col min="14609" max="14609" width="30.42578125" style="10" customWidth="1"/>
    <col min="14610" max="14610" width="23.5703125" style="10" customWidth="1"/>
    <col min="14611" max="14611" width="24.42578125" style="10" customWidth="1"/>
    <col min="14612" max="14612" width="23" style="10" customWidth="1"/>
    <col min="14613" max="14613" width="26.85546875" style="10" customWidth="1"/>
    <col min="14614" max="14614" width="29" style="10" customWidth="1"/>
    <col min="14615" max="14615" width="34.140625" style="10" customWidth="1"/>
    <col min="14616" max="14616" width="29" style="10" customWidth="1"/>
    <col min="14617" max="14617" width="25" style="10" customWidth="1"/>
    <col min="14618" max="14618" width="36.28515625" style="10" customWidth="1"/>
    <col min="14619" max="14619" width="36.140625" style="10" customWidth="1"/>
    <col min="14620" max="14620" width="31.5703125" style="10" customWidth="1"/>
    <col min="14621" max="14621" width="0" style="10" hidden="1" customWidth="1"/>
    <col min="14622" max="14622" width="35.28515625" style="10" customWidth="1"/>
    <col min="14623" max="14623" width="31" style="10" customWidth="1"/>
    <col min="14624" max="14624" width="34.7109375" style="10" customWidth="1"/>
    <col min="14625" max="14625" width="31.42578125" style="10" customWidth="1"/>
    <col min="14626" max="14626" width="22.5703125" style="10" customWidth="1"/>
    <col min="14627" max="14630" width="0" style="10" hidden="1" customWidth="1"/>
    <col min="14631" max="14631" width="3" style="10" customWidth="1"/>
    <col min="14632" max="14632" width="26.85546875" style="10" customWidth="1"/>
    <col min="14633" max="14633" width="29.85546875" style="10" customWidth="1"/>
    <col min="14634" max="14634" width="32.7109375" style="10" customWidth="1"/>
    <col min="14635" max="14635" width="34.85546875" style="10" customWidth="1"/>
    <col min="14636" max="14636" width="30.42578125" style="10" customWidth="1"/>
    <col min="14637" max="14637" width="13.85546875" style="10" customWidth="1"/>
    <col min="14638" max="14638" width="39.42578125" style="10" customWidth="1"/>
    <col min="14639" max="14639" width="23.5703125" style="10" customWidth="1"/>
    <col min="14640" max="14848" width="11.42578125" style="10"/>
    <col min="14849" max="14849" width="3.85546875" style="10" customWidth="1"/>
    <col min="14850" max="14850" width="8.5703125" style="10" customWidth="1"/>
    <col min="14851" max="14851" width="8.140625" style="10" customWidth="1"/>
    <col min="14852" max="14855" width="3.85546875" style="10" customWidth="1"/>
    <col min="14856" max="14856" width="12.42578125" style="10" customWidth="1"/>
    <col min="14857" max="14857" width="3.85546875" style="10" customWidth="1"/>
    <col min="14858" max="14858" width="45.7109375" style="10" customWidth="1"/>
    <col min="14859" max="14861" width="0" style="10" hidden="1" customWidth="1"/>
    <col min="14862" max="14862" width="35.42578125" style="10" customWidth="1"/>
    <col min="14863" max="14863" width="25.85546875" style="10" customWidth="1"/>
    <col min="14864" max="14864" width="28.85546875" style="10" customWidth="1"/>
    <col min="14865" max="14865" width="30.42578125" style="10" customWidth="1"/>
    <col min="14866" max="14866" width="23.5703125" style="10" customWidth="1"/>
    <col min="14867" max="14867" width="24.42578125" style="10" customWidth="1"/>
    <col min="14868" max="14868" width="23" style="10" customWidth="1"/>
    <col min="14869" max="14869" width="26.85546875" style="10" customWidth="1"/>
    <col min="14870" max="14870" width="29" style="10" customWidth="1"/>
    <col min="14871" max="14871" width="34.140625" style="10" customWidth="1"/>
    <col min="14872" max="14872" width="29" style="10" customWidth="1"/>
    <col min="14873" max="14873" width="25" style="10" customWidth="1"/>
    <col min="14874" max="14874" width="36.28515625" style="10" customWidth="1"/>
    <col min="14875" max="14875" width="36.140625" style="10" customWidth="1"/>
    <col min="14876" max="14876" width="31.5703125" style="10" customWidth="1"/>
    <col min="14877" max="14877" width="0" style="10" hidden="1" customWidth="1"/>
    <col min="14878" max="14878" width="35.28515625" style="10" customWidth="1"/>
    <col min="14879" max="14879" width="31" style="10" customWidth="1"/>
    <col min="14880" max="14880" width="34.7109375" style="10" customWidth="1"/>
    <col min="14881" max="14881" width="31.42578125" style="10" customWidth="1"/>
    <col min="14882" max="14882" width="22.5703125" style="10" customWidth="1"/>
    <col min="14883" max="14886" width="0" style="10" hidden="1" customWidth="1"/>
    <col min="14887" max="14887" width="3" style="10" customWidth="1"/>
    <col min="14888" max="14888" width="26.85546875" style="10" customWidth="1"/>
    <col min="14889" max="14889" width="29.85546875" style="10" customWidth="1"/>
    <col min="14890" max="14890" width="32.7109375" style="10" customWidth="1"/>
    <col min="14891" max="14891" width="34.85546875" style="10" customWidth="1"/>
    <col min="14892" max="14892" width="30.42578125" style="10" customWidth="1"/>
    <col min="14893" max="14893" width="13.85546875" style="10" customWidth="1"/>
    <col min="14894" max="14894" width="39.42578125" style="10" customWidth="1"/>
    <col min="14895" max="14895" width="23.5703125" style="10" customWidth="1"/>
    <col min="14896" max="15104" width="11.42578125" style="10"/>
    <col min="15105" max="15105" width="3.85546875" style="10" customWidth="1"/>
    <col min="15106" max="15106" width="8.5703125" style="10" customWidth="1"/>
    <col min="15107" max="15107" width="8.140625" style="10" customWidth="1"/>
    <col min="15108" max="15111" width="3.85546875" style="10" customWidth="1"/>
    <col min="15112" max="15112" width="12.42578125" style="10" customWidth="1"/>
    <col min="15113" max="15113" width="3.85546875" style="10" customWidth="1"/>
    <col min="15114" max="15114" width="45.7109375" style="10" customWidth="1"/>
    <col min="15115" max="15117" width="0" style="10" hidden="1" customWidth="1"/>
    <col min="15118" max="15118" width="35.42578125" style="10" customWidth="1"/>
    <col min="15119" max="15119" width="25.85546875" style="10" customWidth="1"/>
    <col min="15120" max="15120" width="28.85546875" style="10" customWidth="1"/>
    <col min="15121" max="15121" width="30.42578125" style="10" customWidth="1"/>
    <col min="15122" max="15122" width="23.5703125" style="10" customWidth="1"/>
    <col min="15123" max="15123" width="24.42578125" style="10" customWidth="1"/>
    <col min="15124" max="15124" width="23" style="10" customWidth="1"/>
    <col min="15125" max="15125" width="26.85546875" style="10" customWidth="1"/>
    <col min="15126" max="15126" width="29" style="10" customWidth="1"/>
    <col min="15127" max="15127" width="34.140625" style="10" customWidth="1"/>
    <col min="15128" max="15128" width="29" style="10" customWidth="1"/>
    <col min="15129" max="15129" width="25" style="10" customWidth="1"/>
    <col min="15130" max="15130" width="36.28515625" style="10" customWidth="1"/>
    <col min="15131" max="15131" width="36.140625" style="10" customWidth="1"/>
    <col min="15132" max="15132" width="31.5703125" style="10" customWidth="1"/>
    <col min="15133" max="15133" width="0" style="10" hidden="1" customWidth="1"/>
    <col min="15134" max="15134" width="35.28515625" style="10" customWidth="1"/>
    <col min="15135" max="15135" width="31" style="10" customWidth="1"/>
    <col min="15136" max="15136" width="34.7109375" style="10" customWidth="1"/>
    <col min="15137" max="15137" width="31.42578125" style="10" customWidth="1"/>
    <col min="15138" max="15138" width="22.5703125" style="10" customWidth="1"/>
    <col min="15139" max="15142" width="0" style="10" hidden="1" customWidth="1"/>
    <col min="15143" max="15143" width="3" style="10" customWidth="1"/>
    <col min="15144" max="15144" width="26.85546875" style="10" customWidth="1"/>
    <col min="15145" max="15145" width="29.85546875" style="10" customWidth="1"/>
    <col min="15146" max="15146" width="32.7109375" style="10" customWidth="1"/>
    <col min="15147" max="15147" width="34.85546875" style="10" customWidth="1"/>
    <col min="15148" max="15148" width="30.42578125" style="10" customWidth="1"/>
    <col min="15149" max="15149" width="13.85546875" style="10" customWidth="1"/>
    <col min="15150" max="15150" width="39.42578125" style="10" customWidth="1"/>
    <col min="15151" max="15151" width="23.5703125" style="10" customWidth="1"/>
    <col min="15152" max="15360" width="11.42578125" style="10"/>
    <col min="15361" max="15361" width="3.85546875" style="10" customWidth="1"/>
    <col min="15362" max="15362" width="8.5703125" style="10" customWidth="1"/>
    <col min="15363" max="15363" width="8.140625" style="10" customWidth="1"/>
    <col min="15364" max="15367" width="3.85546875" style="10" customWidth="1"/>
    <col min="15368" max="15368" width="12.42578125" style="10" customWidth="1"/>
    <col min="15369" max="15369" width="3.85546875" style="10" customWidth="1"/>
    <col min="15370" max="15370" width="45.7109375" style="10" customWidth="1"/>
    <col min="15371" max="15373" width="0" style="10" hidden="1" customWidth="1"/>
    <col min="15374" max="15374" width="35.42578125" style="10" customWidth="1"/>
    <col min="15375" max="15375" width="25.85546875" style="10" customWidth="1"/>
    <col min="15376" max="15376" width="28.85546875" style="10" customWidth="1"/>
    <col min="15377" max="15377" width="30.42578125" style="10" customWidth="1"/>
    <col min="15378" max="15378" width="23.5703125" style="10" customWidth="1"/>
    <col min="15379" max="15379" width="24.42578125" style="10" customWidth="1"/>
    <col min="15380" max="15380" width="23" style="10" customWidth="1"/>
    <col min="15381" max="15381" width="26.85546875" style="10" customWidth="1"/>
    <col min="15382" max="15382" width="29" style="10" customWidth="1"/>
    <col min="15383" max="15383" width="34.140625" style="10" customWidth="1"/>
    <col min="15384" max="15384" width="29" style="10" customWidth="1"/>
    <col min="15385" max="15385" width="25" style="10" customWidth="1"/>
    <col min="15386" max="15386" width="36.28515625" style="10" customWidth="1"/>
    <col min="15387" max="15387" width="36.140625" style="10" customWidth="1"/>
    <col min="15388" max="15388" width="31.5703125" style="10" customWidth="1"/>
    <col min="15389" max="15389" width="0" style="10" hidden="1" customWidth="1"/>
    <col min="15390" max="15390" width="35.28515625" style="10" customWidth="1"/>
    <col min="15391" max="15391" width="31" style="10" customWidth="1"/>
    <col min="15392" max="15392" width="34.7109375" style="10" customWidth="1"/>
    <col min="15393" max="15393" width="31.42578125" style="10" customWidth="1"/>
    <col min="15394" max="15394" width="22.5703125" style="10" customWidth="1"/>
    <col min="15395" max="15398" width="0" style="10" hidden="1" customWidth="1"/>
    <col min="15399" max="15399" width="3" style="10" customWidth="1"/>
    <col min="15400" max="15400" width="26.85546875" style="10" customWidth="1"/>
    <col min="15401" max="15401" width="29.85546875" style="10" customWidth="1"/>
    <col min="15402" max="15402" width="32.7109375" style="10" customWidth="1"/>
    <col min="15403" max="15403" width="34.85546875" style="10" customWidth="1"/>
    <col min="15404" max="15404" width="30.42578125" style="10" customWidth="1"/>
    <col min="15405" max="15405" width="13.85546875" style="10" customWidth="1"/>
    <col min="15406" max="15406" width="39.42578125" style="10" customWidth="1"/>
    <col min="15407" max="15407" width="23.5703125" style="10" customWidth="1"/>
    <col min="15408" max="15616" width="11.42578125" style="10"/>
    <col min="15617" max="15617" width="3.85546875" style="10" customWidth="1"/>
    <col min="15618" max="15618" width="8.5703125" style="10" customWidth="1"/>
    <col min="15619" max="15619" width="8.140625" style="10" customWidth="1"/>
    <col min="15620" max="15623" width="3.85546875" style="10" customWidth="1"/>
    <col min="15624" max="15624" width="12.42578125" style="10" customWidth="1"/>
    <col min="15625" max="15625" width="3.85546875" style="10" customWidth="1"/>
    <col min="15626" max="15626" width="45.7109375" style="10" customWidth="1"/>
    <col min="15627" max="15629" width="0" style="10" hidden="1" customWidth="1"/>
    <col min="15630" max="15630" width="35.42578125" style="10" customWidth="1"/>
    <col min="15631" max="15631" width="25.85546875" style="10" customWidth="1"/>
    <col min="15632" max="15632" width="28.85546875" style="10" customWidth="1"/>
    <col min="15633" max="15633" width="30.42578125" style="10" customWidth="1"/>
    <col min="15634" max="15634" width="23.5703125" style="10" customWidth="1"/>
    <col min="15635" max="15635" width="24.42578125" style="10" customWidth="1"/>
    <col min="15636" max="15636" width="23" style="10" customWidth="1"/>
    <col min="15637" max="15637" width="26.85546875" style="10" customWidth="1"/>
    <col min="15638" max="15638" width="29" style="10" customWidth="1"/>
    <col min="15639" max="15639" width="34.140625" style="10" customWidth="1"/>
    <col min="15640" max="15640" width="29" style="10" customWidth="1"/>
    <col min="15641" max="15641" width="25" style="10" customWidth="1"/>
    <col min="15642" max="15642" width="36.28515625" style="10" customWidth="1"/>
    <col min="15643" max="15643" width="36.140625" style="10" customWidth="1"/>
    <col min="15644" max="15644" width="31.5703125" style="10" customWidth="1"/>
    <col min="15645" max="15645" width="0" style="10" hidden="1" customWidth="1"/>
    <col min="15646" max="15646" width="35.28515625" style="10" customWidth="1"/>
    <col min="15647" max="15647" width="31" style="10" customWidth="1"/>
    <col min="15648" max="15648" width="34.7109375" style="10" customWidth="1"/>
    <col min="15649" max="15649" width="31.42578125" style="10" customWidth="1"/>
    <col min="15650" max="15650" width="22.5703125" style="10" customWidth="1"/>
    <col min="15651" max="15654" width="0" style="10" hidden="1" customWidth="1"/>
    <col min="15655" max="15655" width="3" style="10" customWidth="1"/>
    <col min="15656" max="15656" width="26.85546875" style="10" customWidth="1"/>
    <col min="15657" max="15657" width="29.85546875" style="10" customWidth="1"/>
    <col min="15658" max="15658" width="32.7109375" style="10" customWidth="1"/>
    <col min="15659" max="15659" width="34.85546875" style="10" customWidth="1"/>
    <col min="15660" max="15660" width="30.42578125" style="10" customWidth="1"/>
    <col min="15661" max="15661" width="13.85546875" style="10" customWidth="1"/>
    <col min="15662" max="15662" width="39.42578125" style="10" customWidth="1"/>
    <col min="15663" max="15663" width="23.5703125" style="10" customWidth="1"/>
    <col min="15664" max="15872" width="11.42578125" style="10"/>
    <col min="15873" max="15873" width="3.85546875" style="10" customWidth="1"/>
    <col min="15874" max="15874" width="8.5703125" style="10" customWidth="1"/>
    <col min="15875" max="15875" width="8.140625" style="10" customWidth="1"/>
    <col min="15876" max="15879" width="3.85546875" style="10" customWidth="1"/>
    <col min="15880" max="15880" width="12.42578125" style="10" customWidth="1"/>
    <col min="15881" max="15881" width="3.85546875" style="10" customWidth="1"/>
    <col min="15882" max="15882" width="45.7109375" style="10" customWidth="1"/>
    <col min="15883" max="15885" width="0" style="10" hidden="1" customWidth="1"/>
    <col min="15886" max="15886" width="35.42578125" style="10" customWidth="1"/>
    <col min="15887" max="15887" width="25.85546875" style="10" customWidth="1"/>
    <col min="15888" max="15888" width="28.85546875" style="10" customWidth="1"/>
    <col min="15889" max="15889" width="30.42578125" style="10" customWidth="1"/>
    <col min="15890" max="15890" width="23.5703125" style="10" customWidth="1"/>
    <col min="15891" max="15891" width="24.42578125" style="10" customWidth="1"/>
    <col min="15892" max="15892" width="23" style="10" customWidth="1"/>
    <col min="15893" max="15893" width="26.85546875" style="10" customWidth="1"/>
    <col min="15894" max="15894" width="29" style="10" customWidth="1"/>
    <col min="15895" max="15895" width="34.140625" style="10" customWidth="1"/>
    <col min="15896" max="15896" width="29" style="10" customWidth="1"/>
    <col min="15897" max="15897" width="25" style="10" customWidth="1"/>
    <col min="15898" max="15898" width="36.28515625" style="10" customWidth="1"/>
    <col min="15899" max="15899" width="36.140625" style="10" customWidth="1"/>
    <col min="15900" max="15900" width="31.5703125" style="10" customWidth="1"/>
    <col min="15901" max="15901" width="0" style="10" hidden="1" customWidth="1"/>
    <col min="15902" max="15902" width="35.28515625" style="10" customWidth="1"/>
    <col min="15903" max="15903" width="31" style="10" customWidth="1"/>
    <col min="15904" max="15904" width="34.7109375" style="10" customWidth="1"/>
    <col min="15905" max="15905" width="31.42578125" style="10" customWidth="1"/>
    <col min="15906" max="15906" width="22.5703125" style="10" customWidth="1"/>
    <col min="15907" max="15910" width="0" style="10" hidden="1" customWidth="1"/>
    <col min="15911" max="15911" width="3" style="10" customWidth="1"/>
    <col min="15912" max="15912" width="26.85546875" style="10" customWidth="1"/>
    <col min="15913" max="15913" width="29.85546875" style="10" customWidth="1"/>
    <col min="15914" max="15914" width="32.7109375" style="10" customWidth="1"/>
    <col min="15915" max="15915" width="34.85546875" style="10" customWidth="1"/>
    <col min="15916" max="15916" width="30.42578125" style="10" customWidth="1"/>
    <col min="15917" max="15917" width="13.85546875" style="10" customWidth="1"/>
    <col min="15918" max="15918" width="39.42578125" style="10" customWidth="1"/>
    <col min="15919" max="15919" width="23.5703125" style="10" customWidth="1"/>
    <col min="15920" max="16128" width="11.42578125" style="10"/>
    <col min="16129" max="16129" width="3.85546875" style="10" customWidth="1"/>
    <col min="16130" max="16130" width="8.5703125" style="10" customWidth="1"/>
    <col min="16131" max="16131" width="8.140625" style="10" customWidth="1"/>
    <col min="16132" max="16135" width="3.85546875" style="10" customWidth="1"/>
    <col min="16136" max="16136" width="12.42578125" style="10" customWidth="1"/>
    <col min="16137" max="16137" width="3.85546875" style="10" customWidth="1"/>
    <col min="16138" max="16138" width="45.7109375" style="10" customWidth="1"/>
    <col min="16139" max="16141" width="0" style="10" hidden="1" customWidth="1"/>
    <col min="16142" max="16142" width="35.42578125" style="10" customWidth="1"/>
    <col min="16143" max="16143" width="25.85546875" style="10" customWidth="1"/>
    <col min="16144" max="16144" width="28.85546875" style="10" customWidth="1"/>
    <col min="16145" max="16145" width="30.42578125" style="10" customWidth="1"/>
    <col min="16146" max="16146" width="23.5703125" style="10" customWidth="1"/>
    <col min="16147" max="16147" width="24.42578125" style="10" customWidth="1"/>
    <col min="16148" max="16148" width="23" style="10" customWidth="1"/>
    <col min="16149" max="16149" width="26.85546875" style="10" customWidth="1"/>
    <col min="16150" max="16150" width="29" style="10" customWidth="1"/>
    <col min="16151" max="16151" width="34.140625" style="10" customWidth="1"/>
    <col min="16152" max="16152" width="29" style="10" customWidth="1"/>
    <col min="16153" max="16153" width="25" style="10" customWidth="1"/>
    <col min="16154" max="16154" width="36.28515625" style="10" customWidth="1"/>
    <col min="16155" max="16155" width="36.140625" style="10" customWidth="1"/>
    <col min="16156" max="16156" width="31.5703125" style="10" customWidth="1"/>
    <col min="16157" max="16157" width="0" style="10" hidden="1" customWidth="1"/>
    <col min="16158" max="16158" width="35.28515625" style="10" customWidth="1"/>
    <col min="16159" max="16159" width="31" style="10" customWidth="1"/>
    <col min="16160" max="16160" width="34.7109375" style="10" customWidth="1"/>
    <col min="16161" max="16161" width="31.42578125" style="10" customWidth="1"/>
    <col min="16162" max="16162" width="22.5703125" style="10" customWidth="1"/>
    <col min="16163" max="16166" width="0" style="10" hidden="1" customWidth="1"/>
    <col min="16167" max="16167" width="3" style="10" customWidth="1"/>
    <col min="16168" max="16168" width="26.85546875" style="10" customWidth="1"/>
    <col min="16169" max="16169" width="29.85546875" style="10" customWidth="1"/>
    <col min="16170" max="16170" width="32.7109375" style="10" customWidth="1"/>
    <col min="16171" max="16171" width="34.85546875" style="10" customWidth="1"/>
    <col min="16172" max="16172" width="30.42578125" style="10" customWidth="1"/>
    <col min="16173" max="16173" width="13.85546875" style="10" customWidth="1"/>
    <col min="16174" max="16174" width="39.42578125" style="10" customWidth="1"/>
    <col min="16175" max="16175" width="23.5703125" style="10" customWidth="1"/>
    <col min="16176" max="16384" width="11.42578125" style="10"/>
  </cols>
  <sheetData>
    <row r="1" spans="1:47" ht="18" customHeight="1" x14ac:dyDescent="0.35">
      <c r="A1" s="775" t="s">
        <v>113</v>
      </c>
      <c r="B1" s="775"/>
      <c r="C1" s="775"/>
      <c r="D1" s="775"/>
      <c r="E1" s="775"/>
      <c r="F1" s="775"/>
      <c r="G1" s="775"/>
      <c r="H1" s="775"/>
      <c r="I1" s="775"/>
      <c r="J1" s="775"/>
      <c r="K1" s="775"/>
      <c r="L1" s="775"/>
      <c r="M1" s="775"/>
      <c r="N1" s="775"/>
      <c r="O1" s="775"/>
      <c r="P1" s="775"/>
      <c r="Q1" s="775"/>
      <c r="R1" s="775"/>
      <c r="S1" s="775"/>
      <c r="T1" s="775"/>
      <c r="U1" s="775"/>
      <c r="V1" s="775"/>
      <c r="W1" s="775"/>
      <c r="X1" s="775"/>
      <c r="Y1" s="775"/>
      <c r="Z1" s="775"/>
      <c r="AA1" s="775"/>
      <c r="AB1" s="652"/>
      <c r="AC1" s="652"/>
      <c r="AE1" s="106"/>
    </row>
    <row r="2" spans="1:47" ht="25.5" customHeight="1" x14ac:dyDescent="0.35">
      <c r="A2" s="776" t="s">
        <v>320</v>
      </c>
      <c r="B2" s="776"/>
      <c r="C2" s="776"/>
      <c r="D2" s="776"/>
      <c r="E2" s="776"/>
      <c r="F2" s="776"/>
      <c r="G2" s="776"/>
      <c r="H2" s="776"/>
      <c r="I2" s="776"/>
      <c r="J2" s="776"/>
      <c r="K2" s="776"/>
      <c r="L2" s="776"/>
      <c r="M2" s="776"/>
      <c r="N2" s="776"/>
      <c r="O2" s="776"/>
      <c r="P2" s="776"/>
      <c r="Q2" s="776"/>
      <c r="R2" s="776"/>
      <c r="S2" s="776"/>
      <c r="T2" s="776"/>
      <c r="U2" s="776"/>
      <c r="V2" s="776"/>
      <c r="W2" s="776"/>
      <c r="X2" s="776"/>
      <c r="Y2" s="776"/>
      <c r="Z2" s="776"/>
      <c r="AA2" s="776"/>
      <c r="AB2" s="652"/>
      <c r="AC2" s="652"/>
      <c r="AD2" s="106"/>
      <c r="AE2" s="106"/>
      <c r="AF2" s="106"/>
      <c r="AG2" s="114"/>
      <c r="AQ2" s="111">
        <f>SUM(AQ4-AP4)</f>
        <v>0</v>
      </c>
    </row>
    <row r="3" spans="1:47" ht="36.75" customHeight="1" x14ac:dyDescent="0.4">
      <c r="A3" s="22"/>
      <c r="B3" s="777">
        <f>SUM(N14)</f>
        <v>2601173403</v>
      </c>
      <c r="C3" s="777"/>
      <c r="D3" s="777"/>
      <c r="E3" s="777"/>
      <c r="F3" s="777"/>
      <c r="G3" s="777"/>
      <c r="H3" s="777"/>
      <c r="I3" s="777"/>
      <c r="J3" s="60">
        <f>SUM(N89)</f>
        <v>2601173403</v>
      </c>
      <c r="K3" s="22"/>
      <c r="L3" s="22"/>
      <c r="M3" s="22"/>
      <c r="N3" s="115"/>
      <c r="O3" s="116"/>
      <c r="P3" s="22"/>
      <c r="Q3" s="22"/>
      <c r="R3" s="22"/>
      <c r="S3" s="22"/>
      <c r="T3" s="22"/>
      <c r="U3" s="22"/>
      <c r="V3" s="22"/>
      <c r="W3" s="22"/>
      <c r="X3" s="117"/>
      <c r="Y3" s="22"/>
      <c r="Z3" s="22"/>
      <c r="AA3" s="22"/>
      <c r="AB3" s="118"/>
      <c r="AC3" s="118"/>
      <c r="AF3" s="10" t="s">
        <v>321</v>
      </c>
      <c r="AM3" s="119"/>
    </row>
    <row r="4" spans="1:47" ht="27.75" customHeight="1" x14ac:dyDescent="0.4">
      <c r="A4" s="23" t="s">
        <v>87</v>
      </c>
      <c r="B4" s="57" t="s">
        <v>87</v>
      </c>
      <c r="C4" s="57" t="s">
        <v>87</v>
      </c>
      <c r="D4" s="57" t="s">
        <v>87</v>
      </c>
      <c r="E4" s="57" t="s">
        <v>87</v>
      </c>
      <c r="F4" s="57" t="s">
        <v>87</v>
      </c>
      <c r="G4" s="57" t="s">
        <v>87</v>
      </c>
      <c r="H4" s="57" t="s">
        <v>87</v>
      </c>
      <c r="I4" s="57" t="s">
        <v>87</v>
      </c>
      <c r="J4" s="620">
        <f>SUM(N14-N89)</f>
        <v>0</v>
      </c>
      <c r="K4" s="737" t="s">
        <v>322</v>
      </c>
      <c r="L4" s="737" t="s">
        <v>323</v>
      </c>
      <c r="M4" s="737" t="s">
        <v>324</v>
      </c>
      <c r="N4" s="619"/>
      <c r="O4" s="120" t="s">
        <v>87</v>
      </c>
      <c r="P4" s="120" t="s">
        <v>87</v>
      </c>
      <c r="Q4" s="121" t="s">
        <v>325</v>
      </c>
      <c r="R4" s="122"/>
      <c r="S4" s="122"/>
      <c r="T4" s="122"/>
      <c r="U4" s="122"/>
      <c r="V4" s="121"/>
      <c r="W4" s="121"/>
      <c r="X4" s="123"/>
      <c r="Y4" s="124"/>
      <c r="Z4" s="125"/>
      <c r="AA4" s="783" t="s">
        <v>326</v>
      </c>
      <c r="AB4" s="784"/>
      <c r="AC4" s="784"/>
      <c r="AD4" s="784"/>
      <c r="AE4" s="784"/>
      <c r="AF4" s="126"/>
      <c r="AG4" s="127"/>
      <c r="AH4" s="128"/>
      <c r="AI4" s="129"/>
      <c r="AJ4" s="130"/>
      <c r="AK4" s="129"/>
      <c r="AL4" s="785" t="s">
        <v>327</v>
      </c>
      <c r="AO4" s="106">
        <f>AE30+X30</f>
        <v>25184787</v>
      </c>
      <c r="AP4" s="131">
        <f>SUM(AP6:AP95)</f>
        <v>114530856</v>
      </c>
      <c r="AQ4" s="131">
        <f>SUM(AQ6:AQ95)</f>
        <v>114530856</v>
      </c>
      <c r="AR4" s="132">
        <f>SUM(AP4-AQ4)</f>
        <v>0</v>
      </c>
      <c r="AS4" s="133"/>
      <c r="AT4" s="133" t="s">
        <v>328</v>
      </c>
    </row>
    <row r="5" spans="1:47" ht="102.75" customHeight="1" x14ac:dyDescent="0.35">
      <c r="A5" s="24" t="s">
        <v>112</v>
      </c>
      <c r="B5" s="651" t="s">
        <v>111</v>
      </c>
      <c r="C5" s="651" t="s">
        <v>110</v>
      </c>
      <c r="D5" s="651" t="s">
        <v>109</v>
      </c>
      <c r="E5" s="651" t="s">
        <v>108</v>
      </c>
      <c r="F5" s="651" t="s">
        <v>107</v>
      </c>
      <c r="G5" s="651" t="s">
        <v>106</v>
      </c>
      <c r="H5" s="651" t="s">
        <v>105</v>
      </c>
      <c r="I5" s="651" t="s">
        <v>104</v>
      </c>
      <c r="J5" s="59" t="s">
        <v>103</v>
      </c>
      <c r="K5" s="738"/>
      <c r="L5" s="738"/>
      <c r="M5" s="738"/>
      <c r="N5" s="59" t="s">
        <v>329</v>
      </c>
      <c r="O5" s="59" t="s">
        <v>330</v>
      </c>
      <c r="P5" s="134" t="s">
        <v>331</v>
      </c>
      <c r="Q5" s="59" t="s">
        <v>332</v>
      </c>
      <c r="R5" s="37" t="s">
        <v>174</v>
      </c>
      <c r="S5" s="37" t="s">
        <v>187</v>
      </c>
      <c r="T5" s="37" t="s">
        <v>188</v>
      </c>
      <c r="U5" s="37" t="s">
        <v>172</v>
      </c>
      <c r="V5" s="59" t="s">
        <v>333</v>
      </c>
      <c r="W5" s="59" t="s">
        <v>334</v>
      </c>
      <c r="X5" s="135" t="s">
        <v>335</v>
      </c>
      <c r="Y5" s="136" t="s">
        <v>336</v>
      </c>
      <c r="Z5" s="59" t="s">
        <v>337</v>
      </c>
      <c r="AA5" s="137" t="s">
        <v>338</v>
      </c>
      <c r="AB5" s="138" t="s">
        <v>339</v>
      </c>
      <c r="AC5" s="138" t="s">
        <v>340</v>
      </c>
      <c r="AD5" s="139" t="s">
        <v>341</v>
      </c>
      <c r="AE5" s="139" t="s">
        <v>342</v>
      </c>
      <c r="AF5" s="140" t="s">
        <v>343</v>
      </c>
      <c r="AG5" s="141" t="s">
        <v>542</v>
      </c>
      <c r="AH5" s="142" t="s">
        <v>344</v>
      </c>
      <c r="AI5" s="143" t="s">
        <v>345</v>
      </c>
      <c r="AJ5" s="130" t="s">
        <v>346</v>
      </c>
      <c r="AK5" s="144" t="s">
        <v>347</v>
      </c>
      <c r="AL5" s="786"/>
      <c r="AM5" s="145"/>
      <c r="AN5" s="146" t="s">
        <v>348</v>
      </c>
      <c r="AO5" s="146" t="s">
        <v>349</v>
      </c>
      <c r="AP5" s="787" t="s">
        <v>350</v>
      </c>
      <c r="AQ5" s="787"/>
    </row>
    <row r="6" spans="1:47" ht="88.9" customHeight="1" x14ac:dyDescent="0.35">
      <c r="A6" s="147" t="s">
        <v>100</v>
      </c>
      <c r="B6" s="38">
        <v>1</v>
      </c>
      <c r="C6" s="38">
        <v>0</v>
      </c>
      <c r="D6" s="38">
        <v>2</v>
      </c>
      <c r="E6" s="38">
        <v>12</v>
      </c>
      <c r="F6" s="38"/>
      <c r="G6" s="38"/>
      <c r="H6" s="38">
        <v>10</v>
      </c>
      <c r="I6" s="148"/>
      <c r="J6" s="149" t="s">
        <v>351</v>
      </c>
      <c r="K6" s="671"/>
      <c r="L6" s="671"/>
      <c r="M6" s="671"/>
      <c r="N6" s="45">
        <v>123423893</v>
      </c>
      <c r="O6" s="45"/>
      <c r="P6" s="45"/>
      <c r="Q6" s="45">
        <f>SUM(N6+O6-P6)</f>
        <v>123423893</v>
      </c>
      <c r="R6" s="45"/>
      <c r="S6" s="150"/>
      <c r="T6" s="151"/>
      <c r="U6" s="151"/>
      <c r="V6" s="45"/>
      <c r="W6" s="45">
        <v>6961500</v>
      </c>
      <c r="X6" s="152">
        <f>SUM(U6)</f>
        <v>0</v>
      </c>
      <c r="Y6" s="153"/>
      <c r="Z6" s="154">
        <f>SUM(Q6-R6-T6-V6-W6-X6-Y6)</f>
        <v>116462393</v>
      </c>
      <c r="AA6" s="687">
        <v>117882684</v>
      </c>
      <c r="AB6" s="154">
        <v>104921450</v>
      </c>
      <c r="AC6" s="155">
        <f t="shared" ref="AC6:AC57" si="0">SUM(AA6-AB6)</f>
        <v>12961234</v>
      </c>
      <c r="AD6" s="153">
        <f>SUM(Z6-AB6)</f>
        <v>11540943</v>
      </c>
      <c r="AE6" s="153">
        <v>5162484</v>
      </c>
      <c r="AF6" s="156">
        <f>SUM(AD6-AE6)</f>
        <v>6378459</v>
      </c>
      <c r="AG6" s="612">
        <f>SUM(R6+T6+V6+Y6+W6+AB6)</f>
        <v>111882950</v>
      </c>
      <c r="AH6" s="157">
        <f>AB6/(AB6+AE6+AF6)</f>
        <v>0.90090412275832255</v>
      </c>
      <c r="AI6" s="158"/>
      <c r="AJ6" s="159"/>
      <c r="AK6" s="160" t="e">
        <f>SUM(AD6-AE6-#REF!-#REF!)</f>
        <v>#REF!</v>
      </c>
      <c r="AL6" s="161">
        <f>SUM(Q6-(AD6+X6))/Q6</f>
        <v>0.9064934453169452</v>
      </c>
      <c r="AM6" s="162"/>
      <c r="AN6" s="163"/>
      <c r="AO6" s="673" t="s">
        <v>1881</v>
      </c>
      <c r="AP6" s="664"/>
      <c r="AQ6" s="164"/>
    </row>
    <row r="7" spans="1:47" s="107" customFormat="1" ht="29.25" customHeight="1" x14ac:dyDescent="0.35">
      <c r="A7" s="165"/>
      <c r="B7" s="38">
        <v>1</v>
      </c>
      <c r="C7" s="38">
        <v>0</v>
      </c>
      <c r="D7" s="38">
        <v>2</v>
      </c>
      <c r="E7" s="38">
        <v>100</v>
      </c>
      <c r="F7" s="38"/>
      <c r="G7" s="38"/>
      <c r="H7" s="38"/>
      <c r="I7" s="38"/>
      <c r="J7" s="36" t="s">
        <v>352</v>
      </c>
      <c r="K7" s="671"/>
      <c r="L7" s="671"/>
      <c r="M7" s="671"/>
      <c r="N7" s="45">
        <v>1000000</v>
      </c>
      <c r="O7" s="45"/>
      <c r="P7" s="45"/>
      <c r="Q7" s="45">
        <f>SUM(N7+O7-P7)</f>
        <v>1000000</v>
      </c>
      <c r="R7" s="45"/>
      <c r="S7" s="150"/>
      <c r="T7" s="45"/>
      <c r="U7" s="45"/>
      <c r="V7" s="45">
        <v>1500000</v>
      </c>
      <c r="W7" s="45"/>
      <c r="X7" s="152">
        <f>SUM(U7)</f>
        <v>0</v>
      </c>
      <c r="Y7" s="153"/>
      <c r="Z7" s="154"/>
      <c r="AA7" s="154"/>
      <c r="AB7" s="154"/>
      <c r="AC7" s="154">
        <f t="shared" si="0"/>
        <v>0</v>
      </c>
      <c r="AD7" s="153">
        <f>SUM(Z7-AB7)</f>
        <v>0</v>
      </c>
      <c r="AE7" s="153"/>
      <c r="AF7" s="153">
        <f>SUM(AD7-AE7)</f>
        <v>0</v>
      </c>
      <c r="AG7" s="612">
        <f>SUM(R7+T7+V7+Y7+W7+AB7)</f>
        <v>1500000</v>
      </c>
      <c r="AH7" s="166" t="s">
        <v>36</v>
      </c>
      <c r="AI7" s="158"/>
      <c r="AJ7" s="159"/>
      <c r="AK7" s="160" t="e">
        <f>SUM(AD7-AE7-#REF!-#REF!)</f>
        <v>#REF!</v>
      </c>
      <c r="AL7" s="161">
        <f>SUM(Q7-(AD7+X7))/Q7</f>
        <v>1</v>
      </c>
      <c r="AM7" s="167"/>
      <c r="AN7" s="168"/>
      <c r="AO7" s="169"/>
      <c r="AP7" s="52"/>
      <c r="AQ7" s="52"/>
      <c r="AR7" s="170"/>
      <c r="AU7" s="171"/>
    </row>
    <row r="8" spans="1:47" s="28" customFormat="1" ht="42" customHeight="1" x14ac:dyDescent="0.35">
      <c r="A8" s="27"/>
      <c r="B8" s="172"/>
      <c r="C8" s="172"/>
      <c r="D8" s="172"/>
      <c r="E8" s="172"/>
      <c r="F8" s="172"/>
      <c r="G8" s="172"/>
      <c r="H8" s="172"/>
      <c r="I8" s="172"/>
      <c r="J8" s="173" t="s">
        <v>353</v>
      </c>
      <c r="K8" s="174"/>
      <c r="L8" s="174"/>
      <c r="M8" s="174"/>
      <c r="N8" s="175">
        <f>SUM(N6:N7)</f>
        <v>124423893</v>
      </c>
      <c r="O8" s="175">
        <f>SUM(O6:O7)</f>
        <v>0</v>
      </c>
      <c r="P8" s="175">
        <f>SUM(P6:P7)</f>
        <v>0</v>
      </c>
      <c r="Q8" s="175">
        <f>SUM(Q6:Q7)</f>
        <v>124423893</v>
      </c>
      <c r="R8" s="175"/>
      <c r="S8" s="176"/>
      <c r="T8" s="175">
        <f>SUM(T6:T7)</f>
        <v>0</v>
      </c>
      <c r="U8" s="175">
        <f>SUM(U6:U7)</f>
        <v>0</v>
      </c>
      <c r="V8" s="175">
        <f>SUM(V6:V7)</f>
        <v>1500000</v>
      </c>
      <c r="W8" s="175">
        <f t="shared" ref="W8:AF8" si="1">SUM(W6:W7)</f>
        <v>6961500</v>
      </c>
      <c r="X8" s="177">
        <f t="shared" si="1"/>
        <v>0</v>
      </c>
      <c r="Y8" s="178">
        <f t="shared" si="1"/>
        <v>0</v>
      </c>
      <c r="Z8" s="178">
        <f t="shared" si="1"/>
        <v>116462393</v>
      </c>
      <c r="AA8" s="178">
        <f t="shared" si="1"/>
        <v>117882684</v>
      </c>
      <c r="AB8" s="178">
        <f t="shared" si="1"/>
        <v>104921450</v>
      </c>
      <c r="AC8" s="178">
        <f t="shared" si="1"/>
        <v>12961234</v>
      </c>
      <c r="AD8" s="178">
        <f t="shared" si="1"/>
        <v>11540943</v>
      </c>
      <c r="AE8" s="178">
        <f t="shared" si="1"/>
        <v>5162484</v>
      </c>
      <c r="AF8" s="178">
        <f t="shared" si="1"/>
        <v>6378459</v>
      </c>
      <c r="AG8" s="175"/>
      <c r="AH8" s="179">
        <f>AB8/(AB8+AE8+AF8)</f>
        <v>0.90090412275832255</v>
      </c>
      <c r="AI8" s="180"/>
      <c r="AJ8" s="181"/>
      <c r="AK8" s="182" t="e">
        <f>SUM(AD8-AE8-#REF!-#REF!)</f>
        <v>#REF!</v>
      </c>
      <c r="AL8" s="183">
        <f>SUM(Q8-(AD8+X8))/Q8</f>
        <v>0.90724496138374322</v>
      </c>
      <c r="AM8" s="184"/>
      <c r="AN8" s="185"/>
      <c r="AO8" s="186"/>
      <c r="AP8" s="187"/>
      <c r="AQ8" s="187"/>
      <c r="AR8" s="112"/>
      <c r="AU8" s="113"/>
    </row>
    <row r="9" spans="1:47" s="107" customFormat="1" ht="63" customHeight="1" x14ac:dyDescent="0.35">
      <c r="A9" s="188"/>
      <c r="B9" s="189"/>
      <c r="C9" s="189"/>
      <c r="D9" s="189"/>
      <c r="E9" s="189"/>
      <c r="F9" s="189"/>
      <c r="G9" s="189"/>
      <c r="H9" s="189"/>
      <c r="I9" s="189"/>
      <c r="J9" s="173" t="s">
        <v>354</v>
      </c>
      <c r="K9" s="190"/>
      <c r="L9" s="190"/>
      <c r="M9" s="190"/>
      <c r="N9" s="175">
        <v>0</v>
      </c>
      <c r="O9" s="175">
        <f>SUM(O8)</f>
        <v>0</v>
      </c>
      <c r="P9" s="175">
        <f>SUM(P8)</f>
        <v>0</v>
      </c>
      <c r="Q9" s="175">
        <f>SUM(Q8)</f>
        <v>124423893</v>
      </c>
      <c r="R9" s="175"/>
      <c r="S9" s="176"/>
      <c r="T9" s="175">
        <f>SUM(T8)</f>
        <v>0</v>
      </c>
      <c r="U9" s="175"/>
      <c r="V9" s="175">
        <f>SUM(V8)</f>
        <v>1500000</v>
      </c>
      <c r="W9" s="175">
        <f t="shared" ref="W9:AF9" si="2">SUM(W8)</f>
        <v>6961500</v>
      </c>
      <c r="X9" s="152">
        <f t="shared" si="2"/>
        <v>0</v>
      </c>
      <c r="Y9" s="191">
        <f t="shared" si="2"/>
        <v>0</v>
      </c>
      <c r="Z9" s="178">
        <f t="shared" si="2"/>
        <v>116462393</v>
      </c>
      <c r="AA9" s="178">
        <f t="shared" si="2"/>
        <v>117882684</v>
      </c>
      <c r="AB9" s="178">
        <f t="shared" si="2"/>
        <v>104921450</v>
      </c>
      <c r="AC9" s="178">
        <f t="shared" si="2"/>
        <v>12961234</v>
      </c>
      <c r="AD9" s="191">
        <f t="shared" si="2"/>
        <v>11540943</v>
      </c>
      <c r="AE9" s="191">
        <f t="shared" si="2"/>
        <v>5162484</v>
      </c>
      <c r="AF9" s="191">
        <f t="shared" si="2"/>
        <v>6378459</v>
      </c>
      <c r="AG9" s="192"/>
      <c r="AH9" s="179">
        <f>AB9/(AB9+AE9+AF9)</f>
        <v>0.90090412275832255</v>
      </c>
      <c r="AI9" s="180"/>
      <c r="AJ9" s="181"/>
      <c r="AK9" s="182" t="e">
        <f>SUM(AD9-AE9-#REF!-#REF!)</f>
        <v>#REF!</v>
      </c>
      <c r="AL9" s="183">
        <f>SUM(Q9-(AD9+X9))/Q9</f>
        <v>0.90724496138374322</v>
      </c>
      <c r="AM9" s="193"/>
      <c r="AN9" s="185"/>
      <c r="AO9" s="186"/>
      <c r="AP9" s="187"/>
      <c r="AQ9" s="187"/>
      <c r="AR9" s="170"/>
      <c r="AU9" s="171"/>
    </row>
    <row r="10" spans="1:47" s="28" customFormat="1" ht="37.5" customHeight="1" x14ac:dyDescent="0.35">
      <c r="A10" s="194" t="s">
        <v>100</v>
      </c>
      <c r="B10" s="195">
        <v>2</v>
      </c>
      <c r="C10" s="195">
        <v>0</v>
      </c>
      <c r="D10" s="195">
        <v>3</v>
      </c>
      <c r="E10" s="196">
        <v>50</v>
      </c>
      <c r="F10" s="196">
        <v>3</v>
      </c>
      <c r="G10" s="196"/>
      <c r="H10" s="196"/>
      <c r="I10" s="196"/>
      <c r="J10" s="36" t="s">
        <v>355</v>
      </c>
      <c r="K10" s="671"/>
      <c r="L10" s="671">
        <v>21561938</v>
      </c>
      <c r="M10" s="671"/>
      <c r="N10" s="45">
        <v>28920000</v>
      </c>
      <c r="O10" s="45">
        <v>8095000</v>
      </c>
      <c r="P10" s="45"/>
      <c r="Q10" s="198">
        <f>SUM(N10+O10-P10)</f>
        <v>37015000</v>
      </c>
      <c r="R10" s="45"/>
      <c r="S10" s="150"/>
      <c r="T10" s="45"/>
      <c r="U10" s="45"/>
      <c r="V10" s="45">
        <v>37015000</v>
      </c>
      <c r="W10" s="45"/>
      <c r="X10" s="152"/>
      <c r="Y10" s="153"/>
      <c r="Z10" s="154">
        <f>SUM(Q10-R10-T10-V10-W10-X10-Y10)</f>
        <v>0</v>
      </c>
      <c r="AA10" s="199"/>
      <c r="AB10" s="199"/>
      <c r="AC10" s="154"/>
      <c r="AD10" s="153">
        <f>SUM(Z10-AB10)</f>
        <v>0</v>
      </c>
      <c r="AE10" s="153"/>
      <c r="AF10" s="156">
        <f>SUM(AD10-AE10)</f>
        <v>0</v>
      </c>
      <c r="AG10" s="612">
        <f>SUM(R10+T10+V10+Y10+W10+AB10)</f>
        <v>37015000</v>
      </c>
      <c r="AH10" s="157" t="s">
        <v>36</v>
      </c>
      <c r="AI10" s="158"/>
      <c r="AJ10" s="159"/>
      <c r="AK10" s="160" t="e">
        <f>SUM(AD10-AE10-#REF!-#REF!)</f>
        <v>#REF!</v>
      </c>
      <c r="AL10" s="161">
        <f>SUM(AG10-AN10)/(AG10)</f>
        <v>1</v>
      </c>
      <c r="AM10" s="162"/>
      <c r="AN10" s="168"/>
      <c r="AO10" s="610"/>
      <c r="AP10" s="52"/>
      <c r="AQ10" s="164"/>
      <c r="AR10" s="112"/>
      <c r="AU10" s="113"/>
    </row>
    <row r="11" spans="1:47" s="28" customFormat="1" ht="35.25" customHeight="1" x14ac:dyDescent="0.35">
      <c r="A11" s="194" t="s">
        <v>100</v>
      </c>
      <c r="B11" s="195">
        <v>2</v>
      </c>
      <c r="C11" s="195">
        <v>0</v>
      </c>
      <c r="D11" s="195">
        <v>3</v>
      </c>
      <c r="E11" s="196">
        <v>50</v>
      </c>
      <c r="F11" s="196" t="s">
        <v>101</v>
      </c>
      <c r="G11" s="196">
        <v>0</v>
      </c>
      <c r="H11" s="196">
        <v>10</v>
      </c>
      <c r="I11" s="196"/>
      <c r="J11" s="36" t="s">
        <v>356</v>
      </c>
      <c r="K11" s="671"/>
      <c r="L11" s="671"/>
      <c r="M11" s="671"/>
      <c r="N11" s="45">
        <v>950000</v>
      </c>
      <c r="O11" s="45"/>
      <c r="P11" s="45"/>
      <c r="Q11" s="198">
        <f>SUM(N11+O11-P11)</f>
        <v>950000</v>
      </c>
      <c r="R11" s="45"/>
      <c r="S11" s="150"/>
      <c r="T11" s="45"/>
      <c r="U11" s="45"/>
      <c r="V11" s="45">
        <v>950000</v>
      </c>
      <c r="W11" s="45"/>
      <c r="X11" s="152"/>
      <c r="Y11" s="153"/>
      <c r="Z11" s="154">
        <v>0</v>
      </c>
      <c r="AA11" s="199"/>
      <c r="AB11" s="199"/>
      <c r="AC11" s="154"/>
      <c r="AD11" s="153">
        <f>SUM(Z11-AB11)</f>
        <v>0</v>
      </c>
      <c r="AE11" s="153"/>
      <c r="AF11" s="156">
        <f>SUM(AD11-AE11)</f>
        <v>0</v>
      </c>
      <c r="AG11" s="612">
        <f>SUM(R11+T11+V11+Y11+W11+AB11)</f>
        <v>950000</v>
      </c>
      <c r="AH11" s="157" t="s">
        <v>36</v>
      </c>
      <c r="AI11" s="158"/>
      <c r="AJ11" s="159"/>
      <c r="AK11" s="160" t="e">
        <f>SUM(AD11-AE11-#REF!-#REF!)</f>
        <v>#REF!</v>
      </c>
      <c r="AL11" s="161">
        <f>SUM(AG11-AN11)/(AG11)</f>
        <v>1</v>
      </c>
      <c r="AM11" s="167"/>
      <c r="AN11" s="168"/>
      <c r="AO11" s="169"/>
      <c r="AP11" s="52"/>
      <c r="AQ11" s="164"/>
      <c r="AR11" s="112"/>
      <c r="AU11" s="113"/>
    </row>
    <row r="12" spans="1:47" s="28" customFormat="1" ht="50.25" customHeight="1" x14ac:dyDescent="0.35">
      <c r="A12" s="194"/>
      <c r="B12" s="196">
        <v>2</v>
      </c>
      <c r="C12" s="196">
        <v>0</v>
      </c>
      <c r="D12" s="196">
        <v>3</v>
      </c>
      <c r="E12" s="196">
        <v>51</v>
      </c>
      <c r="F12" s="196">
        <v>1</v>
      </c>
      <c r="G12" s="196">
        <v>0</v>
      </c>
      <c r="H12" s="196">
        <v>10</v>
      </c>
      <c r="I12" s="196"/>
      <c r="J12" s="36" t="s">
        <v>357</v>
      </c>
      <c r="K12" s="671"/>
      <c r="L12" s="671"/>
      <c r="M12" s="671"/>
      <c r="N12" s="45">
        <v>0</v>
      </c>
      <c r="O12" s="45"/>
      <c r="P12" s="45"/>
      <c r="Q12" s="198">
        <f>SUM(N12+O12-P12)</f>
        <v>0</v>
      </c>
      <c r="R12" s="45"/>
      <c r="S12" s="150"/>
      <c r="T12" s="45"/>
      <c r="U12" s="45"/>
      <c r="V12" s="45"/>
      <c r="W12" s="45"/>
      <c r="X12" s="152"/>
      <c r="Y12" s="153"/>
      <c r="Z12" s="154">
        <f>SUM(Q12-R12-T12-V12-W12-X12-Y12)</f>
        <v>0</v>
      </c>
      <c r="AA12" s="199"/>
      <c r="AB12" s="199"/>
      <c r="AC12" s="154"/>
      <c r="AD12" s="153">
        <f>SUM(Z12-AB12)</f>
        <v>0</v>
      </c>
      <c r="AE12" s="153"/>
      <c r="AF12" s="153">
        <f>SUM(AD12-AE12)</f>
        <v>0</v>
      </c>
      <c r="AG12" s="612">
        <f>SUM(R12+T12+V12+Y12+W12+AB12)</f>
        <v>0</v>
      </c>
      <c r="AH12" s="157" t="s">
        <v>36</v>
      </c>
      <c r="AI12" s="158"/>
      <c r="AJ12" s="159"/>
      <c r="AK12" s="160" t="e">
        <f>SUM(AD12-AE12-#REF!-#REF!)</f>
        <v>#REF!</v>
      </c>
      <c r="AL12" s="161" t="e">
        <f>SUM(AG12-AN12)/(AG12)</f>
        <v>#DIV/0!</v>
      </c>
      <c r="AM12" s="167"/>
      <c r="AN12" s="168"/>
      <c r="AO12" s="169"/>
      <c r="AP12" s="52"/>
      <c r="AQ12" s="200"/>
      <c r="AR12" s="112"/>
      <c r="AU12" s="113"/>
    </row>
    <row r="13" spans="1:47" s="107" customFormat="1" ht="44.25" customHeight="1" x14ac:dyDescent="0.35">
      <c r="A13" s="165" t="s">
        <v>100</v>
      </c>
      <c r="B13" s="172">
        <v>2</v>
      </c>
      <c r="C13" s="172">
        <v>0</v>
      </c>
      <c r="D13" s="172">
        <v>3</v>
      </c>
      <c r="E13" s="201"/>
      <c r="F13" s="201"/>
      <c r="G13" s="201"/>
      <c r="H13" s="201"/>
      <c r="I13" s="201"/>
      <c r="J13" s="173" t="s">
        <v>358</v>
      </c>
      <c r="K13" s="190"/>
      <c r="L13" s="190"/>
      <c r="M13" s="190"/>
      <c r="N13" s="175">
        <f t="shared" ref="N13:Z13" si="3">SUM(N10:N12)</f>
        <v>29870000</v>
      </c>
      <c r="O13" s="175">
        <f t="shared" si="3"/>
        <v>8095000</v>
      </c>
      <c r="P13" s="175">
        <f t="shared" si="3"/>
        <v>0</v>
      </c>
      <c r="Q13" s="175">
        <f t="shared" si="3"/>
        <v>37965000</v>
      </c>
      <c r="R13" s="175">
        <f t="shared" si="3"/>
        <v>0</v>
      </c>
      <c r="S13" s="175">
        <f t="shared" si="3"/>
        <v>0</v>
      </c>
      <c r="T13" s="175">
        <f t="shared" si="3"/>
        <v>0</v>
      </c>
      <c r="U13" s="175">
        <f t="shared" si="3"/>
        <v>0</v>
      </c>
      <c r="V13" s="175">
        <f t="shared" si="3"/>
        <v>37965000</v>
      </c>
      <c r="W13" s="175">
        <f t="shared" si="3"/>
        <v>0</v>
      </c>
      <c r="X13" s="202">
        <f>SUM(X10:X12)</f>
        <v>0</v>
      </c>
      <c r="Y13" s="178">
        <f t="shared" si="3"/>
        <v>0</v>
      </c>
      <c r="Z13" s="178">
        <f t="shared" si="3"/>
        <v>0</v>
      </c>
      <c r="AA13" s="203"/>
      <c r="AB13" s="203"/>
      <c r="AC13" s="203">
        <f t="shared" si="0"/>
        <v>0</v>
      </c>
      <c r="AD13" s="191">
        <f>SUM(AD10:AD11)</f>
        <v>0</v>
      </c>
      <c r="AE13" s="191"/>
      <c r="AF13" s="191">
        <f>SUM(AF10:AF11)</f>
        <v>0</v>
      </c>
      <c r="AG13" s="192"/>
      <c r="AH13" s="204" t="s">
        <v>36</v>
      </c>
      <c r="AI13" s="205"/>
      <c r="AJ13" s="206"/>
      <c r="AK13" s="207" t="e">
        <f>SUM(AD13-AE13-#REF!+#REF!)</f>
        <v>#REF!</v>
      </c>
      <c r="AL13" s="183">
        <f>SUM(Q13-(AD13+X13))/Q13</f>
        <v>1</v>
      </c>
      <c r="AM13" s="193"/>
      <c r="AN13" s="185"/>
      <c r="AO13" s="208"/>
      <c r="AP13" s="187"/>
      <c r="AQ13" s="187"/>
      <c r="AR13" s="170"/>
      <c r="AU13" s="171"/>
    </row>
    <row r="14" spans="1:47" s="28" customFormat="1" ht="26.25" x14ac:dyDescent="0.35">
      <c r="A14" s="194" t="s">
        <v>100</v>
      </c>
      <c r="B14" s="195">
        <v>2</v>
      </c>
      <c r="C14" s="195">
        <v>0</v>
      </c>
      <c r="D14" s="195">
        <v>4</v>
      </c>
      <c r="E14" s="196"/>
      <c r="F14" s="196"/>
      <c r="G14" s="196"/>
      <c r="H14" s="196"/>
      <c r="I14" s="196"/>
      <c r="J14" s="209" t="s">
        <v>359</v>
      </c>
      <c r="K14" s="197"/>
      <c r="L14" s="197"/>
      <c r="M14" s="197"/>
      <c r="N14" s="585">
        <v>2601173403</v>
      </c>
      <c r="O14" s="198"/>
      <c r="P14" s="198"/>
      <c r="Q14" s="198"/>
      <c r="R14" s="45"/>
      <c r="S14" s="150"/>
      <c r="T14" s="45"/>
      <c r="U14" s="45"/>
      <c r="V14" s="45"/>
      <c r="W14" s="45"/>
      <c r="X14" s="152"/>
      <c r="Y14" s="153"/>
      <c r="Z14" s="154"/>
      <c r="AA14" s="154"/>
      <c r="AB14" s="154"/>
      <c r="AC14" s="154">
        <f t="shared" si="0"/>
        <v>0</v>
      </c>
      <c r="AD14" s="153"/>
      <c r="AE14" s="153"/>
      <c r="AF14" s="153"/>
      <c r="AG14" s="563"/>
      <c r="AH14" s="210"/>
      <c r="AI14" s="211"/>
      <c r="AJ14" s="212"/>
      <c r="AK14" s="213" t="e">
        <f>SUM(AD14-AE14-#REF!+#REF!)</f>
        <v>#REF!</v>
      </c>
      <c r="AL14" s="214"/>
      <c r="AM14" s="215"/>
      <c r="AN14" s="216"/>
      <c r="AO14" s="217"/>
      <c r="AP14" s="52"/>
      <c r="AQ14" s="52"/>
      <c r="AR14" s="112"/>
      <c r="AU14" s="113"/>
    </row>
    <row r="15" spans="1:47" ht="8.25" customHeight="1" x14ac:dyDescent="0.35">
      <c r="A15" s="218"/>
      <c r="B15" s="219"/>
      <c r="C15" s="219"/>
      <c r="D15" s="219"/>
      <c r="E15" s="219"/>
      <c r="F15" s="219"/>
      <c r="G15" s="219"/>
      <c r="H15" s="219"/>
      <c r="I15" s="219"/>
      <c r="J15" s="220"/>
      <c r="K15" s="221"/>
      <c r="L15" s="221"/>
      <c r="M15" s="222"/>
      <c r="N15" s="223"/>
      <c r="O15" s="223"/>
      <c r="P15" s="223"/>
      <c r="Q15" s="224"/>
      <c r="R15" s="224"/>
      <c r="S15" s="224"/>
      <c r="T15" s="224"/>
      <c r="U15" s="224"/>
      <c r="V15" s="224"/>
      <c r="W15" s="224"/>
      <c r="X15" s="225"/>
      <c r="Y15" s="226"/>
      <c r="Z15" s="226"/>
      <c r="AA15" s="226"/>
      <c r="AB15" s="226"/>
      <c r="AC15" s="226"/>
      <c r="AD15" s="226"/>
      <c r="AE15" s="226"/>
      <c r="AF15" s="226"/>
      <c r="AG15" s="227"/>
      <c r="AH15" s="228"/>
      <c r="AI15" s="229"/>
      <c r="AJ15" s="229"/>
      <c r="AK15" s="230"/>
      <c r="AL15" s="228"/>
      <c r="AM15" s="231"/>
      <c r="AN15" s="185"/>
      <c r="AO15" s="232"/>
      <c r="AP15" s="187"/>
      <c r="AQ15" s="187"/>
    </row>
    <row r="16" spans="1:47" ht="8.25" customHeight="1" x14ac:dyDescent="0.35">
      <c r="A16" s="218"/>
      <c r="B16" s="233"/>
      <c r="C16" s="233"/>
      <c r="D16" s="233"/>
      <c r="E16" s="233"/>
      <c r="F16" s="233"/>
      <c r="G16" s="233"/>
      <c r="H16" s="233"/>
      <c r="I16" s="233"/>
      <c r="J16" s="234"/>
      <c r="K16" s="235"/>
      <c r="L16" s="235"/>
      <c r="M16" s="236"/>
      <c r="N16" s="237"/>
      <c r="O16" s="237"/>
      <c r="P16" s="237"/>
      <c r="Q16" s="238"/>
      <c r="R16" s="238"/>
      <c r="S16" s="238"/>
      <c r="T16" s="238"/>
      <c r="U16" s="238"/>
      <c r="V16" s="238"/>
      <c r="W16" s="238"/>
      <c r="X16" s="239"/>
      <c r="Y16" s="240"/>
      <c r="Z16" s="240"/>
      <c r="AA16" s="240"/>
      <c r="AB16" s="240"/>
      <c r="AC16" s="240"/>
      <c r="AD16" s="240"/>
      <c r="AE16" s="240"/>
      <c r="AF16" s="240"/>
      <c r="AG16" s="227"/>
      <c r="AH16" s="241"/>
      <c r="AI16" s="238"/>
      <c r="AJ16" s="238"/>
      <c r="AK16" s="242"/>
      <c r="AL16" s="241"/>
      <c r="AM16" s="231"/>
      <c r="AN16" s="185"/>
      <c r="AO16" s="232"/>
      <c r="AP16" s="187"/>
      <c r="AQ16" s="187"/>
    </row>
    <row r="17" spans="1:47" s="29" customFormat="1" ht="40.5" customHeight="1" x14ac:dyDescent="0.35">
      <c r="A17" s="27"/>
      <c r="B17" s="739" t="s">
        <v>114</v>
      </c>
      <c r="C17" s="739"/>
      <c r="D17" s="739"/>
      <c r="E17" s="739"/>
      <c r="F17" s="739"/>
      <c r="G17" s="739"/>
      <c r="H17" s="739"/>
      <c r="I17" s="739"/>
      <c r="J17" s="739"/>
      <c r="K17" s="650"/>
      <c r="L17" s="650"/>
      <c r="M17" s="650"/>
      <c r="N17" s="45"/>
      <c r="O17" s="45"/>
      <c r="P17" s="46"/>
      <c r="Q17" s="46"/>
      <c r="R17" s="46"/>
      <c r="S17" s="46"/>
      <c r="T17" s="46"/>
      <c r="U17" s="46"/>
      <c r="V17" s="66"/>
      <c r="W17" s="66"/>
      <c r="X17" s="243">
        <f>SUM(U17)</f>
        <v>0</v>
      </c>
      <c r="Y17" s="66"/>
      <c r="Z17" s="66"/>
      <c r="AA17" s="244"/>
      <c r="AB17" s="66"/>
      <c r="AC17" s="66"/>
      <c r="AD17" s="66"/>
      <c r="AE17" s="66"/>
      <c r="AF17" s="66"/>
      <c r="AG17" s="613"/>
      <c r="AH17" s="66"/>
      <c r="AI17" s="66"/>
      <c r="AJ17" s="66"/>
      <c r="AK17" s="245"/>
      <c r="AL17" s="246"/>
      <c r="AM17" s="215"/>
      <c r="AN17" s="247"/>
      <c r="AO17" s="248"/>
      <c r="AP17" s="77"/>
      <c r="AQ17" s="164">
        <v>0</v>
      </c>
      <c r="AR17" s="249"/>
      <c r="AU17" s="250"/>
    </row>
    <row r="18" spans="1:47" s="29" customFormat="1" ht="36" x14ac:dyDescent="0.35">
      <c r="A18" s="251" t="s">
        <v>100</v>
      </c>
      <c r="B18" s="252">
        <v>2</v>
      </c>
      <c r="C18" s="252">
        <v>0</v>
      </c>
      <c r="D18" s="252">
        <v>4</v>
      </c>
      <c r="E18" s="252">
        <v>1</v>
      </c>
      <c r="F18" s="252">
        <v>6</v>
      </c>
      <c r="G18" s="38" t="s">
        <v>147</v>
      </c>
      <c r="H18" s="25">
        <v>10</v>
      </c>
      <c r="I18" s="25" t="s">
        <v>88</v>
      </c>
      <c r="J18" s="36" t="s">
        <v>360</v>
      </c>
      <c r="K18" s="650">
        <v>26312050</v>
      </c>
      <c r="L18" s="650">
        <v>100121585</v>
      </c>
      <c r="M18" s="650">
        <v>22000000</v>
      </c>
      <c r="N18" s="45"/>
      <c r="O18" s="45">
        <v>21800000</v>
      </c>
      <c r="P18" s="45"/>
      <c r="Q18" s="45">
        <f>SUM(N18+O18-P18)</f>
        <v>21800000</v>
      </c>
      <c r="R18" s="253"/>
      <c r="S18" s="254"/>
      <c r="T18" s="253"/>
      <c r="U18" s="253">
        <f>SUM(S18-T18)</f>
        <v>0</v>
      </c>
      <c r="V18" s="63"/>
      <c r="W18" s="63"/>
      <c r="X18" s="243">
        <f>SUM(U18)</f>
        <v>0</v>
      </c>
      <c r="Y18" s="255"/>
      <c r="Z18" s="63">
        <f>SUM(Q18-R18-T18-V18-W18-X18-Y18)</f>
        <v>21800000</v>
      </c>
      <c r="AA18" s="688">
        <v>122800000</v>
      </c>
      <c r="AB18" s="63">
        <v>20427750</v>
      </c>
      <c r="AC18" s="63">
        <f t="shared" si="0"/>
        <v>102372250</v>
      </c>
      <c r="AD18" s="255">
        <f t="shared" ref="AD18:AD56" si="4">SUM(Z18-AB18)</f>
        <v>1372250</v>
      </c>
      <c r="AE18" s="688">
        <v>101000000</v>
      </c>
      <c r="AF18" s="723">
        <f>SUM(AD18-AE18)</f>
        <v>-99627750</v>
      </c>
      <c r="AG18" s="614">
        <f>SUM(R18+T18+V18+Y18+W18+AB18)</f>
        <v>20427750</v>
      </c>
      <c r="AH18" s="256"/>
      <c r="AI18" s="257"/>
      <c r="AJ18" s="258"/>
      <c r="AK18" s="259" t="e">
        <f>SUM(AD18-AE18-#REF!-#REF!)</f>
        <v>#REF!</v>
      </c>
      <c r="AL18" s="260">
        <f t="shared" ref="AL18:AL25" si="5">SUM(Q18-(AD18+X18))/Q18</f>
        <v>0.93705275229357798</v>
      </c>
      <c r="AM18" s="162"/>
      <c r="AN18" s="247"/>
      <c r="AO18" s="261"/>
      <c r="AP18" s="77">
        <v>99627750</v>
      </c>
      <c r="AQ18" s="164"/>
      <c r="AR18" s="249"/>
      <c r="AU18" s="250"/>
    </row>
    <row r="19" spans="1:47" s="29" customFormat="1" ht="36" x14ac:dyDescent="0.35">
      <c r="A19" s="27" t="s">
        <v>100</v>
      </c>
      <c r="B19" s="38">
        <v>2</v>
      </c>
      <c r="C19" s="38">
        <v>0</v>
      </c>
      <c r="D19" s="38">
        <v>4</v>
      </c>
      <c r="E19" s="38">
        <v>1</v>
      </c>
      <c r="F19" s="38">
        <v>8</v>
      </c>
      <c r="G19" s="38" t="s">
        <v>147</v>
      </c>
      <c r="H19" s="25">
        <v>10</v>
      </c>
      <c r="I19" s="25" t="s">
        <v>88</v>
      </c>
      <c r="J19" s="42" t="s">
        <v>361</v>
      </c>
      <c r="K19" s="650"/>
      <c r="L19" s="650">
        <v>223529923</v>
      </c>
      <c r="M19" s="650">
        <v>36257167</v>
      </c>
      <c r="N19" s="47">
        <v>20100403</v>
      </c>
      <c r="O19" s="45"/>
      <c r="P19" s="45">
        <f>17100403+3000000</f>
        <v>20100403</v>
      </c>
      <c r="Q19" s="45">
        <f t="shared" ref="Q19:Q24" si="6">SUM(N19+O19-P19)</f>
        <v>0</v>
      </c>
      <c r="R19" s="253"/>
      <c r="S19" s="254"/>
      <c r="T19" s="253"/>
      <c r="U19" s="253">
        <f>SUM(S19-T19)</f>
        <v>0</v>
      </c>
      <c r="V19" s="63"/>
      <c r="W19" s="63"/>
      <c r="X19" s="243">
        <f>SUM(U19)</f>
        <v>0</v>
      </c>
      <c r="Y19" s="255"/>
      <c r="Z19" s="63">
        <f>SUM(Q19-R19-T19-V19-W19-X19-Y19)</f>
        <v>0</v>
      </c>
      <c r="AA19" s="255"/>
      <c r="AB19" s="63"/>
      <c r="AC19" s="63">
        <f t="shared" si="0"/>
        <v>0</v>
      </c>
      <c r="AD19" s="255">
        <f t="shared" si="4"/>
        <v>0</v>
      </c>
      <c r="AE19" s="255"/>
      <c r="AF19" s="255">
        <f>SUM(AD19-AE19)</f>
        <v>0</v>
      </c>
      <c r="AG19" s="614">
        <f>SUM(R19+T19+V19+Y19+W19+AB19)</f>
        <v>0</v>
      </c>
      <c r="AH19" s="256"/>
      <c r="AI19" s="257"/>
      <c r="AJ19" s="258"/>
      <c r="AK19" s="259" t="e">
        <f>SUM(AD19-AE19-#REF!-#REF!)</f>
        <v>#REF!</v>
      </c>
      <c r="AL19" s="260" t="e">
        <f t="shared" si="5"/>
        <v>#DIV/0!</v>
      </c>
      <c r="AM19" s="162"/>
      <c r="AN19" s="247"/>
      <c r="AO19" s="261"/>
      <c r="AP19" s="77"/>
      <c r="AQ19" s="164"/>
      <c r="AR19" s="249"/>
      <c r="AU19" s="250"/>
    </row>
    <row r="20" spans="1:47" s="29" customFormat="1" ht="138.75" customHeight="1" x14ac:dyDescent="0.35">
      <c r="A20" s="27" t="s">
        <v>100</v>
      </c>
      <c r="B20" s="38">
        <v>2</v>
      </c>
      <c r="C20" s="38">
        <v>0</v>
      </c>
      <c r="D20" s="38">
        <v>4</v>
      </c>
      <c r="E20" s="38">
        <v>1</v>
      </c>
      <c r="F20" s="38">
        <v>25</v>
      </c>
      <c r="G20" s="38" t="s">
        <v>147</v>
      </c>
      <c r="H20" s="25">
        <v>10</v>
      </c>
      <c r="I20" s="25" t="s">
        <v>88</v>
      </c>
      <c r="J20" s="36" t="s">
        <v>186</v>
      </c>
      <c r="K20" s="650">
        <v>162900</v>
      </c>
      <c r="L20" s="650">
        <v>12093007</v>
      </c>
      <c r="M20" s="650">
        <v>438400</v>
      </c>
      <c r="N20" s="47">
        <v>45000000</v>
      </c>
      <c r="O20" s="45">
        <v>10000000</v>
      </c>
      <c r="P20" s="45">
        <f>9000000+2749000+7000000</f>
        <v>18749000</v>
      </c>
      <c r="Q20" s="45">
        <f t="shared" si="6"/>
        <v>36251000</v>
      </c>
      <c r="R20" s="253">
        <v>500000</v>
      </c>
      <c r="S20" s="253">
        <v>500000</v>
      </c>
      <c r="T20" s="253"/>
      <c r="U20" s="253">
        <f>SUM(S20-T20)</f>
        <v>500000</v>
      </c>
      <c r="V20" s="63"/>
      <c r="W20" s="63"/>
      <c r="X20" s="243">
        <f>SUM(U20)</f>
        <v>500000</v>
      </c>
      <c r="Y20" s="255"/>
      <c r="Z20" s="63">
        <f>SUM(Q20-R20-T20-V20-W20-X20-Y20)</f>
        <v>35251000</v>
      </c>
      <c r="AA20" s="689">
        <v>55190000</v>
      </c>
      <c r="AB20" s="686">
        <v>34433840</v>
      </c>
      <c r="AC20" s="63">
        <f t="shared" si="0"/>
        <v>20756160</v>
      </c>
      <c r="AD20" s="255">
        <f t="shared" si="4"/>
        <v>817160</v>
      </c>
      <c r="AE20" s="688">
        <v>11390000</v>
      </c>
      <c r="AF20" s="723">
        <f>SUM(AD20-AE20)</f>
        <v>-10572840</v>
      </c>
      <c r="AG20" s="614">
        <f>SUM(R20+T20+V20+Y20+W20+AB20)</f>
        <v>34933840</v>
      </c>
      <c r="AH20" s="256">
        <f>AB20/(AB20+AE20+AF20)</f>
        <v>0.97681881365067658</v>
      </c>
      <c r="AI20" s="257"/>
      <c r="AJ20" s="258"/>
      <c r="AK20" s="259" t="e">
        <f>SUM(AD20-AE20-#REF!-#REF!)</f>
        <v>#REF!</v>
      </c>
      <c r="AL20" s="260">
        <f t="shared" si="5"/>
        <v>0.96366555405368126</v>
      </c>
      <c r="AM20" s="162"/>
      <c r="AN20" s="262"/>
      <c r="AO20" s="261"/>
      <c r="AP20" s="77">
        <v>10572840</v>
      </c>
      <c r="AQ20" s="164"/>
      <c r="AR20" s="249"/>
      <c r="AU20" s="250"/>
    </row>
    <row r="21" spans="1:47" s="29" customFormat="1" ht="45" customHeight="1" x14ac:dyDescent="0.35">
      <c r="A21" s="27" t="s">
        <v>100</v>
      </c>
      <c r="B21" s="38">
        <v>2</v>
      </c>
      <c r="C21" s="38">
        <v>0</v>
      </c>
      <c r="D21" s="38">
        <v>4</v>
      </c>
      <c r="E21" s="38">
        <v>1</v>
      </c>
      <c r="F21" s="38">
        <v>26</v>
      </c>
      <c r="G21" s="38" t="s">
        <v>147</v>
      </c>
      <c r="H21" s="25">
        <v>10</v>
      </c>
      <c r="I21" s="25" t="s">
        <v>88</v>
      </c>
      <c r="J21" s="36" t="s">
        <v>154</v>
      </c>
      <c r="K21" s="650">
        <v>16357798</v>
      </c>
      <c r="L21" s="650"/>
      <c r="M21" s="650"/>
      <c r="N21" s="45"/>
      <c r="O21" s="45">
        <f>2749000+7000000+7000000</f>
        <v>16749000</v>
      </c>
      <c r="P21" s="45"/>
      <c r="Q21" s="45">
        <f t="shared" si="6"/>
        <v>16749000</v>
      </c>
      <c r="R21" s="253"/>
      <c r="S21" s="253">
        <v>0</v>
      </c>
      <c r="T21" s="253"/>
      <c r="U21" s="253">
        <f>SUM(S21-T21)</f>
        <v>0</v>
      </c>
      <c r="V21" s="63"/>
      <c r="W21" s="63"/>
      <c r="X21" s="243">
        <f>SUM(U21)</f>
        <v>0</v>
      </c>
      <c r="Y21" s="255"/>
      <c r="Z21" s="63">
        <f>SUM(Q21-R21-T21-V21-W21-X21-Y21)</f>
        <v>16749000</v>
      </c>
      <c r="AA21" s="688">
        <v>16749000</v>
      </c>
      <c r="AB21" s="686">
        <v>2749000</v>
      </c>
      <c r="AC21" s="63">
        <f t="shared" si="0"/>
        <v>14000000</v>
      </c>
      <c r="AD21" s="255">
        <f t="shared" si="4"/>
        <v>14000000</v>
      </c>
      <c r="AE21" s="688">
        <v>14000000</v>
      </c>
      <c r="AF21" s="255">
        <f>SUM(AD21-AE21)</f>
        <v>0</v>
      </c>
      <c r="AG21" s="614">
        <f>SUM(R21+T21+V21+Y21+W21+AB21)</f>
        <v>2749000</v>
      </c>
      <c r="AH21" s="256"/>
      <c r="AI21" s="257"/>
      <c r="AJ21" s="258"/>
      <c r="AK21" s="259" t="e">
        <f>SUM(AD21-AE21-#REF!-#REF!)</f>
        <v>#REF!</v>
      </c>
      <c r="AL21" s="260">
        <f t="shared" si="5"/>
        <v>0.16412920174338766</v>
      </c>
      <c r="AM21" s="162"/>
      <c r="AN21" s="262"/>
      <c r="AO21" s="678"/>
      <c r="AP21" s="77"/>
      <c r="AQ21" s="164"/>
      <c r="AR21" s="263"/>
      <c r="AU21" s="250"/>
    </row>
    <row r="22" spans="1:47" s="34" customFormat="1" x14ac:dyDescent="0.35">
      <c r="A22" s="31"/>
      <c r="B22" s="32"/>
      <c r="C22" s="32"/>
      <c r="D22" s="32"/>
      <c r="E22" s="32"/>
      <c r="F22" s="32"/>
      <c r="G22" s="32"/>
      <c r="H22" s="33"/>
      <c r="I22" s="33"/>
      <c r="J22" s="35" t="s">
        <v>135</v>
      </c>
      <c r="K22" s="264">
        <f t="shared" ref="K22:P22" si="7">SUM(K18:K21)</f>
        <v>42832748</v>
      </c>
      <c r="L22" s="264">
        <f t="shared" si="7"/>
        <v>335744515</v>
      </c>
      <c r="M22" s="264">
        <f t="shared" si="7"/>
        <v>58695567</v>
      </c>
      <c r="N22" s="265">
        <f t="shared" si="7"/>
        <v>65100403</v>
      </c>
      <c r="O22" s="265">
        <f t="shared" si="7"/>
        <v>48549000</v>
      </c>
      <c r="P22" s="265">
        <f t="shared" si="7"/>
        <v>38849403</v>
      </c>
      <c r="Q22" s="265">
        <f t="shared" si="6"/>
        <v>74800000</v>
      </c>
      <c r="R22" s="49">
        <f t="shared" ref="R22:AF22" si="8">SUM(R18:R21)</f>
        <v>500000</v>
      </c>
      <c r="S22" s="49">
        <f t="shared" si="8"/>
        <v>500000</v>
      </c>
      <c r="T22" s="49">
        <f t="shared" si="8"/>
        <v>0</v>
      </c>
      <c r="U22" s="49">
        <f t="shared" si="8"/>
        <v>500000</v>
      </c>
      <c r="V22" s="39">
        <f t="shared" si="8"/>
        <v>0</v>
      </c>
      <c r="W22" s="39">
        <f t="shared" si="8"/>
        <v>0</v>
      </c>
      <c r="X22" s="266">
        <f t="shared" si="8"/>
        <v>500000</v>
      </c>
      <c r="Y22" s="39">
        <f t="shared" si="8"/>
        <v>0</v>
      </c>
      <c r="Z22" s="39">
        <f t="shared" si="8"/>
        <v>73800000</v>
      </c>
      <c r="AA22" s="39">
        <f t="shared" si="8"/>
        <v>194739000</v>
      </c>
      <c r="AB22" s="39">
        <f t="shared" si="8"/>
        <v>57610590</v>
      </c>
      <c r="AC22" s="39">
        <f t="shared" si="8"/>
        <v>137128410</v>
      </c>
      <c r="AD22" s="39">
        <f t="shared" si="8"/>
        <v>16189410</v>
      </c>
      <c r="AE22" s="39">
        <f t="shared" si="8"/>
        <v>126390000</v>
      </c>
      <c r="AF22" s="39">
        <f t="shared" si="8"/>
        <v>-110200590</v>
      </c>
      <c r="AG22" s="267"/>
      <c r="AH22" s="268">
        <f>AB22/(AB22+AE22+AF22)</f>
        <v>0.78063130081300813</v>
      </c>
      <c r="AI22" s="269"/>
      <c r="AJ22" s="39"/>
      <c r="AK22" s="270" t="e">
        <f>SUM(AD22-AE22-#REF!-#REF!)</f>
        <v>#REF!</v>
      </c>
      <c r="AL22" s="271">
        <f t="shared" si="5"/>
        <v>0.77687954545454541</v>
      </c>
      <c r="AM22" s="193"/>
      <c r="AN22" s="272"/>
      <c r="AO22" s="273"/>
      <c r="AP22" s="274"/>
      <c r="AQ22" s="274"/>
      <c r="AR22" s="275"/>
      <c r="AU22" s="276"/>
    </row>
    <row r="23" spans="1:47" s="29" customFormat="1" ht="38.25" customHeight="1" x14ac:dyDescent="0.35">
      <c r="A23" s="27" t="s">
        <v>100</v>
      </c>
      <c r="B23" s="38">
        <v>2</v>
      </c>
      <c r="C23" s="38">
        <v>0</v>
      </c>
      <c r="D23" s="38">
        <v>4</v>
      </c>
      <c r="E23" s="38">
        <v>2</v>
      </c>
      <c r="F23" s="38">
        <v>2</v>
      </c>
      <c r="G23" s="38" t="s">
        <v>147</v>
      </c>
      <c r="H23" s="25">
        <v>10</v>
      </c>
      <c r="I23" s="25" t="s">
        <v>88</v>
      </c>
      <c r="J23" s="36" t="s">
        <v>362</v>
      </c>
      <c r="K23" s="650">
        <v>23500000</v>
      </c>
      <c r="L23" s="650"/>
      <c r="M23" s="650"/>
      <c r="N23" s="45"/>
      <c r="O23" s="45"/>
      <c r="P23" s="45"/>
      <c r="Q23" s="45">
        <f t="shared" si="6"/>
        <v>0</v>
      </c>
      <c r="R23" s="253"/>
      <c r="S23" s="253"/>
      <c r="T23" s="253"/>
      <c r="U23" s="253"/>
      <c r="V23" s="63"/>
      <c r="W23" s="63"/>
      <c r="X23" s="243">
        <f>SUM(U23)</f>
        <v>0</v>
      </c>
      <c r="Y23" s="255"/>
      <c r="Z23" s="63">
        <f>SUM(Q23-R23-T23-V23-W23-X23-Y23)</f>
        <v>0</v>
      </c>
      <c r="AA23" s="255"/>
      <c r="AB23" s="63"/>
      <c r="AC23" s="63">
        <f t="shared" si="0"/>
        <v>0</v>
      </c>
      <c r="AD23" s="255">
        <f t="shared" si="4"/>
        <v>0</v>
      </c>
      <c r="AE23" s="255"/>
      <c r="AF23" s="255">
        <f>SUM(AD23-AE23)</f>
        <v>0</v>
      </c>
      <c r="AG23" s="614">
        <f>SUM(R23+T23+V23+Y23+W23+AB23)</f>
        <v>0</v>
      </c>
      <c r="AH23" s="256"/>
      <c r="AI23" s="257"/>
      <c r="AJ23" s="258"/>
      <c r="AK23" s="259" t="e">
        <f>SUM(AD23-AE23-#REF!-#REF!)</f>
        <v>#REF!</v>
      </c>
      <c r="AL23" s="260" t="e">
        <f t="shared" si="5"/>
        <v>#DIV/0!</v>
      </c>
      <c r="AM23" s="162"/>
      <c r="AN23" s="277"/>
      <c r="AO23" s="278"/>
      <c r="AP23" s="77"/>
      <c r="AQ23" s="164">
        <f>SUM(AF23)</f>
        <v>0</v>
      </c>
      <c r="AR23" s="249"/>
      <c r="AU23" s="250"/>
    </row>
    <row r="24" spans="1:47" s="29" customFormat="1" ht="36" x14ac:dyDescent="0.35">
      <c r="A24" s="27" t="s">
        <v>100</v>
      </c>
      <c r="B24" s="38">
        <v>2</v>
      </c>
      <c r="C24" s="38">
        <v>0</v>
      </c>
      <c r="D24" s="38">
        <v>4</v>
      </c>
      <c r="E24" s="38">
        <v>2</v>
      </c>
      <c r="F24" s="38">
        <v>2</v>
      </c>
      <c r="G24" s="38" t="s">
        <v>147</v>
      </c>
      <c r="H24" s="25">
        <v>10</v>
      </c>
      <c r="I24" s="25" t="s">
        <v>88</v>
      </c>
      <c r="J24" s="36" t="s">
        <v>363</v>
      </c>
      <c r="K24" s="671">
        <v>3540146</v>
      </c>
      <c r="L24" s="671">
        <v>12221424.199999999</v>
      </c>
      <c r="M24" s="671"/>
      <c r="N24" s="45">
        <v>20000000</v>
      </c>
      <c r="O24" s="45">
        <f>9000000+25000000</f>
        <v>34000000</v>
      </c>
      <c r="P24" s="45"/>
      <c r="Q24" s="45">
        <f t="shared" si="6"/>
        <v>54000000</v>
      </c>
      <c r="R24" s="253"/>
      <c r="S24" s="253"/>
      <c r="T24" s="253"/>
      <c r="U24" s="253"/>
      <c r="V24" s="63"/>
      <c r="W24" s="63"/>
      <c r="X24" s="243">
        <f>SUM(U24)</f>
        <v>0</v>
      </c>
      <c r="Y24" s="255"/>
      <c r="Z24" s="63">
        <f>SUM(Q24-R24-T24-V24-W24-X24-Y24)</f>
        <v>54000000</v>
      </c>
      <c r="AA24" s="688">
        <v>57000000</v>
      </c>
      <c r="AB24" s="686">
        <v>49067244</v>
      </c>
      <c r="AC24" s="63">
        <f t="shared" si="0"/>
        <v>7932756</v>
      </c>
      <c r="AD24" s="255">
        <f t="shared" si="4"/>
        <v>4932756</v>
      </c>
      <c r="AE24" s="688">
        <v>3000000</v>
      </c>
      <c r="AF24" s="255">
        <f>SUM(AD24-AE24)</f>
        <v>1932756</v>
      </c>
      <c r="AG24" s="614">
        <f>SUM(R24+T24+V24+Y24+W24+AB24)</f>
        <v>49067244</v>
      </c>
      <c r="AH24" s="256"/>
      <c r="AI24" s="257"/>
      <c r="AJ24" s="258"/>
      <c r="AK24" s="259" t="e">
        <f>SUM(AD24-AE24-#REF!-#REF!)</f>
        <v>#REF!</v>
      </c>
      <c r="AL24" s="260">
        <f t="shared" si="5"/>
        <v>0.90865266666666666</v>
      </c>
      <c r="AM24" s="162"/>
      <c r="AN24" s="277"/>
      <c r="AO24" s="261"/>
      <c r="AP24" s="77"/>
      <c r="AQ24" s="164"/>
      <c r="AR24" s="249"/>
      <c r="AU24" s="250"/>
    </row>
    <row r="25" spans="1:47" s="34" customFormat="1" x14ac:dyDescent="0.35">
      <c r="A25" s="31"/>
      <c r="B25" s="32"/>
      <c r="C25" s="32"/>
      <c r="D25" s="32"/>
      <c r="E25" s="32"/>
      <c r="F25" s="32"/>
      <c r="G25" s="32"/>
      <c r="H25" s="33"/>
      <c r="I25" s="33"/>
      <c r="J25" s="35" t="s">
        <v>364</v>
      </c>
      <c r="K25" s="264">
        <f t="shared" ref="K25:Q25" si="9">SUM(K23:K24)</f>
        <v>27040146</v>
      </c>
      <c r="L25" s="264">
        <f t="shared" si="9"/>
        <v>12221424.199999999</v>
      </c>
      <c r="M25" s="264">
        <f t="shared" si="9"/>
        <v>0</v>
      </c>
      <c r="N25" s="265">
        <f t="shared" si="9"/>
        <v>20000000</v>
      </c>
      <c r="O25" s="265">
        <f t="shared" si="9"/>
        <v>34000000</v>
      </c>
      <c r="P25" s="265">
        <f t="shared" si="9"/>
        <v>0</v>
      </c>
      <c r="Q25" s="265">
        <f t="shared" si="9"/>
        <v>54000000</v>
      </c>
      <c r="R25" s="49"/>
      <c r="S25" s="49">
        <f t="shared" ref="S25:Z25" si="10">SUM(S23:S24)</f>
        <v>0</v>
      </c>
      <c r="T25" s="49">
        <f t="shared" si="10"/>
        <v>0</v>
      </c>
      <c r="U25" s="49">
        <f t="shared" si="10"/>
        <v>0</v>
      </c>
      <c r="V25" s="39">
        <f t="shared" si="10"/>
        <v>0</v>
      </c>
      <c r="W25" s="39">
        <f t="shared" si="10"/>
        <v>0</v>
      </c>
      <c r="X25" s="266">
        <f t="shared" si="10"/>
        <v>0</v>
      </c>
      <c r="Y25" s="269">
        <f t="shared" si="10"/>
        <v>0</v>
      </c>
      <c r="Z25" s="269">
        <f t="shared" si="10"/>
        <v>54000000</v>
      </c>
      <c r="AA25" s="39">
        <f>SUM(AA23:AA24)</f>
        <v>57000000</v>
      </c>
      <c r="AB25" s="39">
        <f>SUM(AB23:AB24)</f>
        <v>49067244</v>
      </c>
      <c r="AC25" s="39">
        <f t="shared" si="0"/>
        <v>7932756</v>
      </c>
      <c r="AD25" s="269">
        <f>SUM(AD23:AD24)</f>
        <v>4932756</v>
      </c>
      <c r="AE25" s="269">
        <f>SUM(AE23:AE24)</f>
        <v>3000000</v>
      </c>
      <c r="AF25" s="269">
        <f>SUM(AF23:AF24)</f>
        <v>1932756</v>
      </c>
      <c r="AG25" s="267"/>
      <c r="AH25" s="279">
        <v>0</v>
      </c>
      <c r="AI25" s="269"/>
      <c r="AJ25" s="39"/>
      <c r="AK25" s="270" t="e">
        <f>SUM(AD25-AE25-#REF!-#REF!)</f>
        <v>#REF!</v>
      </c>
      <c r="AL25" s="271">
        <f t="shared" si="5"/>
        <v>0.90865266666666666</v>
      </c>
      <c r="AM25" s="193"/>
      <c r="AN25" s="272"/>
      <c r="AO25" s="273"/>
      <c r="AP25" s="274"/>
      <c r="AQ25" s="274"/>
      <c r="AR25" s="275"/>
      <c r="AU25" s="276"/>
    </row>
    <row r="26" spans="1:47" s="29" customFormat="1" ht="39.75" customHeight="1" x14ac:dyDescent="0.35">
      <c r="A26" s="27"/>
      <c r="B26" s="739" t="s">
        <v>127</v>
      </c>
      <c r="C26" s="739"/>
      <c r="D26" s="739"/>
      <c r="E26" s="739"/>
      <c r="F26" s="739"/>
      <c r="G26" s="739"/>
      <c r="H26" s="739"/>
      <c r="I26" s="739"/>
      <c r="J26" s="739"/>
      <c r="K26" s="25"/>
      <c r="L26" s="25"/>
      <c r="M26" s="25"/>
      <c r="N26" s="50"/>
      <c r="O26" s="50"/>
      <c r="P26" s="50"/>
      <c r="Q26" s="50"/>
      <c r="R26" s="280"/>
      <c r="S26" s="280"/>
      <c r="T26" s="280"/>
      <c r="U26" s="280"/>
      <c r="V26" s="64"/>
      <c r="W26" s="64"/>
      <c r="X26" s="281"/>
      <c r="Y26" s="64"/>
      <c r="Z26" s="64"/>
      <c r="AA26" s="64"/>
      <c r="AB26" s="64"/>
      <c r="AC26" s="64"/>
      <c r="AD26" s="64"/>
      <c r="AE26" s="64"/>
      <c r="AF26" s="64"/>
      <c r="AG26" s="614"/>
      <c r="AH26" s="256"/>
      <c r="AI26" s="282"/>
      <c r="AJ26" s="258"/>
      <c r="AK26" s="259" t="e">
        <f>SUM(AD26-AE26-#REF!-#REF!)</f>
        <v>#REF!</v>
      </c>
      <c r="AL26" s="283"/>
      <c r="AM26" s="215"/>
      <c r="AN26" s="247"/>
      <c r="AO26" s="248"/>
      <c r="AP26" s="77"/>
      <c r="AQ26" s="164">
        <f t="shared" ref="AQ26" si="11">SUM(AF26)</f>
        <v>0</v>
      </c>
      <c r="AR26" s="249"/>
      <c r="AU26" s="250"/>
    </row>
    <row r="27" spans="1:47" s="287" customFormat="1" ht="36" x14ac:dyDescent="0.35">
      <c r="A27" s="284" t="s">
        <v>100</v>
      </c>
      <c r="B27" s="38">
        <v>2</v>
      </c>
      <c r="C27" s="38">
        <v>0</v>
      </c>
      <c r="D27" s="38">
        <v>4</v>
      </c>
      <c r="E27" s="38">
        <v>4</v>
      </c>
      <c r="F27" s="38">
        <v>1</v>
      </c>
      <c r="G27" s="38" t="s">
        <v>147</v>
      </c>
      <c r="H27" s="25">
        <v>10</v>
      </c>
      <c r="I27" s="25" t="s">
        <v>88</v>
      </c>
      <c r="J27" s="42" t="s">
        <v>365</v>
      </c>
      <c r="K27" s="671">
        <v>47820000</v>
      </c>
      <c r="L27" s="671">
        <v>33224716</v>
      </c>
      <c r="M27" s="671">
        <v>39200000</v>
      </c>
      <c r="N27" s="47">
        <v>43000000</v>
      </c>
      <c r="O27" s="45"/>
      <c r="P27" s="177"/>
      <c r="Q27" s="45">
        <f t="shared" ref="Q27:Q35" si="12">SUM(N27+O27-P27)</f>
        <v>43000000</v>
      </c>
      <c r="R27" s="253">
        <v>770000</v>
      </c>
      <c r="S27" s="253">
        <v>770000</v>
      </c>
      <c r="T27" s="253">
        <v>770000</v>
      </c>
      <c r="U27" s="253">
        <f>SUM(S27-T27)</f>
        <v>0</v>
      </c>
      <c r="V27" s="63"/>
      <c r="W27" s="63"/>
      <c r="X27" s="243">
        <f t="shared" ref="X27:X35" si="13">SUM(U27)</f>
        <v>0</v>
      </c>
      <c r="Y27" s="255"/>
      <c r="Z27" s="63">
        <f t="shared" ref="Z27:Z35" si="14">SUM(Q27-R27-T27-V27-W27-X27-Y27)</f>
        <v>41460000</v>
      </c>
      <c r="AA27" s="63">
        <v>48000000</v>
      </c>
      <c r="AB27" s="707">
        <v>31710763</v>
      </c>
      <c r="AC27" s="63">
        <f t="shared" si="0"/>
        <v>16289237</v>
      </c>
      <c r="AD27" s="285">
        <f t="shared" si="4"/>
        <v>9749237</v>
      </c>
      <c r="AE27" s="255">
        <v>3000000</v>
      </c>
      <c r="AF27" s="255">
        <f>SUM(AD27-AE27)</f>
        <v>6749237</v>
      </c>
      <c r="AG27" s="614">
        <f t="shared" ref="AG27:AG35" si="15">SUM(R27+T27+V27+Y27+W27+AB27)</f>
        <v>33250763</v>
      </c>
      <c r="AH27" s="256">
        <f t="shared" ref="AH27:AH33" si="16">AB27/(AB27+AE27+AF27)</f>
        <v>0.7648519778099373</v>
      </c>
      <c r="AI27" s="257"/>
      <c r="AJ27" s="258"/>
      <c r="AK27" s="259" t="e">
        <f>SUM(AD27-AE27-#REF!-#REF!)</f>
        <v>#REF!</v>
      </c>
      <c r="AL27" s="260">
        <f t="shared" ref="AL27:AL36" si="17">SUM(Q27-(AD27+X27))/Q27</f>
        <v>0.77327355813953491</v>
      </c>
      <c r="AM27" s="162"/>
      <c r="AN27" s="247"/>
      <c r="AO27" s="261"/>
      <c r="AP27" s="77"/>
      <c r="AQ27" s="164">
        <v>6196479</v>
      </c>
      <c r="AR27" s="286"/>
      <c r="AU27" s="288"/>
    </row>
    <row r="28" spans="1:47" s="29" customFormat="1" ht="36" x14ac:dyDescent="0.35">
      <c r="A28" s="27" t="s">
        <v>100</v>
      </c>
      <c r="B28" s="38">
        <v>2</v>
      </c>
      <c r="C28" s="38">
        <v>0</v>
      </c>
      <c r="D28" s="38">
        <v>4</v>
      </c>
      <c r="E28" s="38">
        <v>4</v>
      </c>
      <c r="F28" s="38">
        <v>2</v>
      </c>
      <c r="G28" s="38" t="s">
        <v>147</v>
      </c>
      <c r="H28" s="25">
        <v>10</v>
      </c>
      <c r="I28" s="25" t="s">
        <v>88</v>
      </c>
      <c r="J28" s="42" t="s">
        <v>366</v>
      </c>
      <c r="K28" s="671">
        <v>16709800</v>
      </c>
      <c r="L28" s="671">
        <v>20291970</v>
      </c>
      <c r="M28" s="671">
        <v>15172027</v>
      </c>
      <c r="N28" s="47">
        <v>24000000</v>
      </c>
      <c r="O28" s="45"/>
      <c r="P28" s="45"/>
      <c r="Q28" s="45">
        <f t="shared" si="12"/>
        <v>24000000</v>
      </c>
      <c r="R28" s="253"/>
      <c r="S28" s="253"/>
      <c r="T28" s="253"/>
      <c r="U28" s="253"/>
      <c r="V28" s="63"/>
      <c r="W28" s="63"/>
      <c r="X28" s="243">
        <f t="shared" si="13"/>
        <v>0</v>
      </c>
      <c r="Y28" s="289"/>
      <c r="Z28" s="63">
        <f t="shared" si="14"/>
        <v>24000000</v>
      </c>
      <c r="AA28" s="686">
        <v>14889666</v>
      </c>
      <c r="AB28" s="686">
        <v>14721054.300000001</v>
      </c>
      <c r="AC28" s="63">
        <f t="shared" si="0"/>
        <v>168611.69999999925</v>
      </c>
      <c r="AD28" s="255">
        <f t="shared" si="4"/>
        <v>9278945.6999999993</v>
      </c>
      <c r="AE28" s="688"/>
      <c r="AF28" s="255">
        <f t="shared" ref="AF28:AF35" si="18">SUM(AD28-AE28)</f>
        <v>9278945.6999999993</v>
      </c>
      <c r="AG28" s="614">
        <f t="shared" si="15"/>
        <v>14721054.300000001</v>
      </c>
      <c r="AH28" s="256">
        <f t="shared" si="16"/>
        <v>0.61337726250000002</v>
      </c>
      <c r="AI28" s="257"/>
      <c r="AJ28" s="258"/>
      <c r="AK28" s="259" t="e">
        <f>SUM(AD28-AE28-#REF!-#REF!)</f>
        <v>#REF!</v>
      </c>
      <c r="AL28" s="260">
        <f t="shared" si="17"/>
        <v>0.61337726250000002</v>
      </c>
      <c r="AM28" s="162"/>
      <c r="AN28" s="262"/>
      <c r="AO28" s="261"/>
      <c r="AP28" s="77"/>
      <c r="AQ28" s="164">
        <v>9278945</v>
      </c>
      <c r="AR28" s="290"/>
      <c r="AS28" s="290"/>
      <c r="AT28" s="290"/>
      <c r="AU28" s="250"/>
    </row>
    <row r="29" spans="1:47" s="29" customFormat="1" ht="107.45" customHeight="1" x14ac:dyDescent="0.35">
      <c r="A29" s="27" t="s">
        <v>100</v>
      </c>
      <c r="B29" s="38">
        <v>2</v>
      </c>
      <c r="C29" s="38">
        <v>0</v>
      </c>
      <c r="D29" s="38">
        <v>4</v>
      </c>
      <c r="E29" s="38">
        <v>4</v>
      </c>
      <c r="F29" s="38">
        <v>6</v>
      </c>
      <c r="G29" s="38" t="s">
        <v>147</v>
      </c>
      <c r="H29" s="25">
        <v>10</v>
      </c>
      <c r="I29" s="25" t="s">
        <v>88</v>
      </c>
      <c r="J29" s="42" t="s">
        <v>367</v>
      </c>
      <c r="K29" s="671">
        <v>0</v>
      </c>
      <c r="L29" s="671">
        <v>2504440</v>
      </c>
      <c r="M29" s="671"/>
      <c r="N29" s="47">
        <v>8000000</v>
      </c>
      <c r="O29" s="45"/>
      <c r="P29" s="45">
        <v>1729000</v>
      </c>
      <c r="Q29" s="45">
        <f t="shared" si="12"/>
        <v>6271000</v>
      </c>
      <c r="R29" s="45"/>
      <c r="S29" s="45"/>
      <c r="T29" s="45"/>
      <c r="U29" s="45"/>
      <c r="V29" s="63"/>
      <c r="W29" s="63"/>
      <c r="X29" s="243">
        <f t="shared" si="13"/>
        <v>0</v>
      </c>
      <c r="Y29" s="255"/>
      <c r="Z29" s="63">
        <f t="shared" si="14"/>
        <v>6271000</v>
      </c>
      <c r="AA29" s="63">
        <v>4000000</v>
      </c>
      <c r="AB29" s="63"/>
      <c r="AC29" s="63">
        <f t="shared" si="0"/>
        <v>4000000</v>
      </c>
      <c r="AD29" s="255">
        <f>SUM(Z29-AB29)</f>
        <v>6271000</v>
      </c>
      <c r="AE29" s="688">
        <v>4000000</v>
      </c>
      <c r="AF29" s="255">
        <f t="shared" si="18"/>
        <v>2271000</v>
      </c>
      <c r="AG29" s="614">
        <f t="shared" si="15"/>
        <v>0</v>
      </c>
      <c r="AH29" s="256">
        <f t="shared" si="16"/>
        <v>0</v>
      </c>
      <c r="AI29" s="257"/>
      <c r="AJ29" s="258"/>
      <c r="AK29" s="259" t="e">
        <f>SUM(AD29-AE29-#REF!-#REF!)</f>
        <v>#REF!</v>
      </c>
      <c r="AL29" s="260">
        <f t="shared" si="17"/>
        <v>0</v>
      </c>
      <c r="AM29" s="162"/>
      <c r="AN29" s="262" t="s">
        <v>368</v>
      </c>
      <c r="AO29" s="261"/>
      <c r="AP29" s="77"/>
      <c r="AQ29" s="164">
        <v>2271000</v>
      </c>
      <c r="AR29" s="249"/>
      <c r="AT29" s="291"/>
      <c r="AU29" s="250"/>
    </row>
    <row r="30" spans="1:47" s="29" customFormat="1" ht="36" x14ac:dyDescent="0.35">
      <c r="A30" s="27" t="s">
        <v>100</v>
      </c>
      <c r="B30" s="38">
        <v>2</v>
      </c>
      <c r="C30" s="38">
        <v>0</v>
      </c>
      <c r="D30" s="38">
        <v>4</v>
      </c>
      <c r="E30" s="38">
        <v>4</v>
      </c>
      <c r="F30" s="38">
        <v>15</v>
      </c>
      <c r="G30" s="38" t="s">
        <v>147</v>
      </c>
      <c r="H30" s="25">
        <v>10</v>
      </c>
      <c r="I30" s="25" t="s">
        <v>88</v>
      </c>
      <c r="J30" s="42" t="s">
        <v>155</v>
      </c>
      <c r="K30" s="671">
        <v>81595684</v>
      </c>
      <c r="L30" s="671">
        <v>53324791</v>
      </c>
      <c r="M30" s="671">
        <v>41517993</v>
      </c>
      <c r="N30" s="47">
        <v>182000000</v>
      </c>
      <c r="O30" s="177">
        <v>1635000</v>
      </c>
      <c r="P30" s="45">
        <f>16000000+8673958+600000+20000000</f>
        <v>45273958</v>
      </c>
      <c r="Q30" s="45">
        <f>SUM(N30+O30-P30)</f>
        <v>138361042</v>
      </c>
      <c r="R30" s="253"/>
      <c r="S30" s="253">
        <v>750000</v>
      </c>
      <c r="T30" s="292">
        <f>128831+22550+223482+4500+52900+26700+62700+43550</f>
        <v>565213</v>
      </c>
      <c r="U30" s="253">
        <f>SUM(S30-T30)</f>
        <v>184787</v>
      </c>
      <c r="V30" s="63"/>
      <c r="W30" s="63"/>
      <c r="X30" s="243">
        <f t="shared" si="13"/>
        <v>184787</v>
      </c>
      <c r="Y30" s="293"/>
      <c r="Z30" s="63">
        <f t="shared" si="14"/>
        <v>137611042</v>
      </c>
      <c r="AA30" s="63">
        <v>172887500</v>
      </c>
      <c r="AB30" s="706">
        <v>116191307.02</v>
      </c>
      <c r="AC30" s="63">
        <f t="shared" si="0"/>
        <v>56696192.980000004</v>
      </c>
      <c r="AD30" s="255">
        <f t="shared" si="4"/>
        <v>21419734.980000004</v>
      </c>
      <c r="AE30" s="255">
        <v>25000000</v>
      </c>
      <c r="AF30" s="723">
        <f t="shared" si="18"/>
        <v>-3580265.0199999958</v>
      </c>
      <c r="AG30" s="614">
        <f t="shared" si="15"/>
        <v>116756520.02</v>
      </c>
      <c r="AH30" s="256">
        <f t="shared" si="16"/>
        <v>0.84434581216236992</v>
      </c>
      <c r="AI30" s="257"/>
      <c r="AJ30" s="258"/>
      <c r="AK30" s="259" t="e">
        <f>SUM(AD30-AE30-#REF!-#REF!)</f>
        <v>#REF!</v>
      </c>
      <c r="AL30" s="260">
        <f t="shared" si="17"/>
        <v>0.84385400928102283</v>
      </c>
      <c r="AM30" s="162"/>
      <c r="AN30" s="262"/>
      <c r="AO30" s="77"/>
      <c r="AP30" s="294">
        <v>3580266</v>
      </c>
      <c r="AQ30" s="164"/>
      <c r="AR30" s="249"/>
      <c r="AS30" s="295"/>
      <c r="AT30" s="291"/>
      <c r="AU30" s="250"/>
    </row>
    <row r="31" spans="1:47" s="29" customFormat="1" ht="36" x14ac:dyDescent="0.35">
      <c r="A31" s="27" t="s">
        <v>100</v>
      </c>
      <c r="B31" s="38">
        <v>2</v>
      </c>
      <c r="C31" s="38">
        <v>0</v>
      </c>
      <c r="D31" s="38">
        <v>4</v>
      </c>
      <c r="E31" s="38">
        <v>4</v>
      </c>
      <c r="F31" s="38">
        <v>17</v>
      </c>
      <c r="G31" s="38" t="s">
        <v>147</v>
      </c>
      <c r="H31" s="25">
        <v>10</v>
      </c>
      <c r="I31" s="25" t="s">
        <v>88</v>
      </c>
      <c r="J31" s="42" t="s">
        <v>128</v>
      </c>
      <c r="K31" s="671">
        <v>5851314</v>
      </c>
      <c r="L31" s="671">
        <v>19552811.359999999</v>
      </c>
      <c r="M31" s="671"/>
      <c r="N31" s="45">
        <v>400000</v>
      </c>
      <c r="O31" s="45">
        <v>694000</v>
      </c>
      <c r="P31" s="45"/>
      <c r="Q31" s="45">
        <f t="shared" si="12"/>
        <v>1094000</v>
      </c>
      <c r="R31" s="253"/>
      <c r="S31" s="253">
        <v>450000</v>
      </c>
      <c r="T31" s="292">
        <f>71434+62100+40030+61300+59000+59400+32900</f>
        <v>386164</v>
      </c>
      <c r="U31" s="253">
        <f t="shared" ref="U31:U35" si="19">SUM(S31-T31)</f>
        <v>63836</v>
      </c>
      <c r="V31" s="63"/>
      <c r="W31" s="63"/>
      <c r="X31" s="243">
        <f t="shared" si="13"/>
        <v>63836</v>
      </c>
      <c r="Y31" s="255"/>
      <c r="Z31" s="63">
        <f t="shared" si="14"/>
        <v>644000</v>
      </c>
      <c r="AA31" s="686">
        <v>600000</v>
      </c>
      <c r="AB31" s="686">
        <v>593300</v>
      </c>
      <c r="AC31" s="63">
        <f t="shared" si="0"/>
        <v>6700</v>
      </c>
      <c r="AD31" s="255">
        <f t="shared" si="4"/>
        <v>50700</v>
      </c>
      <c r="AE31" s="255"/>
      <c r="AF31" s="255">
        <f t="shared" si="18"/>
        <v>50700</v>
      </c>
      <c r="AG31" s="614">
        <f t="shared" si="15"/>
        <v>979464</v>
      </c>
      <c r="AH31" s="256">
        <f t="shared" si="16"/>
        <v>0.92127329192546581</v>
      </c>
      <c r="AI31" s="257"/>
      <c r="AJ31" s="258"/>
      <c r="AK31" s="259" t="e">
        <f>SUM(AD31-AE31-#REF!-#REF!)</f>
        <v>#REF!</v>
      </c>
      <c r="AL31" s="260">
        <f t="shared" si="17"/>
        <v>0.89530530164533817</v>
      </c>
      <c r="AM31" s="162"/>
      <c r="AN31" s="247"/>
      <c r="AO31" s="261"/>
      <c r="AP31" s="77"/>
      <c r="AQ31" s="164"/>
      <c r="AR31" s="249"/>
      <c r="AT31" s="291"/>
      <c r="AU31" s="250"/>
    </row>
    <row r="32" spans="1:47" s="29" customFormat="1" ht="51.75" customHeight="1" x14ac:dyDescent="0.35">
      <c r="A32" s="27" t="s">
        <v>100</v>
      </c>
      <c r="B32" s="38">
        <v>2</v>
      </c>
      <c r="C32" s="38">
        <v>0</v>
      </c>
      <c r="D32" s="38">
        <v>4</v>
      </c>
      <c r="E32" s="38">
        <v>4</v>
      </c>
      <c r="F32" s="38">
        <v>18</v>
      </c>
      <c r="G32" s="38" t="s">
        <v>147</v>
      </c>
      <c r="H32" s="25">
        <v>10</v>
      </c>
      <c r="I32" s="25" t="s">
        <v>88</v>
      </c>
      <c r="J32" s="42" t="s">
        <v>129</v>
      </c>
      <c r="K32" s="650">
        <v>21568574.789999999</v>
      </c>
      <c r="L32" s="650">
        <v>30327391.84</v>
      </c>
      <c r="M32" s="650"/>
      <c r="N32" s="45">
        <v>18800000</v>
      </c>
      <c r="O32" s="45"/>
      <c r="P32" s="45"/>
      <c r="Q32" s="45">
        <f t="shared" si="12"/>
        <v>18800000</v>
      </c>
      <c r="R32" s="253"/>
      <c r="S32" s="253">
        <v>14500000</v>
      </c>
      <c r="T32" s="292">
        <f>1271452+2237690+2059244+878480+676013+353900+829050+1740106+1578028+335500+127240+348230</f>
        <v>12434933</v>
      </c>
      <c r="U32" s="253">
        <f t="shared" si="19"/>
        <v>2065067</v>
      </c>
      <c r="V32" s="63"/>
      <c r="W32" s="63"/>
      <c r="X32" s="243">
        <f t="shared" si="13"/>
        <v>2065067</v>
      </c>
      <c r="Y32" s="255"/>
      <c r="Z32" s="63">
        <f t="shared" si="14"/>
        <v>4300000</v>
      </c>
      <c r="AA32" s="63"/>
      <c r="AB32" s="63"/>
      <c r="AC32" s="63">
        <f t="shared" si="0"/>
        <v>0</v>
      </c>
      <c r="AD32" s="255">
        <f t="shared" si="4"/>
        <v>4300000</v>
      </c>
      <c r="AE32" s="255"/>
      <c r="AF32" s="255">
        <f t="shared" si="18"/>
        <v>4300000</v>
      </c>
      <c r="AG32" s="614">
        <f>SUM(R32+T32+V32+Y32+W32+AB32)</f>
        <v>12434933</v>
      </c>
      <c r="AH32" s="256">
        <f t="shared" si="16"/>
        <v>0</v>
      </c>
      <c r="AI32" s="257"/>
      <c r="AJ32" s="258"/>
      <c r="AK32" s="259" t="e">
        <f>SUM(AD32-AE32-#REF!-#REF!)</f>
        <v>#REF!</v>
      </c>
      <c r="AL32" s="260">
        <f t="shared" si="17"/>
        <v>0.66143260638297874</v>
      </c>
      <c r="AM32" s="162"/>
      <c r="AN32" s="247"/>
      <c r="AO32" s="261"/>
      <c r="AP32" s="77"/>
      <c r="AQ32" s="164">
        <f t="shared" ref="AQ32:AQ34" si="20">SUM(AF32)</f>
        <v>4300000</v>
      </c>
      <c r="AR32" s="249"/>
      <c r="AT32" s="291"/>
      <c r="AU32" s="250"/>
    </row>
    <row r="33" spans="1:47" s="28" customFormat="1" ht="112.15" customHeight="1" x14ac:dyDescent="0.35">
      <c r="A33" s="27">
        <v>0</v>
      </c>
      <c r="B33" s="38">
        <v>2</v>
      </c>
      <c r="C33" s="38">
        <v>0</v>
      </c>
      <c r="D33" s="38">
        <v>4</v>
      </c>
      <c r="E33" s="38">
        <v>4</v>
      </c>
      <c r="F33" s="38">
        <v>20</v>
      </c>
      <c r="G33" s="38" t="s">
        <v>147</v>
      </c>
      <c r="H33" s="25">
        <v>10</v>
      </c>
      <c r="I33" s="25" t="s">
        <v>88</v>
      </c>
      <c r="J33" s="42" t="s">
        <v>176</v>
      </c>
      <c r="K33" s="296">
        <v>30837092</v>
      </c>
      <c r="L33" s="296">
        <v>31584291</v>
      </c>
      <c r="M33" s="296">
        <v>35972143</v>
      </c>
      <c r="N33" s="45">
        <v>30000000</v>
      </c>
      <c r="O33" s="45">
        <v>8673958</v>
      </c>
      <c r="P33" s="45">
        <v>1000000</v>
      </c>
      <c r="Q33" s="45">
        <f t="shared" si="12"/>
        <v>37673958</v>
      </c>
      <c r="R33" s="253"/>
      <c r="S33" s="253">
        <v>2500000</v>
      </c>
      <c r="T33" s="292">
        <f>601250+28300+185640+134432+59100+653897+578800</f>
        <v>2241419</v>
      </c>
      <c r="U33" s="253">
        <f t="shared" si="19"/>
        <v>258581</v>
      </c>
      <c r="V33" s="63"/>
      <c r="W33" s="66">
        <v>10728708</v>
      </c>
      <c r="X33" s="243">
        <f t="shared" si="13"/>
        <v>258581</v>
      </c>
      <c r="Y33" s="255"/>
      <c r="Z33" s="63">
        <f t="shared" si="14"/>
        <v>24445250</v>
      </c>
      <c r="AA33" s="686">
        <v>35000000</v>
      </c>
      <c r="AB33" s="686">
        <v>14870250</v>
      </c>
      <c r="AC33" s="63">
        <f t="shared" si="0"/>
        <v>20129750</v>
      </c>
      <c r="AD33" s="255">
        <f t="shared" si="4"/>
        <v>9575000</v>
      </c>
      <c r="AE33" s="688">
        <v>8000000</v>
      </c>
      <c r="AF33" s="255">
        <f t="shared" si="18"/>
        <v>1575000</v>
      </c>
      <c r="AG33" s="614">
        <f t="shared" si="15"/>
        <v>27840377</v>
      </c>
      <c r="AH33" s="256">
        <f t="shared" si="16"/>
        <v>0.6083083625653245</v>
      </c>
      <c r="AI33" s="257"/>
      <c r="AJ33" s="258"/>
      <c r="AK33" s="259" t="e">
        <f>SUM(AD33-AE33-#REF!-#REF!)</f>
        <v>#REF!</v>
      </c>
      <c r="AL33" s="260">
        <f t="shared" si="17"/>
        <v>0.73898200449233398</v>
      </c>
      <c r="AM33" s="162"/>
      <c r="AN33" s="262"/>
      <c r="AO33" s="261" t="s">
        <v>1997</v>
      </c>
      <c r="AP33" s="77"/>
      <c r="AQ33" s="164"/>
      <c r="AR33" s="112"/>
      <c r="AT33" s="291"/>
      <c r="AU33" s="113"/>
    </row>
    <row r="34" spans="1:47" s="28" customFormat="1" ht="36" x14ac:dyDescent="0.35">
      <c r="A34" s="27" t="s">
        <v>100</v>
      </c>
      <c r="B34" s="38">
        <v>2</v>
      </c>
      <c r="C34" s="38">
        <v>0</v>
      </c>
      <c r="D34" s="38">
        <v>4</v>
      </c>
      <c r="E34" s="38">
        <v>4</v>
      </c>
      <c r="F34" s="38">
        <v>21</v>
      </c>
      <c r="G34" s="38" t="s">
        <v>147</v>
      </c>
      <c r="H34" s="25">
        <v>10</v>
      </c>
      <c r="I34" s="25" t="s">
        <v>88</v>
      </c>
      <c r="J34" s="36" t="s">
        <v>151</v>
      </c>
      <c r="K34" s="650">
        <v>471340</v>
      </c>
      <c r="L34" s="650">
        <v>169190</v>
      </c>
      <c r="M34" s="650"/>
      <c r="N34" s="45"/>
      <c r="O34" s="45"/>
      <c r="P34" s="45"/>
      <c r="Q34" s="45">
        <f t="shared" si="12"/>
        <v>0</v>
      </c>
      <c r="R34" s="253"/>
      <c r="S34" s="253">
        <v>0</v>
      </c>
      <c r="T34" s="253"/>
      <c r="U34" s="253">
        <f t="shared" si="19"/>
        <v>0</v>
      </c>
      <c r="V34" s="63"/>
      <c r="W34" s="63"/>
      <c r="X34" s="243">
        <f t="shared" si="13"/>
        <v>0</v>
      </c>
      <c r="Y34" s="255"/>
      <c r="Z34" s="63">
        <f t="shared" si="14"/>
        <v>0</v>
      </c>
      <c r="AA34" s="63"/>
      <c r="AB34" s="63"/>
      <c r="AC34" s="63">
        <f t="shared" si="0"/>
        <v>0</v>
      </c>
      <c r="AD34" s="255">
        <f t="shared" si="4"/>
        <v>0</v>
      </c>
      <c r="AE34" s="255"/>
      <c r="AF34" s="255">
        <f t="shared" si="18"/>
        <v>0</v>
      </c>
      <c r="AG34" s="614">
        <f t="shared" si="15"/>
        <v>0</v>
      </c>
      <c r="AH34" s="256"/>
      <c r="AI34" s="257"/>
      <c r="AJ34" s="258"/>
      <c r="AK34" s="259" t="e">
        <f>SUM(AD34-AE34-#REF!-#REF!)</f>
        <v>#REF!</v>
      </c>
      <c r="AL34" s="260" t="e">
        <f t="shared" si="17"/>
        <v>#DIV/0!</v>
      </c>
      <c r="AM34" s="162"/>
      <c r="AN34" s="247"/>
      <c r="AO34" s="261"/>
      <c r="AP34" s="77"/>
      <c r="AQ34" s="164">
        <f t="shared" si="20"/>
        <v>0</v>
      </c>
      <c r="AR34" s="112"/>
      <c r="AT34" s="291"/>
      <c r="AU34" s="113"/>
    </row>
    <row r="35" spans="1:47" s="28" customFormat="1" ht="36" x14ac:dyDescent="0.35">
      <c r="A35" s="27" t="s">
        <v>100</v>
      </c>
      <c r="B35" s="38">
        <v>2</v>
      </c>
      <c r="C35" s="38">
        <v>0</v>
      </c>
      <c r="D35" s="38">
        <v>4</v>
      </c>
      <c r="E35" s="38">
        <v>4</v>
      </c>
      <c r="F35" s="38">
        <v>23</v>
      </c>
      <c r="G35" s="38" t="s">
        <v>147</v>
      </c>
      <c r="H35" s="25">
        <v>10</v>
      </c>
      <c r="I35" s="25" t="s">
        <v>88</v>
      </c>
      <c r="J35" s="36" t="s">
        <v>130</v>
      </c>
      <c r="K35" s="650">
        <v>6562350</v>
      </c>
      <c r="L35" s="650">
        <v>3699162</v>
      </c>
      <c r="M35" s="650">
        <v>23036241</v>
      </c>
      <c r="N35" s="45">
        <v>5000000</v>
      </c>
      <c r="O35" s="45"/>
      <c r="P35" s="45"/>
      <c r="Q35" s="45">
        <f t="shared" si="12"/>
        <v>5000000</v>
      </c>
      <c r="R35" s="253">
        <v>4000000</v>
      </c>
      <c r="S35" s="253">
        <v>250000</v>
      </c>
      <c r="T35" s="292">
        <f>143000</f>
        <v>143000</v>
      </c>
      <c r="U35" s="253">
        <f t="shared" si="19"/>
        <v>107000</v>
      </c>
      <c r="V35" s="63"/>
      <c r="W35" s="63"/>
      <c r="X35" s="243">
        <f t="shared" si="13"/>
        <v>107000</v>
      </c>
      <c r="Y35" s="255"/>
      <c r="Z35" s="63">
        <f t="shared" si="14"/>
        <v>750000</v>
      </c>
      <c r="AA35" s="63">
        <v>0</v>
      </c>
      <c r="AB35" s="63"/>
      <c r="AC35" s="63">
        <f t="shared" si="0"/>
        <v>0</v>
      </c>
      <c r="AD35" s="255">
        <f t="shared" si="4"/>
        <v>750000</v>
      </c>
      <c r="AE35" s="255"/>
      <c r="AF35" s="255">
        <f t="shared" si="18"/>
        <v>750000</v>
      </c>
      <c r="AG35" s="614">
        <f t="shared" si="15"/>
        <v>4143000</v>
      </c>
      <c r="AH35" s="256"/>
      <c r="AI35" s="257"/>
      <c r="AJ35" s="258"/>
      <c r="AK35" s="259" t="e">
        <f>SUM(AD35-AE35-#REF!-#REF!)</f>
        <v>#REF!</v>
      </c>
      <c r="AL35" s="260">
        <f t="shared" si="17"/>
        <v>0.8286</v>
      </c>
      <c r="AM35" s="162"/>
      <c r="AN35" s="247"/>
      <c r="AO35" s="261" t="s">
        <v>1481</v>
      </c>
      <c r="AP35" s="77"/>
      <c r="AQ35" s="164">
        <v>750000</v>
      </c>
      <c r="AR35" s="112"/>
      <c r="AT35" s="291"/>
      <c r="AU35" s="113"/>
    </row>
    <row r="36" spans="1:47" s="34" customFormat="1" x14ac:dyDescent="0.35">
      <c r="A36" s="31"/>
      <c r="B36" s="32"/>
      <c r="C36" s="32"/>
      <c r="D36" s="32"/>
      <c r="E36" s="32"/>
      <c r="F36" s="32"/>
      <c r="G36" s="32"/>
      <c r="H36" s="33"/>
      <c r="I36" s="33"/>
      <c r="J36" s="35" t="s">
        <v>131</v>
      </c>
      <c r="K36" s="264">
        <f t="shared" ref="K36:W36" si="21">SUM(K27:K35)</f>
        <v>211416154.78999999</v>
      </c>
      <c r="L36" s="264">
        <f t="shared" si="21"/>
        <v>194678763.19999999</v>
      </c>
      <c r="M36" s="264">
        <f t="shared" si="21"/>
        <v>154898404</v>
      </c>
      <c r="N36" s="265">
        <f t="shared" ref="N36:S36" si="22">SUM(N27:N35)</f>
        <v>311200000</v>
      </c>
      <c r="O36" s="265">
        <f t="shared" si="22"/>
        <v>11002958</v>
      </c>
      <c r="P36" s="265">
        <f t="shared" si="22"/>
        <v>48002958</v>
      </c>
      <c r="Q36" s="265">
        <f t="shared" si="22"/>
        <v>274200000</v>
      </c>
      <c r="R36" s="49">
        <f t="shared" si="22"/>
        <v>4770000</v>
      </c>
      <c r="S36" s="49">
        <f t="shared" si="22"/>
        <v>19220000</v>
      </c>
      <c r="T36" s="49">
        <f>SUM(T27:T35)</f>
        <v>16540729</v>
      </c>
      <c r="U36" s="49">
        <f t="shared" si="21"/>
        <v>2679271</v>
      </c>
      <c r="V36" s="39">
        <f t="shared" si="21"/>
        <v>0</v>
      </c>
      <c r="W36" s="39">
        <f t="shared" si="21"/>
        <v>10728708</v>
      </c>
      <c r="X36" s="243">
        <f t="shared" ref="X36:AF36" si="23">SUM(X27:X35)</f>
        <v>2679271</v>
      </c>
      <c r="Y36" s="269">
        <f t="shared" si="23"/>
        <v>0</v>
      </c>
      <c r="Z36" s="39">
        <f t="shared" si="23"/>
        <v>239481292</v>
      </c>
      <c r="AA36" s="39">
        <f>SUM(AA27:AA35)</f>
        <v>275377166</v>
      </c>
      <c r="AB36" s="39">
        <f t="shared" si="23"/>
        <v>178086674.31999999</v>
      </c>
      <c r="AC36" s="39">
        <f t="shared" si="23"/>
        <v>97290491.680000007</v>
      </c>
      <c r="AD36" s="269">
        <f t="shared" si="23"/>
        <v>61394617.680000007</v>
      </c>
      <c r="AE36" s="269">
        <f>SUM(AE27:AE35)</f>
        <v>40000000</v>
      </c>
      <c r="AF36" s="269">
        <f t="shared" si="23"/>
        <v>21394617.680000003</v>
      </c>
      <c r="AG36" s="267"/>
      <c r="AH36" s="297">
        <f>SUM(AB36/Z36)</f>
        <v>0.74363501563203527</v>
      </c>
      <c r="AI36" s="269"/>
      <c r="AJ36" s="269">
        <f>SUM(AJ27:AJ35)</f>
        <v>0</v>
      </c>
      <c r="AK36" s="270" t="e">
        <f>SUM(AD36-AE36-#REF!-#REF!)</f>
        <v>#REF!</v>
      </c>
      <c r="AL36" s="271">
        <f t="shared" si="17"/>
        <v>0.76632425718453678</v>
      </c>
      <c r="AM36" s="298"/>
      <c r="AN36" s="272"/>
      <c r="AO36" s="273"/>
      <c r="AP36" s="274"/>
      <c r="AQ36" s="274"/>
      <c r="AR36" s="275"/>
      <c r="AU36" s="276"/>
    </row>
    <row r="37" spans="1:47" s="28" customFormat="1" ht="45" customHeight="1" x14ac:dyDescent="0.35">
      <c r="A37" s="27"/>
      <c r="B37" s="739" t="s">
        <v>132</v>
      </c>
      <c r="C37" s="739"/>
      <c r="D37" s="739"/>
      <c r="E37" s="739"/>
      <c r="F37" s="739"/>
      <c r="G37" s="739"/>
      <c r="H37" s="739"/>
      <c r="I37" s="739"/>
      <c r="J37" s="739"/>
      <c r="K37" s="25"/>
      <c r="L37" s="25"/>
      <c r="M37" s="25"/>
      <c r="N37" s="50"/>
      <c r="O37" s="50"/>
      <c r="P37" s="50"/>
      <c r="Q37" s="50"/>
      <c r="R37" s="50"/>
      <c r="S37" s="50"/>
      <c r="T37" s="50"/>
      <c r="U37" s="50"/>
      <c r="V37" s="64"/>
      <c r="W37" s="64"/>
      <c r="X37" s="281"/>
      <c r="Y37" s="64"/>
      <c r="Z37" s="64"/>
      <c r="AA37" s="64"/>
      <c r="AB37" s="64"/>
      <c r="AC37" s="64"/>
      <c r="AD37" s="64"/>
      <c r="AE37" s="64"/>
      <c r="AF37" s="64"/>
      <c r="AG37" s="615"/>
      <c r="AH37" s="256"/>
      <c r="AI37" s="299"/>
      <c r="AJ37" s="258"/>
      <c r="AK37" s="259" t="e">
        <f>SUM(AD37-AE37-#REF!-#REF!)</f>
        <v>#REF!</v>
      </c>
      <c r="AL37" s="300"/>
      <c r="AM37" s="215"/>
      <c r="AN37" s="247"/>
      <c r="AO37" s="248"/>
      <c r="AP37" s="77"/>
      <c r="AQ37" s="77"/>
      <c r="AR37" s="301"/>
      <c r="AU37" s="113"/>
    </row>
    <row r="38" spans="1:47" s="28" customFormat="1" ht="54.95" customHeight="1" x14ac:dyDescent="0.35">
      <c r="A38" s="27" t="s">
        <v>100</v>
      </c>
      <c r="B38" s="38">
        <v>2</v>
      </c>
      <c r="C38" s="38">
        <v>0</v>
      </c>
      <c r="D38" s="38">
        <v>4</v>
      </c>
      <c r="E38" s="38">
        <v>5</v>
      </c>
      <c r="F38" s="38">
        <v>1</v>
      </c>
      <c r="G38" s="38" t="s">
        <v>147</v>
      </c>
      <c r="H38" s="25">
        <v>10</v>
      </c>
      <c r="I38" s="25" t="s">
        <v>88</v>
      </c>
      <c r="J38" s="42" t="s">
        <v>369</v>
      </c>
      <c r="K38" s="671">
        <v>6719205</v>
      </c>
      <c r="L38" s="671">
        <v>19966682</v>
      </c>
      <c r="M38" s="671">
        <v>6801902</v>
      </c>
      <c r="N38" s="45">
        <v>110520000</v>
      </c>
      <c r="O38" s="45"/>
      <c r="P38" s="45">
        <f>63400979+1000000</f>
        <v>64400979</v>
      </c>
      <c r="Q38" s="45">
        <f t="shared" ref="Q38:Q44" si="24">SUM(N38+O38-P38)</f>
        <v>46119021</v>
      </c>
      <c r="R38" s="253"/>
      <c r="S38" s="253">
        <v>4500000</v>
      </c>
      <c r="T38" s="292">
        <f>350000+190020+140000+148000+144000+341000+250000+115000+775310+114240+492400</f>
        <v>3059970</v>
      </c>
      <c r="U38" s="253">
        <f t="shared" ref="U38:U44" si="25">SUM(S38-T38)</f>
        <v>1440030</v>
      </c>
      <c r="V38" s="63"/>
      <c r="W38" s="63"/>
      <c r="X38" s="243">
        <f t="shared" ref="X38:X44" si="26">SUM(U38)</f>
        <v>1440030</v>
      </c>
      <c r="Y38" s="255"/>
      <c r="Z38" s="63">
        <f t="shared" ref="Z38:Z44" si="27">SUM(Q38-R38-T38-V38-W38-X38-Y38)</f>
        <v>41619021</v>
      </c>
      <c r="AA38" s="63">
        <v>49800000</v>
      </c>
      <c r="AB38" s="706">
        <v>17860000</v>
      </c>
      <c r="AC38" s="63">
        <f t="shared" si="0"/>
        <v>31940000</v>
      </c>
      <c r="AD38" s="255">
        <f t="shared" si="4"/>
        <v>23759021</v>
      </c>
      <c r="AE38" s="255">
        <v>21800000</v>
      </c>
      <c r="AF38" s="255">
        <f t="shared" ref="AF38:AF44" si="28">SUM(AD38-AE38)</f>
        <v>1959021</v>
      </c>
      <c r="AG38" s="614">
        <f t="shared" ref="AG38:AG44" si="29">SUM(R38+T38+V38+Y38+W38+AB38)</f>
        <v>20919970</v>
      </c>
      <c r="AH38" s="256">
        <f t="shared" ref="AH38:AH43" si="30">AB38/(AB38+AE38+AF38)</f>
        <v>0.42913070924950397</v>
      </c>
      <c r="AI38" s="257"/>
      <c r="AJ38" s="258"/>
      <c r="AK38" s="259" t="e">
        <f>SUM(AD38-AE38-#REF!-#REF!)</f>
        <v>#REF!</v>
      </c>
      <c r="AL38" s="260">
        <f t="shared" ref="AL38:AL44" si="31">SUM(Q38-(AD38+X38))/Q38</f>
        <v>0.45360828452971713</v>
      </c>
      <c r="AM38" s="162"/>
      <c r="AN38" s="262"/>
      <c r="AO38" s="261" t="s">
        <v>1732</v>
      </c>
      <c r="AP38" s="77"/>
      <c r="AQ38" s="164"/>
      <c r="AR38" s="301"/>
      <c r="AS38" s="302"/>
      <c r="AU38" s="303"/>
    </row>
    <row r="39" spans="1:47" s="28" customFormat="1" ht="36" x14ac:dyDescent="0.35">
      <c r="A39" s="27" t="s">
        <v>100</v>
      </c>
      <c r="B39" s="38">
        <v>2</v>
      </c>
      <c r="C39" s="38">
        <v>0</v>
      </c>
      <c r="D39" s="38">
        <v>4</v>
      </c>
      <c r="E39" s="38">
        <v>5</v>
      </c>
      <c r="F39" s="38">
        <v>2</v>
      </c>
      <c r="G39" s="38" t="s">
        <v>147</v>
      </c>
      <c r="H39" s="25">
        <v>10</v>
      </c>
      <c r="I39" s="25" t="s">
        <v>88</v>
      </c>
      <c r="J39" s="42" t="s">
        <v>185</v>
      </c>
      <c r="K39" s="296">
        <v>7601780</v>
      </c>
      <c r="L39" s="296">
        <v>16820404</v>
      </c>
      <c r="M39" s="296">
        <v>6296858</v>
      </c>
      <c r="N39" s="45">
        <v>35500000</v>
      </c>
      <c r="O39" s="45"/>
      <c r="P39" s="45">
        <f>5035527+11000000</f>
        <v>16035527</v>
      </c>
      <c r="Q39" s="45">
        <f t="shared" si="24"/>
        <v>19464473</v>
      </c>
      <c r="R39" s="253"/>
      <c r="S39" s="304">
        <v>4000000</v>
      </c>
      <c r="T39" s="305">
        <f>20000+649300+211400+407000+45220+454940+583715+346500+588300</f>
        <v>3306375</v>
      </c>
      <c r="U39" s="253">
        <f t="shared" si="25"/>
        <v>693625</v>
      </c>
      <c r="V39" s="63"/>
      <c r="W39" s="65"/>
      <c r="X39" s="243">
        <f t="shared" si="26"/>
        <v>693625</v>
      </c>
      <c r="Y39" s="255"/>
      <c r="Z39" s="63">
        <f t="shared" si="27"/>
        <v>15464473</v>
      </c>
      <c r="AA39" s="690">
        <v>9100000</v>
      </c>
      <c r="AB39" s="686">
        <v>6906473</v>
      </c>
      <c r="AC39" s="63">
        <f t="shared" si="0"/>
        <v>2193527</v>
      </c>
      <c r="AD39" s="255">
        <f t="shared" si="4"/>
        <v>8558000</v>
      </c>
      <c r="AE39" s="688"/>
      <c r="AF39" s="255">
        <f t="shared" si="28"/>
        <v>8558000</v>
      </c>
      <c r="AG39" s="614">
        <f t="shared" si="29"/>
        <v>10212848</v>
      </c>
      <c r="AH39" s="256">
        <f t="shared" si="30"/>
        <v>0.44660254507217934</v>
      </c>
      <c r="AI39" s="257"/>
      <c r="AJ39" s="258"/>
      <c r="AK39" s="259" t="e">
        <f>SUM(AD39-AE39-#REF!-#REF!)</f>
        <v>#REF!</v>
      </c>
      <c r="AL39" s="260">
        <f t="shared" si="31"/>
        <v>0.52469172938820385</v>
      </c>
      <c r="AM39" s="162"/>
      <c r="AN39" s="262"/>
      <c r="AO39" s="261"/>
      <c r="AP39" s="77"/>
      <c r="AQ39" s="164"/>
      <c r="AR39" s="306"/>
      <c r="AU39" s="113"/>
    </row>
    <row r="40" spans="1:47" s="28" customFormat="1" ht="67.5" customHeight="1" x14ac:dyDescent="0.35">
      <c r="A40" s="27" t="s">
        <v>100</v>
      </c>
      <c r="B40" s="38">
        <v>2</v>
      </c>
      <c r="C40" s="38">
        <v>0</v>
      </c>
      <c r="D40" s="38">
        <v>4</v>
      </c>
      <c r="E40" s="38">
        <v>5</v>
      </c>
      <c r="F40" s="38">
        <v>5</v>
      </c>
      <c r="G40" s="38" t="s">
        <v>147</v>
      </c>
      <c r="H40" s="25">
        <v>10</v>
      </c>
      <c r="I40" s="25" t="s">
        <v>88</v>
      </c>
      <c r="J40" s="42" t="s">
        <v>184</v>
      </c>
      <c r="K40" s="307">
        <v>79507354</v>
      </c>
      <c r="L40" s="307">
        <v>287072300.5</v>
      </c>
      <c r="M40" s="307">
        <v>192403910</v>
      </c>
      <c r="N40" s="45">
        <v>131200000</v>
      </c>
      <c r="O40" s="45"/>
      <c r="P40" s="45">
        <v>19000000</v>
      </c>
      <c r="Q40" s="45">
        <f t="shared" si="24"/>
        <v>112200000</v>
      </c>
      <c r="R40" s="253"/>
      <c r="S40" s="253">
        <v>1200000</v>
      </c>
      <c r="T40" s="292">
        <f>47600+119999+105000+33000+120796+33000+212000+20000+125000</f>
        <v>816395</v>
      </c>
      <c r="U40" s="253">
        <f t="shared" si="25"/>
        <v>383605</v>
      </c>
      <c r="V40" s="63"/>
      <c r="W40" s="66">
        <v>110564465</v>
      </c>
      <c r="X40" s="243">
        <f t="shared" si="26"/>
        <v>383605</v>
      </c>
      <c r="Y40" s="255"/>
      <c r="Z40" s="63">
        <f t="shared" si="27"/>
        <v>435535</v>
      </c>
      <c r="AA40" s="66"/>
      <c r="AB40" s="63"/>
      <c r="AC40" s="63">
        <f t="shared" si="0"/>
        <v>0</v>
      </c>
      <c r="AD40" s="255">
        <f t="shared" si="4"/>
        <v>435535</v>
      </c>
      <c r="AE40" s="255"/>
      <c r="AF40" s="255">
        <f t="shared" si="28"/>
        <v>435535</v>
      </c>
      <c r="AG40" s="614">
        <f t="shared" si="29"/>
        <v>111380860</v>
      </c>
      <c r="AH40" s="256">
        <f t="shared" si="30"/>
        <v>0</v>
      </c>
      <c r="AI40" s="257"/>
      <c r="AJ40" s="258"/>
      <c r="AK40" s="259" t="e">
        <f>SUM(AD40-AE40-#REF!-#REF!)</f>
        <v>#REF!</v>
      </c>
      <c r="AL40" s="260">
        <f t="shared" si="31"/>
        <v>0.9926992869875223</v>
      </c>
      <c r="AM40" s="162"/>
      <c r="AN40" s="247"/>
      <c r="AO40" s="261" t="s">
        <v>1728</v>
      </c>
      <c r="AP40" s="77"/>
      <c r="AQ40" s="164"/>
      <c r="AR40" s="308"/>
      <c r="AU40" s="113"/>
    </row>
    <row r="41" spans="1:47" s="28" customFormat="1" ht="78.75" customHeight="1" x14ac:dyDescent="0.35">
      <c r="A41" s="30" t="s">
        <v>100</v>
      </c>
      <c r="B41" s="38">
        <v>2</v>
      </c>
      <c r="C41" s="38">
        <v>0</v>
      </c>
      <c r="D41" s="38">
        <v>4</v>
      </c>
      <c r="E41" s="38">
        <v>5</v>
      </c>
      <c r="F41" s="38">
        <v>6</v>
      </c>
      <c r="G41" s="38" t="s">
        <v>147</v>
      </c>
      <c r="H41" s="25">
        <v>10</v>
      </c>
      <c r="I41" s="25" t="s">
        <v>88</v>
      </c>
      <c r="J41" s="42" t="s">
        <v>116</v>
      </c>
      <c r="K41" s="671">
        <v>21600000</v>
      </c>
      <c r="L41" s="671">
        <v>21600000</v>
      </c>
      <c r="M41" s="671">
        <v>17451732</v>
      </c>
      <c r="N41" s="45">
        <v>29000000</v>
      </c>
      <c r="O41" s="45"/>
      <c r="P41" s="45">
        <f>6000000+1000000+7500000</f>
        <v>14500000</v>
      </c>
      <c r="Q41" s="45">
        <f t="shared" si="24"/>
        <v>14500000</v>
      </c>
      <c r="R41" s="253"/>
      <c r="S41" s="253"/>
      <c r="T41" s="253"/>
      <c r="U41" s="253">
        <f t="shared" si="25"/>
        <v>0</v>
      </c>
      <c r="V41" s="63"/>
      <c r="W41" s="63">
        <v>8331010</v>
      </c>
      <c r="X41" s="243">
        <f t="shared" si="26"/>
        <v>0</v>
      </c>
      <c r="Y41" s="255"/>
      <c r="Z41" s="63">
        <f t="shared" si="27"/>
        <v>6168990</v>
      </c>
      <c r="AA41" s="686">
        <v>8000000</v>
      </c>
      <c r="AB41" s="686">
        <v>1395000</v>
      </c>
      <c r="AC41" s="63">
        <f t="shared" si="0"/>
        <v>6605000</v>
      </c>
      <c r="AD41" s="255">
        <f t="shared" si="4"/>
        <v>4773990</v>
      </c>
      <c r="AE41" s="688">
        <v>1000000</v>
      </c>
      <c r="AF41" s="255">
        <f t="shared" si="28"/>
        <v>3773990</v>
      </c>
      <c r="AG41" s="614">
        <f t="shared" si="29"/>
        <v>9726010</v>
      </c>
      <c r="AH41" s="256"/>
      <c r="AI41" s="257"/>
      <c r="AJ41" s="258"/>
      <c r="AK41" s="259" t="e">
        <f>SUM(AD41-AE41-#REF!-#REF!)</f>
        <v>#REF!</v>
      </c>
      <c r="AL41" s="260">
        <f t="shared" si="31"/>
        <v>0.67075931034482761</v>
      </c>
      <c r="AM41" s="162"/>
      <c r="AN41" s="262"/>
      <c r="AO41" s="261" t="s">
        <v>1733</v>
      </c>
      <c r="AP41" s="77"/>
      <c r="AQ41" s="164"/>
      <c r="AR41" s="301"/>
      <c r="AU41" s="113"/>
    </row>
    <row r="42" spans="1:47" s="28" customFormat="1" ht="105.6" customHeight="1" x14ac:dyDescent="0.35">
      <c r="A42" s="27" t="s">
        <v>100</v>
      </c>
      <c r="B42" s="38">
        <v>2</v>
      </c>
      <c r="C42" s="38">
        <v>0</v>
      </c>
      <c r="D42" s="38">
        <v>4</v>
      </c>
      <c r="E42" s="38">
        <v>5</v>
      </c>
      <c r="F42" s="38">
        <v>8</v>
      </c>
      <c r="G42" s="38" t="s">
        <v>147</v>
      </c>
      <c r="H42" s="25">
        <v>10</v>
      </c>
      <c r="I42" s="25" t="s">
        <v>88</v>
      </c>
      <c r="J42" s="42" t="s">
        <v>133</v>
      </c>
      <c r="K42" s="671">
        <v>102285363.8</v>
      </c>
      <c r="L42" s="671">
        <v>105523727</v>
      </c>
      <c r="M42" s="671">
        <v>89283685</v>
      </c>
      <c r="N42" s="45">
        <v>189000000</v>
      </c>
      <c r="O42" s="45">
        <f>5000000+6000000+4100000</f>
        <v>15100000</v>
      </c>
      <c r="P42" s="45">
        <f>10000000+1900000</f>
        <v>11900000</v>
      </c>
      <c r="Q42" s="45">
        <f t="shared" si="24"/>
        <v>192200000</v>
      </c>
      <c r="R42" s="253"/>
      <c r="S42" s="253"/>
      <c r="T42" s="253"/>
      <c r="U42" s="253">
        <f t="shared" si="25"/>
        <v>0</v>
      </c>
      <c r="V42" s="63"/>
      <c r="W42" s="63">
        <f>89919593.22+10091334.08</f>
        <v>100010927.3</v>
      </c>
      <c r="X42" s="243">
        <f t="shared" si="26"/>
        <v>0</v>
      </c>
      <c r="Y42" s="255"/>
      <c r="Z42" s="63">
        <f t="shared" si="27"/>
        <v>92189072.700000003</v>
      </c>
      <c r="AA42" s="686">
        <v>106000000</v>
      </c>
      <c r="AB42" s="686">
        <v>80180354</v>
      </c>
      <c r="AC42" s="63">
        <f t="shared" si="0"/>
        <v>25819646</v>
      </c>
      <c r="AD42" s="255">
        <f t="shared" si="4"/>
        <v>12008718.700000003</v>
      </c>
      <c r="AE42" s="688">
        <v>12000000</v>
      </c>
      <c r="AF42" s="255">
        <f t="shared" si="28"/>
        <v>8718.7000000029802</v>
      </c>
      <c r="AG42" s="614">
        <f t="shared" si="29"/>
        <v>180191281.30000001</v>
      </c>
      <c r="AH42" s="256">
        <f t="shared" si="30"/>
        <v>0.86973815498634466</v>
      </c>
      <c r="AI42" s="257"/>
      <c r="AJ42" s="258"/>
      <c r="AK42" s="259" t="e">
        <f>SUM(AD42-AE42-#REF!-#REF!)</f>
        <v>#REF!</v>
      </c>
      <c r="AL42" s="260">
        <f t="shared" si="31"/>
        <v>0.93751967377731538</v>
      </c>
      <c r="AM42" s="162"/>
      <c r="AN42" s="262"/>
      <c r="AO42" s="261" t="s">
        <v>1730</v>
      </c>
      <c r="AP42" s="77"/>
      <c r="AQ42" s="164"/>
      <c r="AR42" s="112"/>
      <c r="AT42" s="112"/>
      <c r="AU42" s="113"/>
    </row>
    <row r="43" spans="1:47" s="28" customFormat="1" ht="84" customHeight="1" x14ac:dyDescent="0.35">
      <c r="A43" s="27" t="s">
        <v>100</v>
      </c>
      <c r="B43" s="38">
        <v>2</v>
      </c>
      <c r="C43" s="38">
        <v>0</v>
      </c>
      <c r="D43" s="38">
        <v>4</v>
      </c>
      <c r="E43" s="38">
        <v>5</v>
      </c>
      <c r="F43" s="38">
        <v>10</v>
      </c>
      <c r="G43" s="38" t="s">
        <v>147</v>
      </c>
      <c r="H43" s="25">
        <v>10</v>
      </c>
      <c r="I43" s="25" t="s">
        <v>88</v>
      </c>
      <c r="J43" s="42" t="s">
        <v>117</v>
      </c>
      <c r="K43" s="671">
        <v>152736982</v>
      </c>
      <c r="L43" s="671">
        <v>159603012</v>
      </c>
      <c r="M43" s="671">
        <v>139184373</v>
      </c>
      <c r="N43" s="45">
        <v>197000000</v>
      </c>
      <c r="O43" s="45">
        <v>6000000</v>
      </c>
      <c r="P43" s="45"/>
      <c r="Q43" s="45">
        <f t="shared" si="24"/>
        <v>203000000</v>
      </c>
      <c r="R43" s="253"/>
      <c r="S43" s="253"/>
      <c r="T43" s="253"/>
      <c r="U43" s="253">
        <f t="shared" si="25"/>
        <v>0</v>
      </c>
      <c r="V43" s="63"/>
      <c r="W43" s="63">
        <v>112737130.06999999</v>
      </c>
      <c r="X43" s="243">
        <f t="shared" si="26"/>
        <v>0</v>
      </c>
      <c r="Y43" s="243">
        <f>73061000+16917884</f>
        <v>89978884</v>
      </c>
      <c r="Z43" s="63">
        <f t="shared" si="27"/>
        <v>283985.93000000715</v>
      </c>
      <c r="AA43" s="686"/>
      <c r="AB43" s="686"/>
      <c r="AC43" s="63">
        <f t="shared" si="0"/>
        <v>0</v>
      </c>
      <c r="AD43" s="255">
        <f t="shared" si="4"/>
        <v>283985.93000000715</v>
      </c>
      <c r="AE43" s="688"/>
      <c r="AF43" s="255">
        <f t="shared" si="28"/>
        <v>283985.93000000715</v>
      </c>
      <c r="AG43" s="614">
        <f t="shared" si="29"/>
        <v>202716014.06999999</v>
      </c>
      <c r="AH43" s="256">
        <f t="shared" si="30"/>
        <v>0</v>
      </c>
      <c r="AI43" s="257"/>
      <c r="AJ43" s="258"/>
      <c r="AK43" s="259" t="e">
        <f>SUM(AD43-AE43-#REF!-#REF!)</f>
        <v>#REF!</v>
      </c>
      <c r="AL43" s="260">
        <f t="shared" si="31"/>
        <v>0.99860105453201964</v>
      </c>
      <c r="AM43" s="162"/>
      <c r="AN43" s="247"/>
      <c r="AO43" s="261"/>
      <c r="AP43" s="77"/>
      <c r="AQ43" s="164"/>
      <c r="AR43" s="112"/>
      <c r="AU43" s="113"/>
    </row>
    <row r="44" spans="1:47" s="28" customFormat="1" ht="36" x14ac:dyDescent="0.35">
      <c r="A44" s="27" t="s">
        <v>100</v>
      </c>
      <c r="B44" s="38">
        <v>2</v>
      </c>
      <c r="C44" s="38">
        <v>0</v>
      </c>
      <c r="D44" s="38">
        <v>4</v>
      </c>
      <c r="E44" s="38">
        <v>5</v>
      </c>
      <c r="F44" s="38">
        <v>12</v>
      </c>
      <c r="G44" s="38" t="s">
        <v>147</v>
      </c>
      <c r="H44" s="25">
        <v>10</v>
      </c>
      <c r="I44" s="25" t="s">
        <v>88</v>
      </c>
      <c r="J44" s="42" t="s">
        <v>118</v>
      </c>
      <c r="K44" s="650">
        <v>1449028</v>
      </c>
      <c r="L44" s="650">
        <v>54500</v>
      </c>
      <c r="M44" s="650">
        <v>3845289</v>
      </c>
      <c r="N44" s="45">
        <v>2000000</v>
      </c>
      <c r="O44" s="45"/>
      <c r="P44" s="45"/>
      <c r="Q44" s="45">
        <f t="shared" si="24"/>
        <v>2000000</v>
      </c>
      <c r="R44" s="253">
        <v>1500000</v>
      </c>
      <c r="S44" s="253">
        <v>500000</v>
      </c>
      <c r="T44" s="292">
        <v>82000</v>
      </c>
      <c r="U44" s="253">
        <f t="shared" si="25"/>
        <v>418000</v>
      </c>
      <c r="V44" s="63"/>
      <c r="W44" s="63"/>
      <c r="X44" s="243">
        <f t="shared" si="26"/>
        <v>418000</v>
      </c>
      <c r="Y44" s="255"/>
      <c r="Z44" s="63">
        <f t="shared" si="27"/>
        <v>0</v>
      </c>
      <c r="AA44" s="63"/>
      <c r="AB44" s="63"/>
      <c r="AC44" s="63">
        <f t="shared" si="0"/>
        <v>0</v>
      </c>
      <c r="AD44" s="255">
        <f t="shared" si="4"/>
        <v>0</v>
      </c>
      <c r="AE44" s="255"/>
      <c r="AF44" s="255">
        <f t="shared" si="28"/>
        <v>0</v>
      </c>
      <c r="AG44" s="614">
        <f t="shared" si="29"/>
        <v>1582000</v>
      </c>
      <c r="AH44" s="256"/>
      <c r="AI44" s="257"/>
      <c r="AJ44" s="258"/>
      <c r="AK44" s="259" t="e">
        <f>SUM(AD44-AE44-#REF!-#REF!)</f>
        <v>#REF!</v>
      </c>
      <c r="AL44" s="260">
        <f t="shared" si="31"/>
        <v>0.79100000000000004</v>
      </c>
      <c r="AM44" s="162"/>
      <c r="AN44" s="247"/>
      <c r="AO44" s="261"/>
      <c r="AP44" s="77"/>
      <c r="AQ44" s="164"/>
      <c r="AR44" s="112"/>
      <c r="AU44" s="113"/>
    </row>
    <row r="45" spans="1:47" s="34" customFormat="1" ht="48" customHeight="1" x14ac:dyDescent="0.35">
      <c r="A45" s="31"/>
      <c r="B45" s="32"/>
      <c r="C45" s="32"/>
      <c r="D45" s="32"/>
      <c r="E45" s="32"/>
      <c r="F45" s="32"/>
      <c r="G45" s="32"/>
      <c r="H45" s="33"/>
      <c r="I45" s="33"/>
      <c r="J45" s="35" t="s">
        <v>134</v>
      </c>
      <c r="K45" s="264">
        <f t="shared" ref="K45:W45" si="32">SUM(K38:K44)</f>
        <v>371899712.80000001</v>
      </c>
      <c r="L45" s="264">
        <f t="shared" si="32"/>
        <v>610640625.5</v>
      </c>
      <c r="M45" s="264">
        <f t="shared" si="32"/>
        <v>455267749</v>
      </c>
      <c r="N45" s="265">
        <f>SUM(N37:N44)</f>
        <v>694220000</v>
      </c>
      <c r="O45" s="265">
        <f>SUM(O37:O44)</f>
        <v>21100000</v>
      </c>
      <c r="P45" s="265">
        <f>SUM(P37:P44)</f>
        <v>125836506</v>
      </c>
      <c r="Q45" s="265">
        <f>SUM(Q37:Q44)</f>
        <v>589483494</v>
      </c>
      <c r="R45" s="49">
        <f>SUM(R38:R44)</f>
        <v>1500000</v>
      </c>
      <c r="S45" s="49">
        <f t="shared" si="32"/>
        <v>10200000</v>
      </c>
      <c r="T45" s="49">
        <f t="shared" si="32"/>
        <v>7264740</v>
      </c>
      <c r="U45" s="49">
        <f t="shared" si="32"/>
        <v>2935260</v>
      </c>
      <c r="V45" s="39">
        <f t="shared" si="32"/>
        <v>0</v>
      </c>
      <c r="W45" s="39">
        <f t="shared" si="32"/>
        <v>331643532.37</v>
      </c>
      <c r="X45" s="243">
        <f>SUM(X37:X44)</f>
        <v>2935260</v>
      </c>
      <c r="Y45" s="269">
        <f>SUM(Y37:Y44)</f>
        <v>89978884</v>
      </c>
      <c r="Z45" s="39">
        <f>SUM(Z38:Z44)</f>
        <v>156161077.63</v>
      </c>
      <c r="AA45" s="39">
        <f>SUM(AA38:AA44)</f>
        <v>172900000</v>
      </c>
      <c r="AB45" s="39">
        <f>SUM(AB38:AB44)</f>
        <v>106341827</v>
      </c>
      <c r="AC45" s="39">
        <f t="shared" si="0"/>
        <v>66558173</v>
      </c>
      <c r="AD45" s="269">
        <f>SUM(AD37:AD44)</f>
        <v>49819250.63000001</v>
      </c>
      <c r="AE45" s="269">
        <f>SUM(AE37:AE44)</f>
        <v>34800000</v>
      </c>
      <c r="AF45" s="269">
        <f>SUM(AF37:AF44)</f>
        <v>15019250.63000001</v>
      </c>
      <c r="AG45" s="267"/>
      <c r="AH45" s="279">
        <f>SUM(AB45/Z45)</f>
        <v>0.68097523796525561</v>
      </c>
      <c r="AI45" s="269"/>
      <c r="AJ45" s="309"/>
      <c r="AK45" s="270" t="e">
        <f>SUM(AD45-AE45-#REF!-#REF!)</f>
        <v>#REF!</v>
      </c>
      <c r="AL45" s="271">
        <f>SUM(Q45-(AD45+X45))/Q45</f>
        <v>0.91050723019905289</v>
      </c>
      <c r="AM45" s="193"/>
      <c r="AN45" s="272"/>
      <c r="AO45" s="273"/>
      <c r="AP45" s="274"/>
      <c r="AQ45" s="274"/>
      <c r="AR45" s="275"/>
      <c r="AU45" s="276"/>
    </row>
    <row r="46" spans="1:47" s="28" customFormat="1" ht="26.25" customHeight="1" x14ac:dyDescent="0.35">
      <c r="A46" s="27"/>
      <c r="B46" s="739" t="s">
        <v>124</v>
      </c>
      <c r="C46" s="739"/>
      <c r="D46" s="739"/>
      <c r="E46" s="739"/>
      <c r="F46" s="739"/>
      <c r="G46" s="739"/>
      <c r="H46" s="739"/>
      <c r="I46" s="739"/>
      <c r="J46" s="739"/>
      <c r="K46" s="25"/>
      <c r="L46" s="25"/>
      <c r="M46" s="25"/>
      <c r="N46" s="50"/>
      <c r="O46" s="50"/>
      <c r="P46" s="50"/>
      <c r="Q46" s="50"/>
      <c r="R46" s="50"/>
      <c r="S46" s="50"/>
      <c r="T46" s="50"/>
      <c r="U46" s="50"/>
      <c r="V46" s="64"/>
      <c r="W46" s="64"/>
      <c r="X46" s="281"/>
      <c r="Y46" s="64"/>
      <c r="Z46" s="64"/>
      <c r="AA46" s="64"/>
      <c r="AB46" s="64"/>
      <c r="AC46" s="64"/>
      <c r="AD46" s="64"/>
      <c r="AE46" s="64"/>
      <c r="AF46" s="64"/>
      <c r="AG46" s="615"/>
      <c r="AH46" s="256"/>
      <c r="AI46" s="299"/>
      <c r="AJ46" s="258"/>
      <c r="AK46" s="259" t="e">
        <f>SUM(AD46-AE46-#REF!-#REF!)</f>
        <v>#REF!</v>
      </c>
      <c r="AL46" s="300"/>
      <c r="AM46" s="215"/>
      <c r="AN46" s="247"/>
      <c r="AO46" s="248"/>
      <c r="AP46" s="77"/>
      <c r="AQ46" s="77"/>
      <c r="AR46" s="112"/>
      <c r="AU46" s="113"/>
    </row>
    <row r="47" spans="1:47" s="28" customFormat="1" ht="58.5" customHeight="1" x14ac:dyDescent="0.35">
      <c r="A47" s="27" t="s">
        <v>100</v>
      </c>
      <c r="B47" s="38">
        <v>2</v>
      </c>
      <c r="C47" s="38">
        <v>0</v>
      </c>
      <c r="D47" s="38">
        <v>4</v>
      </c>
      <c r="E47" s="38">
        <v>6</v>
      </c>
      <c r="F47" s="38">
        <v>2</v>
      </c>
      <c r="G47" s="38" t="s">
        <v>147</v>
      </c>
      <c r="H47" s="25">
        <v>10</v>
      </c>
      <c r="I47" s="25" t="s">
        <v>88</v>
      </c>
      <c r="J47" s="36" t="s">
        <v>119</v>
      </c>
      <c r="K47" s="671">
        <v>56623255</v>
      </c>
      <c r="L47" s="671">
        <v>80264238</v>
      </c>
      <c r="M47" s="671">
        <v>102393891</v>
      </c>
      <c r="N47" s="45">
        <v>113000000</v>
      </c>
      <c r="O47" s="45">
        <v>1800000</v>
      </c>
      <c r="P47" s="45"/>
      <c r="Q47" s="45">
        <f>SUM(N47+O47-P47)</f>
        <v>114800000</v>
      </c>
      <c r="R47" s="253"/>
      <c r="S47" s="253">
        <v>1000000</v>
      </c>
      <c r="T47" s="292">
        <f>62700+19000+46900+28500+28500+59500+66500+57000+19000+50250+50500</f>
        <v>488350</v>
      </c>
      <c r="U47" s="253">
        <f>SUM(S47-T47)</f>
        <v>511650</v>
      </c>
      <c r="V47" s="63"/>
      <c r="W47" s="63">
        <v>68877215</v>
      </c>
      <c r="X47" s="243">
        <f>SUM(U47)</f>
        <v>511650</v>
      </c>
      <c r="Y47" s="255">
        <v>32622785</v>
      </c>
      <c r="Z47" s="63">
        <f>SUM(Q47-R47-T47-V47-W47-X47-Y47)</f>
        <v>12300000</v>
      </c>
      <c r="AA47" s="686">
        <v>12300000</v>
      </c>
      <c r="AB47" s="686"/>
      <c r="AC47" s="63">
        <f t="shared" si="0"/>
        <v>12300000</v>
      </c>
      <c r="AD47" s="255">
        <f t="shared" si="4"/>
        <v>12300000</v>
      </c>
      <c r="AE47" s="688">
        <v>12300000</v>
      </c>
      <c r="AF47" s="255">
        <f>SUM(AD47-AE47)</f>
        <v>0</v>
      </c>
      <c r="AG47" s="614">
        <f>SUM(R47+T47+V47+Y47+W47+AB47)</f>
        <v>101988350</v>
      </c>
      <c r="AH47" s="256">
        <f>AB47/(AB47+AE47+AF47)</f>
        <v>0</v>
      </c>
      <c r="AI47" s="257"/>
      <c r="AJ47" s="258"/>
      <c r="AK47" s="259" t="e">
        <f>SUM(AD47-AE47-#REF!-#REF!)</f>
        <v>#REF!</v>
      </c>
      <c r="AL47" s="260">
        <f>SUM(Q47-(AD47+X47))/Q47</f>
        <v>0.88840026132404182</v>
      </c>
      <c r="AM47" s="162"/>
      <c r="AN47" s="247"/>
      <c r="AO47" s="674"/>
      <c r="AP47" s="77"/>
      <c r="AQ47" s="164"/>
      <c r="AR47" s="112"/>
      <c r="AU47" s="113"/>
    </row>
    <row r="48" spans="1:47" s="28" customFormat="1" ht="95.25" customHeight="1" x14ac:dyDescent="0.35">
      <c r="A48" s="27" t="s">
        <v>100</v>
      </c>
      <c r="B48" s="38">
        <v>2</v>
      </c>
      <c r="C48" s="38">
        <v>0</v>
      </c>
      <c r="D48" s="38">
        <v>4</v>
      </c>
      <c r="E48" s="38">
        <v>6</v>
      </c>
      <c r="F48" s="38">
        <v>5</v>
      </c>
      <c r="G48" s="38" t="s">
        <v>147</v>
      </c>
      <c r="H48" s="25">
        <v>10</v>
      </c>
      <c r="I48" s="25" t="s">
        <v>88</v>
      </c>
      <c r="J48" s="42" t="s">
        <v>120</v>
      </c>
      <c r="K48" s="671">
        <v>16573350</v>
      </c>
      <c r="L48" s="671">
        <v>133954639</v>
      </c>
      <c r="M48" s="671">
        <v>497266364</v>
      </c>
      <c r="N48" s="45">
        <v>980000000</v>
      </c>
      <c r="O48" s="45">
        <v>500000</v>
      </c>
      <c r="P48" s="45">
        <f>206694091+30900000+10000000</f>
        <v>247594091</v>
      </c>
      <c r="Q48" s="45">
        <f>SUM(N48+O48-P48)</f>
        <v>732905909</v>
      </c>
      <c r="R48" s="253"/>
      <c r="S48" s="253"/>
      <c r="T48" s="253"/>
      <c r="U48" s="253">
        <f>SUM(S48-T48)</f>
        <v>0</v>
      </c>
      <c r="V48" s="63"/>
      <c r="W48" s="63">
        <f>86009025.43+131297539.29+206748171</f>
        <v>424054735.72000003</v>
      </c>
      <c r="X48" s="243">
        <f>SUM(U48)</f>
        <v>0</v>
      </c>
      <c r="Y48" s="255">
        <f>211820+68836000.6+50935475</f>
        <v>119983295.59999999</v>
      </c>
      <c r="Z48" s="63">
        <f>SUM(Q48-R48-T48-V48-W48-X48-Y48)</f>
        <v>188867877.67999998</v>
      </c>
      <c r="AA48" s="686">
        <v>101956400</v>
      </c>
      <c r="AB48" s="686">
        <v>10694045</v>
      </c>
      <c r="AC48" s="63">
        <f t="shared" si="0"/>
        <v>91262355</v>
      </c>
      <c r="AD48" s="255">
        <f t="shared" si="4"/>
        <v>178173832.67999998</v>
      </c>
      <c r="AE48" s="688">
        <v>88056400</v>
      </c>
      <c r="AF48" s="255">
        <f>SUM(AD48-AE48)</f>
        <v>90117432.679999977</v>
      </c>
      <c r="AG48" s="614">
        <f>SUM(R48+T48+V48+Y48+W48+AB48)</f>
        <v>554732076.32000005</v>
      </c>
      <c r="AH48" s="256">
        <f>AB48/(AB48+AE48+AF48)</f>
        <v>5.6621830728245844E-2</v>
      </c>
      <c r="AI48" s="257"/>
      <c r="AJ48" s="258"/>
      <c r="AK48" s="259" t="e">
        <f>SUM(AD48-AE48-#REF!-#REF!)</f>
        <v>#REF!</v>
      </c>
      <c r="AL48" s="260">
        <f>SUM(Q48-(AD48+X48))/Q48</f>
        <v>0.75689398803851105</v>
      </c>
      <c r="AM48" s="310"/>
      <c r="AN48" s="247"/>
      <c r="AO48" s="261"/>
      <c r="AP48" s="77"/>
      <c r="AQ48" s="164">
        <v>90117432</v>
      </c>
      <c r="AR48" s="112"/>
      <c r="AU48" s="113"/>
    </row>
    <row r="49" spans="1:49" s="28" customFormat="1" ht="36" x14ac:dyDescent="0.35">
      <c r="A49" s="27" t="s">
        <v>100</v>
      </c>
      <c r="B49" s="38">
        <v>2</v>
      </c>
      <c r="C49" s="38">
        <v>0</v>
      </c>
      <c r="D49" s="38">
        <v>4</v>
      </c>
      <c r="E49" s="38">
        <v>6</v>
      </c>
      <c r="F49" s="38">
        <v>7</v>
      </c>
      <c r="G49" s="38" t="s">
        <v>147</v>
      </c>
      <c r="H49" s="25">
        <v>10</v>
      </c>
      <c r="I49" s="25" t="s">
        <v>88</v>
      </c>
      <c r="J49" s="42" t="s">
        <v>121</v>
      </c>
      <c r="K49" s="671">
        <v>2968650</v>
      </c>
      <c r="L49" s="671">
        <v>3042900</v>
      </c>
      <c r="M49" s="671">
        <v>0</v>
      </c>
      <c r="N49" s="45">
        <v>5100000</v>
      </c>
      <c r="O49" s="45">
        <v>2300000</v>
      </c>
      <c r="P49" s="45"/>
      <c r="Q49" s="45">
        <f>SUM(N49+O49-P49)</f>
        <v>7400000</v>
      </c>
      <c r="R49" s="253"/>
      <c r="S49" s="253">
        <v>5000000</v>
      </c>
      <c r="T49" s="292">
        <f>109000+303000+283500+172500+312500+167300+316000+312800+361450+452450+421250+416800</f>
        <v>3628550</v>
      </c>
      <c r="U49" s="253">
        <f>SUM(S49-T49)</f>
        <v>1371450</v>
      </c>
      <c r="V49" s="63"/>
      <c r="W49" s="63"/>
      <c r="X49" s="243">
        <f>SUM(U49)</f>
        <v>1371450</v>
      </c>
      <c r="Y49" s="255"/>
      <c r="Z49" s="63">
        <f>SUM(Q49-R49-T49-V49-W49-X49-Y49)</f>
        <v>2400000</v>
      </c>
      <c r="AA49" s="686">
        <v>2400000</v>
      </c>
      <c r="AB49" s="686">
        <v>0</v>
      </c>
      <c r="AC49" s="63">
        <f t="shared" si="0"/>
        <v>2400000</v>
      </c>
      <c r="AD49" s="255">
        <f t="shared" si="4"/>
        <v>2400000</v>
      </c>
      <c r="AE49" s="688">
        <v>2400000</v>
      </c>
      <c r="AF49" s="255">
        <f>SUM(AD49-AE49)</f>
        <v>0</v>
      </c>
      <c r="AG49" s="614">
        <f>SUM(R49+T49+V49+Y49+W49+AB49)</f>
        <v>3628550</v>
      </c>
      <c r="AH49" s="256">
        <f>AB49/(AB49+AE49+AF49)</f>
        <v>0</v>
      </c>
      <c r="AI49" s="257"/>
      <c r="AJ49" s="258"/>
      <c r="AK49" s="259" t="e">
        <f>SUM(AD49-AE49-#REF!-#REF!)</f>
        <v>#REF!</v>
      </c>
      <c r="AL49" s="260">
        <f>SUM(Q49-(AD49+X49))/Q49</f>
        <v>0.49034459459459462</v>
      </c>
      <c r="AM49" s="162"/>
      <c r="AN49" s="247"/>
      <c r="AO49" s="674"/>
      <c r="AP49" s="77"/>
      <c r="AQ49" s="164"/>
      <c r="AR49" s="112"/>
      <c r="AU49" s="113"/>
    </row>
    <row r="50" spans="1:49" s="28" customFormat="1" ht="100.5" customHeight="1" x14ac:dyDescent="0.35">
      <c r="A50" s="27" t="s">
        <v>100</v>
      </c>
      <c r="B50" s="38">
        <v>2</v>
      </c>
      <c r="C50" s="38">
        <v>0</v>
      </c>
      <c r="D50" s="38">
        <v>4</v>
      </c>
      <c r="E50" s="38">
        <v>6</v>
      </c>
      <c r="F50" s="38">
        <v>8</v>
      </c>
      <c r="G50" s="38" t="s">
        <v>147</v>
      </c>
      <c r="H50" s="25">
        <v>10</v>
      </c>
      <c r="I50" s="25" t="s">
        <v>88</v>
      </c>
      <c r="J50" s="42" t="s">
        <v>370</v>
      </c>
      <c r="K50" s="671">
        <v>3728944</v>
      </c>
      <c r="L50" s="671">
        <v>4108750</v>
      </c>
      <c r="M50" s="671">
        <f>3344323+1826294</f>
        <v>5170617</v>
      </c>
      <c r="N50" s="45">
        <v>5400000</v>
      </c>
      <c r="O50" s="45">
        <v>386000</v>
      </c>
      <c r="P50" s="45">
        <v>500000</v>
      </c>
      <c r="Q50" s="45">
        <f>SUM(N50+O50-P50)</f>
        <v>5286000</v>
      </c>
      <c r="R50" s="253">
        <v>1500000</v>
      </c>
      <c r="S50" s="253"/>
      <c r="T50" s="253"/>
      <c r="U50" s="253">
        <f>SUM(S50-T50)</f>
        <v>0</v>
      </c>
      <c r="V50" s="63"/>
      <c r="W50" s="70"/>
      <c r="X50" s="243">
        <f>SUM(U50)</f>
        <v>0</v>
      </c>
      <c r="Y50" s="255"/>
      <c r="Z50" s="63">
        <f>SUM(Q50-R50-T50-V50-W50-X50-Y50)</f>
        <v>3786000</v>
      </c>
      <c r="AA50" s="686">
        <v>4286000</v>
      </c>
      <c r="AB50" s="686">
        <v>2168614</v>
      </c>
      <c r="AC50" s="63">
        <f t="shared" si="0"/>
        <v>2117386</v>
      </c>
      <c r="AD50" s="255">
        <f t="shared" si="4"/>
        <v>1617386</v>
      </c>
      <c r="AE50" s="255"/>
      <c r="AF50" s="255">
        <f>SUM(AD50-AE50)</f>
        <v>1617386</v>
      </c>
      <c r="AG50" s="614">
        <f>SUM(R50+T50+V50+Y50+W50+AB50)</f>
        <v>3668614</v>
      </c>
      <c r="AH50" s="256">
        <f>AB50/(AB50+AE50+AF50)</f>
        <v>0.57279820390913894</v>
      </c>
      <c r="AI50" s="257"/>
      <c r="AJ50" s="258"/>
      <c r="AK50" s="259" t="e">
        <f>SUM(AD50-AE50-#REF!-#REF!)</f>
        <v>#REF!</v>
      </c>
      <c r="AL50" s="260">
        <f>SUM(Q50-(AD50+X50))/Q50</f>
        <v>0.69402459326522892</v>
      </c>
      <c r="AM50" s="162"/>
      <c r="AN50" s="247"/>
      <c r="AO50" s="674" t="s">
        <v>1734</v>
      </c>
      <c r="AP50" s="77"/>
      <c r="AQ50" s="164">
        <v>1617000</v>
      </c>
      <c r="AR50" s="112"/>
      <c r="AU50" s="113"/>
    </row>
    <row r="51" spans="1:49" s="34" customFormat="1" ht="49.5" customHeight="1" x14ac:dyDescent="0.35">
      <c r="A51" s="31"/>
      <c r="B51" s="32"/>
      <c r="C51" s="32"/>
      <c r="D51" s="32"/>
      <c r="E51" s="32"/>
      <c r="F51" s="32"/>
      <c r="G51" s="32"/>
      <c r="H51" s="33"/>
      <c r="I51" s="33"/>
      <c r="J51" s="35" t="s">
        <v>136</v>
      </c>
      <c r="K51" s="264">
        <f>SUM(K47:K50)</f>
        <v>79894199</v>
      </c>
      <c r="L51" s="264">
        <f>SUM(L47:L50)</f>
        <v>221370527</v>
      </c>
      <c r="M51" s="264">
        <f>SUM(M47:M50)</f>
        <v>604830872</v>
      </c>
      <c r="N51" s="265">
        <f>SUM(N46:N50)</f>
        <v>1103500000</v>
      </c>
      <c r="O51" s="265">
        <f>SUM(O46:O50)</f>
        <v>4986000</v>
      </c>
      <c r="P51" s="265">
        <f>SUM(P46:P50)</f>
        <v>248094091</v>
      </c>
      <c r="Q51" s="265">
        <f>SUM(Q46:Q50)</f>
        <v>860391909</v>
      </c>
      <c r="R51" s="49">
        <f>SUM(R47:R50)</f>
        <v>1500000</v>
      </c>
      <c r="S51" s="49">
        <f>SUM(S47:S50)</f>
        <v>6000000</v>
      </c>
      <c r="T51" s="49">
        <f t="shared" ref="T51:AA51" si="33">SUM(T47:T50)</f>
        <v>4116900</v>
      </c>
      <c r="U51" s="49">
        <f t="shared" si="33"/>
        <v>1883100</v>
      </c>
      <c r="V51" s="39">
        <f t="shared" si="33"/>
        <v>0</v>
      </c>
      <c r="W51" s="39">
        <f t="shared" si="33"/>
        <v>492931950.72000003</v>
      </c>
      <c r="X51" s="243">
        <f>SUM(X46:X50)</f>
        <v>1883100</v>
      </c>
      <c r="Y51" s="269">
        <f>SUM(Y46:Y50)</f>
        <v>152606080.59999999</v>
      </c>
      <c r="Z51" s="39">
        <f t="shared" si="33"/>
        <v>207353877.67999998</v>
      </c>
      <c r="AA51" s="39">
        <f t="shared" si="33"/>
        <v>120942400</v>
      </c>
      <c r="AB51" s="39">
        <f>SUM(AB47:AB50)</f>
        <v>12862659</v>
      </c>
      <c r="AC51" s="39">
        <f t="shared" si="0"/>
        <v>108079741</v>
      </c>
      <c r="AD51" s="269">
        <f>SUM(AD46:AD50)</f>
        <v>194491218.67999998</v>
      </c>
      <c r="AE51" s="269">
        <f>SUM(AE46:AE50)</f>
        <v>102756400</v>
      </c>
      <c r="AF51" s="269">
        <f>SUM(AF46:AF50)</f>
        <v>91734818.679999977</v>
      </c>
      <c r="AG51" s="267"/>
      <c r="AH51" s="279">
        <f>SUM(AB51/Z51)</f>
        <v>6.2032401534589915E-2</v>
      </c>
      <c r="AI51" s="269"/>
      <c r="AJ51" s="39"/>
      <c r="AK51" s="270" t="e">
        <f>SUM(AD51-AE51-#REF!-#REF!)</f>
        <v>#REF!</v>
      </c>
      <c r="AL51" s="271">
        <f>SUM(Q51-(AD51+X51))/Q51</f>
        <v>0.77176177899181064</v>
      </c>
      <c r="AM51" s="193"/>
      <c r="AN51" s="272"/>
      <c r="AO51" s="273"/>
      <c r="AP51" s="274"/>
      <c r="AQ51" s="274"/>
      <c r="AR51" s="275"/>
      <c r="AU51" s="276"/>
    </row>
    <row r="52" spans="1:49" s="28" customFormat="1" ht="33" customHeight="1" x14ac:dyDescent="0.35">
      <c r="A52" s="27"/>
      <c r="B52" s="739" t="s">
        <v>122</v>
      </c>
      <c r="C52" s="739"/>
      <c r="D52" s="739"/>
      <c r="E52" s="739"/>
      <c r="F52" s="739"/>
      <c r="G52" s="739"/>
      <c r="H52" s="739"/>
      <c r="I52" s="739"/>
      <c r="J52" s="739" t="s">
        <v>122</v>
      </c>
      <c r="K52" s="25"/>
      <c r="L52" s="25"/>
      <c r="M52" s="25"/>
      <c r="N52" s="50"/>
      <c r="O52" s="50"/>
      <c r="P52" s="50"/>
      <c r="Q52" s="50"/>
      <c r="R52" s="50"/>
      <c r="S52" s="50"/>
      <c r="T52" s="50"/>
      <c r="U52" s="50"/>
      <c r="V52" s="64"/>
      <c r="W52" s="64"/>
      <c r="X52" s="281"/>
      <c r="Y52" s="64"/>
      <c r="Z52" s="64"/>
      <c r="AA52" s="64"/>
      <c r="AB52" s="64"/>
      <c r="AC52" s="64"/>
      <c r="AD52" s="64"/>
      <c r="AE52" s="64"/>
      <c r="AF52" s="64"/>
      <c r="AG52" s="615"/>
      <c r="AH52" s="256"/>
      <c r="AI52" s="299"/>
      <c r="AJ52" s="258"/>
      <c r="AK52" s="259" t="e">
        <f>SUM(AD52-AE52-#REF!-#REF!)</f>
        <v>#REF!</v>
      </c>
      <c r="AL52" s="300"/>
      <c r="AM52" s="215"/>
      <c r="AN52" s="247"/>
      <c r="AO52" s="248"/>
      <c r="AP52" s="77"/>
      <c r="AQ52" s="77"/>
      <c r="AR52" s="112"/>
      <c r="AU52" s="113"/>
    </row>
    <row r="53" spans="1:49" s="28" customFormat="1" ht="36" x14ac:dyDescent="0.35">
      <c r="A53" s="27" t="s">
        <v>100</v>
      </c>
      <c r="B53" s="38">
        <v>2</v>
      </c>
      <c r="C53" s="38">
        <v>0</v>
      </c>
      <c r="D53" s="38">
        <v>4</v>
      </c>
      <c r="E53" s="38">
        <v>7</v>
      </c>
      <c r="F53" s="38">
        <v>1</v>
      </c>
      <c r="G53" s="38" t="s">
        <v>147</v>
      </c>
      <c r="H53" s="25">
        <v>9</v>
      </c>
      <c r="I53" s="25" t="s">
        <v>88</v>
      </c>
      <c r="J53" s="36" t="s">
        <v>150</v>
      </c>
      <c r="K53" s="671">
        <v>746200</v>
      </c>
      <c r="L53" s="671">
        <v>85400</v>
      </c>
      <c r="M53" s="671"/>
      <c r="N53" s="45"/>
      <c r="O53" s="45"/>
      <c r="P53" s="45"/>
      <c r="Q53" s="45">
        <f>SUM(N53+O53-P53)</f>
        <v>0</v>
      </c>
      <c r="R53" s="253"/>
      <c r="S53" s="253">
        <v>0</v>
      </c>
      <c r="T53" s="253">
        <v>0</v>
      </c>
      <c r="U53" s="253">
        <f>SUM(S53-T53)</f>
        <v>0</v>
      </c>
      <c r="V53" s="63"/>
      <c r="W53" s="63"/>
      <c r="X53" s="243">
        <f>SUM(U53)</f>
        <v>0</v>
      </c>
      <c r="Y53" s="255"/>
      <c r="Z53" s="63">
        <f>SUM(Q53-R53-T53-V53-W53-X53-Y53)</f>
        <v>0</v>
      </c>
      <c r="AA53" s="63"/>
      <c r="AB53" s="63"/>
      <c r="AC53" s="63">
        <f t="shared" si="0"/>
        <v>0</v>
      </c>
      <c r="AD53" s="255">
        <f t="shared" si="4"/>
        <v>0</v>
      </c>
      <c r="AE53" s="255"/>
      <c r="AF53" s="255">
        <f>SUM(AD53-AE53)</f>
        <v>0</v>
      </c>
      <c r="AG53" s="614">
        <f>SUM(R53+T53+V53+Y53+W53+AB53)</f>
        <v>0</v>
      </c>
      <c r="AH53" s="256"/>
      <c r="AI53" s="257"/>
      <c r="AJ53" s="258"/>
      <c r="AK53" s="259" t="e">
        <f>SUM(AD53-AE53-#REF!-#REF!)</f>
        <v>#REF!</v>
      </c>
      <c r="AL53" s="260" t="e">
        <f>SUM(Q53-(AD53+X53))/Q53</f>
        <v>#DIV/0!</v>
      </c>
      <c r="AM53" s="162"/>
      <c r="AN53" s="247"/>
      <c r="AO53" s="261"/>
      <c r="AP53" s="77"/>
      <c r="AQ53" s="77"/>
      <c r="AR53" s="112"/>
      <c r="AU53" s="113"/>
    </row>
    <row r="54" spans="1:49" s="28" customFormat="1" ht="65.25" customHeight="1" x14ac:dyDescent="0.35">
      <c r="A54" s="27" t="s">
        <v>100</v>
      </c>
      <c r="B54" s="38">
        <v>2</v>
      </c>
      <c r="C54" s="38">
        <v>0</v>
      </c>
      <c r="D54" s="38">
        <v>4</v>
      </c>
      <c r="E54" s="38">
        <v>7</v>
      </c>
      <c r="F54" s="38">
        <v>3</v>
      </c>
      <c r="G54" s="38" t="s">
        <v>90</v>
      </c>
      <c r="H54" s="25">
        <v>10</v>
      </c>
      <c r="I54" s="25" t="s">
        <v>88</v>
      </c>
      <c r="J54" s="36" t="s">
        <v>149</v>
      </c>
      <c r="K54" s="671">
        <v>111300</v>
      </c>
      <c r="L54" s="671">
        <v>120960</v>
      </c>
      <c r="M54" s="671"/>
      <c r="N54" s="45"/>
      <c r="O54" s="45"/>
      <c r="P54" s="45"/>
      <c r="Q54" s="45">
        <f>SUM(N54+O54-P54)</f>
        <v>0</v>
      </c>
      <c r="R54" s="253"/>
      <c r="S54" s="253"/>
      <c r="T54" s="253">
        <v>0</v>
      </c>
      <c r="U54" s="253">
        <f>SUM(S54-T54)</f>
        <v>0</v>
      </c>
      <c r="V54" s="63"/>
      <c r="W54" s="63"/>
      <c r="X54" s="243">
        <f>SUM(U54)</f>
        <v>0</v>
      </c>
      <c r="Y54" s="255"/>
      <c r="Z54" s="63">
        <f>SUM(Q54-R54-T54-V54-W54-X54-Y54)</f>
        <v>0</v>
      </c>
      <c r="AA54" s="311"/>
      <c r="AB54" s="311"/>
      <c r="AC54" s="311">
        <f t="shared" si="0"/>
        <v>0</v>
      </c>
      <c r="AD54" s="255">
        <f t="shared" si="4"/>
        <v>0</v>
      </c>
      <c r="AE54" s="255"/>
      <c r="AF54" s="255">
        <f>SUM(AD54-AE54)</f>
        <v>0</v>
      </c>
      <c r="AG54" s="614">
        <f>SUM(R54+T54+V54+Y54+W54+AB54)</f>
        <v>0</v>
      </c>
      <c r="AH54" s="256"/>
      <c r="AI54" s="257"/>
      <c r="AJ54" s="258"/>
      <c r="AK54" s="259" t="e">
        <f>SUM(AD54-AE54-#REF!-#REF!)</f>
        <v>#REF!</v>
      </c>
      <c r="AL54" s="260" t="e">
        <f>SUM(Q54-(AD54+X54))/Q54</f>
        <v>#DIV/0!</v>
      </c>
      <c r="AM54" s="162"/>
      <c r="AN54" s="247"/>
      <c r="AO54" s="261"/>
      <c r="AP54" s="77"/>
      <c r="AQ54" s="77"/>
      <c r="AR54" s="112"/>
      <c r="AU54" s="113"/>
    </row>
    <row r="55" spans="1:49" s="28" customFormat="1" ht="52.5" customHeight="1" x14ac:dyDescent="0.35">
      <c r="A55" s="27" t="s">
        <v>100</v>
      </c>
      <c r="B55" s="38">
        <v>2</v>
      </c>
      <c r="C55" s="38">
        <v>0</v>
      </c>
      <c r="D55" s="38">
        <v>4</v>
      </c>
      <c r="E55" s="38">
        <v>7</v>
      </c>
      <c r="F55" s="38">
        <v>5</v>
      </c>
      <c r="G55" s="38" t="s">
        <v>147</v>
      </c>
      <c r="H55" s="25">
        <v>10</v>
      </c>
      <c r="I55" s="25" t="s">
        <v>88</v>
      </c>
      <c r="J55" s="42" t="s">
        <v>123</v>
      </c>
      <c r="K55" s="671">
        <v>2293000</v>
      </c>
      <c r="L55" s="671">
        <v>1674000</v>
      </c>
      <c r="M55" s="671">
        <v>683998</v>
      </c>
      <c r="N55" s="45">
        <v>6000000</v>
      </c>
      <c r="O55" s="45"/>
      <c r="P55" s="45">
        <v>500000</v>
      </c>
      <c r="Q55" s="45">
        <f>SUM(N55+O55-P55)</f>
        <v>5500000</v>
      </c>
      <c r="R55" s="253"/>
      <c r="S55" s="253"/>
      <c r="T55" s="253"/>
      <c r="U55" s="253">
        <f>SUM(S55-T55)</f>
        <v>0</v>
      </c>
      <c r="V55" s="63"/>
      <c r="W55" s="63"/>
      <c r="X55" s="243">
        <f>SUM(U55)</f>
        <v>0</v>
      </c>
      <c r="Y55" s="255"/>
      <c r="Z55" s="63">
        <f>SUM(Q55-R55-T55-V55-W55-X55-Y55)</f>
        <v>5500000</v>
      </c>
      <c r="AA55" s="686">
        <v>5500000</v>
      </c>
      <c r="AB55" s="686"/>
      <c r="AC55" s="63">
        <f t="shared" si="0"/>
        <v>5500000</v>
      </c>
      <c r="AD55" s="255">
        <f t="shared" si="4"/>
        <v>5500000</v>
      </c>
      <c r="AE55" s="688">
        <v>5500000</v>
      </c>
      <c r="AF55" s="255">
        <f>SUM(AD55-AE55)</f>
        <v>0</v>
      </c>
      <c r="AG55" s="614">
        <f>SUM(R55+T55+V55+Y55+W55+AB55)</f>
        <v>0</v>
      </c>
      <c r="AH55" s="256">
        <f>AB55/(AB55+AE55+AF55)</f>
        <v>0</v>
      </c>
      <c r="AI55" s="257"/>
      <c r="AJ55" s="258"/>
      <c r="AK55" s="259" t="e">
        <f>SUM(AD55-AE55-#REF!-#REF!)</f>
        <v>#REF!</v>
      </c>
      <c r="AL55" s="260">
        <f>SUM(Q55-(AD55+X55))/Q55</f>
        <v>0</v>
      </c>
      <c r="AM55" s="162"/>
      <c r="AN55" s="247"/>
      <c r="AO55" s="261"/>
      <c r="AP55" s="77"/>
      <c r="AQ55" s="77"/>
      <c r="AR55" s="112"/>
      <c r="AU55" s="113"/>
    </row>
    <row r="56" spans="1:49" s="28" customFormat="1" ht="73.5" customHeight="1" x14ac:dyDescent="0.35">
      <c r="A56" s="27" t="s">
        <v>100</v>
      </c>
      <c r="B56" s="38">
        <v>2</v>
      </c>
      <c r="C56" s="38">
        <v>0</v>
      </c>
      <c r="D56" s="38">
        <v>4</v>
      </c>
      <c r="E56" s="38">
        <v>7</v>
      </c>
      <c r="F56" s="38">
        <v>6</v>
      </c>
      <c r="G56" s="38" t="s">
        <v>147</v>
      </c>
      <c r="H56" s="25">
        <v>10</v>
      </c>
      <c r="I56" s="25" t="s">
        <v>88</v>
      </c>
      <c r="J56" s="42" t="s">
        <v>212</v>
      </c>
      <c r="K56" s="671">
        <v>5955458</v>
      </c>
      <c r="L56" s="671">
        <v>4360858</v>
      </c>
      <c r="M56" s="671">
        <f>1454877</f>
        <v>1454877</v>
      </c>
      <c r="N56" s="45">
        <v>5500000</v>
      </c>
      <c r="O56" s="45">
        <v>500000</v>
      </c>
      <c r="P56" s="45"/>
      <c r="Q56" s="45">
        <f>SUM(N56+O56-P56)</f>
        <v>6000000</v>
      </c>
      <c r="R56" s="49">
        <v>500000</v>
      </c>
      <c r="S56" s="49">
        <v>2500000</v>
      </c>
      <c r="T56" s="292">
        <f>28000+256084+250100+122840+206946+77112+128628+111360+325928+129592+229602+47388</f>
        <v>1913580</v>
      </c>
      <c r="U56" s="253">
        <f>SUM(S56-T56)</f>
        <v>586420</v>
      </c>
      <c r="V56" s="63"/>
      <c r="W56" s="63"/>
      <c r="X56" s="243">
        <f>SUM(U56)</f>
        <v>586420</v>
      </c>
      <c r="Y56" s="255"/>
      <c r="Z56" s="63">
        <f>SUM(Q56-R56-T56-V56-W56-X56-Y56)</f>
        <v>3000000</v>
      </c>
      <c r="AA56" s="686">
        <v>5500000</v>
      </c>
      <c r="AB56" s="686">
        <v>1250000</v>
      </c>
      <c r="AC56" s="63">
        <f t="shared" si="0"/>
        <v>4250000</v>
      </c>
      <c r="AD56" s="255">
        <f t="shared" si="4"/>
        <v>1750000</v>
      </c>
      <c r="AE56" s="688">
        <v>2500000</v>
      </c>
      <c r="AF56" s="663">
        <f>SUM(AD56-AE56)</f>
        <v>-750000</v>
      </c>
      <c r="AG56" s="614">
        <f>SUM(R56+T56+V56+Y56+W56+AB56)</f>
        <v>3663580</v>
      </c>
      <c r="AH56" s="256">
        <f>AB56/(AB56+AE56+AF56)</f>
        <v>0.41666666666666669</v>
      </c>
      <c r="AI56" s="257"/>
      <c r="AJ56" s="258"/>
      <c r="AK56" s="259" t="e">
        <f>SUM(AD56-AE56-#REF!-#REF!)</f>
        <v>#REF!</v>
      </c>
      <c r="AL56" s="260">
        <f>SUM(Q56-(AD56+X56))/Q56</f>
        <v>0.61059666666666668</v>
      </c>
      <c r="AM56" s="162"/>
      <c r="AN56" s="247"/>
      <c r="AO56" s="674" t="s">
        <v>1728</v>
      </c>
      <c r="AP56" s="77">
        <v>750000</v>
      </c>
      <c r="AQ56" s="77"/>
      <c r="AR56" s="112"/>
      <c r="AU56" s="113"/>
    </row>
    <row r="57" spans="1:49" s="34" customFormat="1" ht="36" x14ac:dyDescent="0.35">
      <c r="A57" s="31"/>
      <c r="B57" s="32"/>
      <c r="C57" s="32"/>
      <c r="D57" s="32"/>
      <c r="E57" s="32"/>
      <c r="F57" s="32"/>
      <c r="G57" s="32" t="s">
        <v>147</v>
      </c>
      <c r="H57" s="33"/>
      <c r="I57" s="33"/>
      <c r="J57" s="35" t="s">
        <v>152</v>
      </c>
      <c r="K57" s="264">
        <f>SUM(K53:K56)</f>
        <v>9105958</v>
      </c>
      <c r="L57" s="264">
        <f>SUM(L53:L56)</f>
        <v>6241218</v>
      </c>
      <c r="M57" s="264">
        <f>SUM(M53:M56)</f>
        <v>2138875</v>
      </c>
      <c r="N57" s="265">
        <f>SUM(N53:N56)</f>
        <v>11500000</v>
      </c>
      <c r="O57" s="265">
        <f t="shared" ref="O57:V57" si="34">SUM(O53:O56)</f>
        <v>500000</v>
      </c>
      <c r="P57" s="265">
        <f t="shared" si="34"/>
        <v>500000</v>
      </c>
      <c r="Q57" s="265">
        <f t="shared" si="34"/>
        <v>11500000</v>
      </c>
      <c r="R57" s="49">
        <f t="shared" si="34"/>
        <v>500000</v>
      </c>
      <c r="S57" s="49">
        <f t="shared" si="34"/>
        <v>2500000</v>
      </c>
      <c r="T57" s="49">
        <f t="shared" si="34"/>
        <v>1913580</v>
      </c>
      <c r="U57" s="49">
        <f t="shared" si="34"/>
        <v>586420</v>
      </c>
      <c r="V57" s="39">
        <f t="shared" si="34"/>
        <v>0</v>
      </c>
      <c r="W57" s="39">
        <f>SUM(W55:W56)</f>
        <v>0</v>
      </c>
      <c r="X57" s="243">
        <f>SUM(X52:X56)</f>
        <v>586420</v>
      </c>
      <c r="Y57" s="269">
        <f>SUM(Y52:Y56)</f>
        <v>0</v>
      </c>
      <c r="Z57" s="39">
        <f>SUM(Z53:Z56)</f>
        <v>8500000</v>
      </c>
      <c r="AA57" s="39">
        <f>SUM(AA55:AA56)</f>
        <v>11000000</v>
      </c>
      <c r="AB57" s="39">
        <f>SUM(AB52:AB56)</f>
        <v>1250000</v>
      </c>
      <c r="AC57" s="39">
        <f t="shared" si="0"/>
        <v>9750000</v>
      </c>
      <c r="AD57" s="269">
        <f>SUM(AD52:AD56)</f>
        <v>7250000</v>
      </c>
      <c r="AE57" s="269">
        <f>SUM(AE52:AE56)</f>
        <v>8000000</v>
      </c>
      <c r="AF57" s="269">
        <f>SUM(AF52:AF56)</f>
        <v>-750000</v>
      </c>
      <c r="AG57" s="267"/>
      <c r="AH57" s="279">
        <f>SUM(AB57/Z57)</f>
        <v>0.14705882352941177</v>
      </c>
      <c r="AI57" s="269"/>
      <c r="AJ57" s="39"/>
      <c r="AK57" s="270" t="e">
        <f>SUM(AD57-AE57-#REF!-#REF!)</f>
        <v>#REF!</v>
      </c>
      <c r="AL57" s="271">
        <f>SUM(Q57-(AD57+X57))/Q57</f>
        <v>0.31857217391304349</v>
      </c>
      <c r="AM57" s="193"/>
      <c r="AN57" s="272"/>
      <c r="AO57" s="273"/>
      <c r="AP57" s="274"/>
      <c r="AQ57" s="274"/>
      <c r="AR57" s="275"/>
      <c r="AU57" s="276"/>
    </row>
    <row r="58" spans="1:49" s="28" customFormat="1" ht="40.5" customHeight="1" x14ac:dyDescent="0.4">
      <c r="A58" s="27"/>
      <c r="B58" s="739" t="s">
        <v>371</v>
      </c>
      <c r="C58" s="739"/>
      <c r="D58" s="739"/>
      <c r="E58" s="739"/>
      <c r="F58" s="739"/>
      <c r="G58" s="739"/>
      <c r="H58" s="739"/>
      <c r="I58" s="739"/>
      <c r="J58" s="739"/>
      <c r="K58" s="650"/>
      <c r="L58" s="650"/>
      <c r="M58" s="650"/>
      <c r="N58" s="45"/>
      <c r="O58" s="45"/>
      <c r="P58" s="45"/>
      <c r="Q58" s="45"/>
      <c r="R58" s="253"/>
      <c r="S58" s="253"/>
      <c r="T58" s="253"/>
      <c r="U58" s="253"/>
      <c r="V58" s="63"/>
      <c r="W58" s="63"/>
      <c r="X58" s="243">
        <f>SUM(M58)</f>
        <v>0</v>
      </c>
      <c r="Y58" s="255"/>
      <c r="Z58" s="63"/>
      <c r="AA58" s="63"/>
      <c r="AB58" s="63"/>
      <c r="AC58" s="63">
        <f t="shared" ref="AC58:AC84" si="35">SUM(AA58-AB58)</f>
        <v>0</v>
      </c>
      <c r="AD58" s="255"/>
      <c r="AE58" s="255"/>
      <c r="AF58" s="255"/>
      <c r="AG58" s="614"/>
      <c r="AH58" s="256"/>
      <c r="AI58" s="312"/>
      <c r="AJ58" s="258"/>
      <c r="AK58" s="259"/>
      <c r="AL58" s="300"/>
      <c r="AM58" s="215"/>
      <c r="AN58" s="247"/>
      <c r="AO58" s="248"/>
      <c r="AP58" s="77"/>
      <c r="AQ58" s="77"/>
      <c r="AR58" s="112" t="s">
        <v>372</v>
      </c>
      <c r="AT58" s="313" t="s">
        <v>373</v>
      </c>
      <c r="AU58" s="113" t="s">
        <v>374</v>
      </c>
      <c r="AV58" s="314" t="s">
        <v>375</v>
      </c>
    </row>
    <row r="59" spans="1:49" s="28" customFormat="1" ht="36" x14ac:dyDescent="0.35">
      <c r="A59" s="27" t="s">
        <v>100</v>
      </c>
      <c r="B59" s="38">
        <v>2</v>
      </c>
      <c r="C59" s="38">
        <v>0</v>
      </c>
      <c r="D59" s="38">
        <v>4</v>
      </c>
      <c r="E59" s="38">
        <v>8</v>
      </c>
      <c r="F59" s="38">
        <v>1</v>
      </c>
      <c r="G59" s="38" t="s">
        <v>147</v>
      </c>
      <c r="H59" s="25">
        <v>10</v>
      </c>
      <c r="I59" s="25" t="s">
        <v>88</v>
      </c>
      <c r="J59" s="36" t="s">
        <v>376</v>
      </c>
      <c r="K59" s="671">
        <v>6186430</v>
      </c>
      <c r="L59" s="671">
        <v>6607190</v>
      </c>
      <c r="M59" s="671">
        <v>9941102</v>
      </c>
      <c r="N59" s="45">
        <v>10000000</v>
      </c>
      <c r="O59" s="45">
        <v>2500000</v>
      </c>
      <c r="P59" s="45"/>
      <c r="Q59" s="45">
        <f>SUM(N59+O59-P59)</f>
        <v>12500000</v>
      </c>
      <c r="R59" s="253"/>
      <c r="S59" s="253"/>
      <c r="T59" s="253"/>
      <c r="U59" s="253"/>
      <c r="V59" s="63">
        <f>SUM(Q59)</f>
        <v>12500000</v>
      </c>
      <c r="W59" s="63"/>
      <c r="X59" s="243">
        <f>SUM(U59)</f>
        <v>0</v>
      </c>
      <c r="Y59" s="255"/>
      <c r="Z59" s="63">
        <f>SUM(Q59-R59-T59-V59-W59-X59-Y59)</f>
        <v>0</v>
      </c>
      <c r="AA59" s="63"/>
      <c r="AB59" s="63"/>
      <c r="AC59" s="63">
        <f t="shared" si="35"/>
        <v>0</v>
      </c>
      <c r="AD59" s="255"/>
      <c r="AE59" s="255"/>
      <c r="AF59" s="255" t="s">
        <v>36</v>
      </c>
      <c r="AG59" s="614">
        <v>10126664</v>
      </c>
      <c r="AH59" s="256" t="e">
        <f>AB59/(AB59+AE59+AF59)</f>
        <v>#VALUE!</v>
      </c>
      <c r="AI59" s="257"/>
      <c r="AJ59" s="258"/>
      <c r="AK59" s="259" t="e">
        <f>SUM(AD59-AE59-#REF!-#REF!)</f>
        <v>#REF!</v>
      </c>
      <c r="AL59" s="260">
        <f>SUM(Q59-(AD59+X59))/Q59</f>
        <v>1</v>
      </c>
      <c r="AM59" s="167"/>
      <c r="AN59" s="316"/>
      <c r="AO59" s="317"/>
      <c r="AP59" s="77"/>
      <c r="AQ59" s="77"/>
      <c r="AR59" s="318">
        <f>SUM(Q59-AG59)</f>
        <v>2373336</v>
      </c>
      <c r="AS59" s="319"/>
      <c r="AT59" s="621">
        <v>2100000</v>
      </c>
      <c r="AU59" s="621">
        <v>2100000</v>
      </c>
      <c r="AV59" s="320">
        <f>SUM(AR59-AU59)</f>
        <v>273336</v>
      </c>
      <c r="AW59" s="562">
        <f>SUM(AU59--AV59)</f>
        <v>2373336</v>
      </c>
    </row>
    <row r="60" spans="1:49" s="28" customFormat="1" ht="53.25" customHeight="1" x14ac:dyDescent="0.35">
      <c r="A60" s="27" t="s">
        <v>100</v>
      </c>
      <c r="B60" s="38">
        <v>2</v>
      </c>
      <c r="C60" s="38">
        <v>0</v>
      </c>
      <c r="D60" s="38">
        <v>4</v>
      </c>
      <c r="E60" s="38">
        <v>8</v>
      </c>
      <c r="F60" s="38">
        <v>2</v>
      </c>
      <c r="G60" s="38" t="s">
        <v>147</v>
      </c>
      <c r="H60" s="25">
        <v>10</v>
      </c>
      <c r="I60" s="25" t="s">
        <v>88</v>
      </c>
      <c r="J60" s="36" t="s">
        <v>377</v>
      </c>
      <c r="K60" s="671">
        <v>93438200</v>
      </c>
      <c r="L60" s="671">
        <v>94312740</v>
      </c>
      <c r="M60" s="671">
        <v>103921690</v>
      </c>
      <c r="N60" s="45">
        <v>127000000</v>
      </c>
      <c r="O60" s="45"/>
      <c r="P60" s="45"/>
      <c r="Q60" s="45">
        <f>SUM(N60+O60-P60)</f>
        <v>127000000</v>
      </c>
      <c r="R60" s="253"/>
      <c r="S60" s="253"/>
      <c r="T60" s="253"/>
      <c r="U60" s="253"/>
      <c r="V60" s="63">
        <f>SUM(Q60)</f>
        <v>127000000</v>
      </c>
      <c r="W60" s="63"/>
      <c r="X60" s="243">
        <f>SUM(U60)</f>
        <v>0</v>
      </c>
      <c r="Y60" s="255"/>
      <c r="Z60" s="63">
        <f>SUM(Q60-R60-T60-V60-W60-X60-Y60)</f>
        <v>0</v>
      </c>
      <c r="AA60" s="63"/>
      <c r="AB60" s="63"/>
      <c r="AC60" s="63">
        <f t="shared" si="35"/>
        <v>0</v>
      </c>
      <c r="AD60" s="255"/>
      <c r="AE60" s="255"/>
      <c r="AF60" s="255" t="s">
        <v>36</v>
      </c>
      <c r="AG60" s="614">
        <v>97718252</v>
      </c>
      <c r="AH60" s="256" t="e">
        <f>AB60/(AB60+AE60+AF60)</f>
        <v>#VALUE!</v>
      </c>
      <c r="AI60" s="257"/>
      <c r="AJ60" s="258"/>
      <c r="AK60" s="259" t="e">
        <f>SUM(AD60-AE60-#REF!-#REF!)</f>
        <v>#REF!</v>
      </c>
      <c r="AL60" s="260">
        <f>SUM(Q60-(AD60+X60))/Q60</f>
        <v>1</v>
      </c>
      <c r="AM60" s="167"/>
      <c r="AN60" s="316"/>
      <c r="AO60" s="317"/>
      <c r="AP60" s="321"/>
      <c r="AQ60" s="77"/>
      <c r="AR60" s="318">
        <f>SUM(Q60-AG60)</f>
        <v>29281748</v>
      </c>
      <c r="AS60" s="319"/>
      <c r="AT60" s="621">
        <v>11000000</v>
      </c>
      <c r="AU60" s="621">
        <v>22000000</v>
      </c>
      <c r="AV60" s="320">
        <f>SUM(AR60-AU60)</f>
        <v>7281748</v>
      </c>
    </row>
    <row r="61" spans="1:49" s="28" customFormat="1" ht="36" x14ac:dyDescent="0.35">
      <c r="A61" s="27" t="s">
        <v>100</v>
      </c>
      <c r="B61" s="38">
        <v>2</v>
      </c>
      <c r="C61" s="38">
        <v>0</v>
      </c>
      <c r="D61" s="38">
        <v>4</v>
      </c>
      <c r="E61" s="38">
        <v>8</v>
      </c>
      <c r="F61" s="38">
        <v>5</v>
      </c>
      <c r="G61" s="38" t="s">
        <v>147</v>
      </c>
      <c r="H61" s="25">
        <v>10</v>
      </c>
      <c r="I61" s="25" t="s">
        <v>88</v>
      </c>
      <c r="J61" s="36" t="s">
        <v>378</v>
      </c>
      <c r="K61" s="671">
        <v>38584988</v>
      </c>
      <c r="L61" s="671">
        <v>37647973</v>
      </c>
      <c r="M61" s="671">
        <v>29818737</v>
      </c>
      <c r="N61" s="45">
        <v>19000000</v>
      </c>
      <c r="O61" s="45"/>
      <c r="P61" s="45"/>
      <c r="Q61" s="45">
        <f>SUM(N61+O61-P61)</f>
        <v>19000000</v>
      </c>
      <c r="R61" s="253"/>
      <c r="S61" s="253"/>
      <c r="T61" s="253"/>
      <c r="U61" s="253"/>
      <c r="V61" s="63">
        <f>SUM(Q61)</f>
        <v>19000000</v>
      </c>
      <c r="W61" s="63"/>
      <c r="X61" s="243">
        <f>SUM(U61)</f>
        <v>0</v>
      </c>
      <c r="Y61" s="255"/>
      <c r="Z61" s="63">
        <f>SUM(Q61-R61-T61-V61-W61-X61-Y61)</f>
        <v>0</v>
      </c>
      <c r="AA61" s="63"/>
      <c r="AB61" s="63"/>
      <c r="AC61" s="63">
        <f t="shared" si="35"/>
        <v>0</v>
      </c>
      <c r="AD61" s="255"/>
      <c r="AE61" s="255"/>
      <c r="AF61" s="255" t="s">
        <v>36</v>
      </c>
      <c r="AG61" s="614">
        <v>13078499</v>
      </c>
      <c r="AH61" s="256" t="e">
        <f>AB61/(AB61+AE61+AF61)</f>
        <v>#VALUE!</v>
      </c>
      <c r="AI61" s="257"/>
      <c r="AJ61" s="258"/>
      <c r="AK61" s="259" t="e">
        <f>SUM(AD61-AE61-#REF!-#REF!)</f>
        <v>#REF!</v>
      </c>
      <c r="AL61" s="260">
        <f>SUM(Q61-(AD61+X61))/Q61</f>
        <v>1</v>
      </c>
      <c r="AM61" s="167"/>
      <c r="AN61" s="316"/>
      <c r="AO61" s="317"/>
      <c r="AP61" s="321"/>
      <c r="AQ61" s="77"/>
      <c r="AR61" s="318">
        <f>SUM(Q61-AG61)</f>
        <v>5921501</v>
      </c>
      <c r="AS61" s="319"/>
      <c r="AT61" s="621">
        <v>1500000</v>
      </c>
      <c r="AU61" s="621">
        <v>3000000</v>
      </c>
      <c r="AV61" s="320">
        <f>SUM(AR61-AU61)</f>
        <v>2921501</v>
      </c>
    </row>
    <row r="62" spans="1:49" s="28" customFormat="1" ht="58.5" customHeight="1" x14ac:dyDescent="0.35">
      <c r="A62" s="27" t="s">
        <v>100</v>
      </c>
      <c r="B62" s="38">
        <v>2</v>
      </c>
      <c r="C62" s="38">
        <v>0</v>
      </c>
      <c r="D62" s="38">
        <v>4</v>
      </c>
      <c r="E62" s="38">
        <v>8</v>
      </c>
      <c r="F62" s="38">
        <v>6</v>
      </c>
      <c r="G62" s="38"/>
      <c r="H62" s="25">
        <v>10</v>
      </c>
      <c r="I62" s="25" t="s">
        <v>88</v>
      </c>
      <c r="J62" s="36" t="s">
        <v>379</v>
      </c>
      <c r="K62" s="671">
        <v>122363650</v>
      </c>
      <c r="L62" s="671">
        <v>119445871</v>
      </c>
      <c r="M62" s="671">
        <v>113763193</v>
      </c>
      <c r="N62" s="45">
        <v>115000000</v>
      </c>
      <c r="O62" s="45">
        <v>14650000</v>
      </c>
      <c r="P62" s="45">
        <v>2500000</v>
      </c>
      <c r="Q62" s="45">
        <f>SUM(N62+O62-P62)</f>
        <v>127150000</v>
      </c>
      <c r="R62" s="253"/>
      <c r="S62" s="253"/>
      <c r="T62" s="253"/>
      <c r="U62" s="253"/>
      <c r="V62" s="63">
        <f>SUM(Q62)</f>
        <v>127150000</v>
      </c>
      <c r="W62" s="63"/>
      <c r="X62" s="243">
        <f>SUM(U62)</f>
        <v>0</v>
      </c>
      <c r="Y62" s="255"/>
      <c r="Z62" s="63">
        <f>SUM(Q62-R62-T62-V62-W62-X62-Y62)</f>
        <v>0</v>
      </c>
      <c r="AA62" s="63"/>
      <c r="AB62" s="63"/>
      <c r="AC62" s="63">
        <f t="shared" si="35"/>
        <v>0</v>
      </c>
      <c r="AD62" s="255"/>
      <c r="AE62" s="255"/>
      <c r="AF62" s="255" t="s">
        <v>36</v>
      </c>
      <c r="AG62" s="614">
        <v>82382891</v>
      </c>
      <c r="AH62" s="256" t="e">
        <f>AB62/(AB62+AE62+AF62)</f>
        <v>#VALUE!</v>
      </c>
      <c r="AI62" s="257"/>
      <c r="AJ62" s="258"/>
      <c r="AK62" s="259" t="e">
        <f>SUM(AD62-AE62-#REF!-#REF!)</f>
        <v>#REF!</v>
      </c>
      <c r="AL62" s="260">
        <f>SUM(Q62-(AD62+X62))/Q62</f>
        <v>1</v>
      </c>
      <c r="AM62" s="167"/>
      <c r="AN62" s="316"/>
      <c r="AO62" s="317"/>
      <c r="AP62" s="77"/>
      <c r="AQ62" s="77"/>
      <c r="AR62" s="318">
        <f>SUM(Q62-AG62)</f>
        <v>44767109</v>
      </c>
      <c r="AS62" s="319"/>
      <c r="AT62" s="621">
        <v>9500000</v>
      </c>
      <c r="AU62" s="621">
        <v>19000000</v>
      </c>
      <c r="AV62" s="320">
        <f>SUM(AR62-AU62)</f>
        <v>25767109</v>
      </c>
    </row>
    <row r="63" spans="1:49" s="28" customFormat="1" ht="26.25" x14ac:dyDescent="0.35">
      <c r="A63" s="27"/>
      <c r="B63" s="32"/>
      <c r="C63" s="32"/>
      <c r="D63" s="32"/>
      <c r="E63" s="32"/>
      <c r="F63" s="32"/>
      <c r="G63" s="32"/>
      <c r="H63" s="33"/>
      <c r="I63" s="33"/>
      <c r="J63" s="35" t="s">
        <v>380</v>
      </c>
      <c r="K63" s="264"/>
      <c r="L63" s="264"/>
      <c r="M63" s="264"/>
      <c r="N63" s="265">
        <f>SUM(N59:N62)</f>
        <v>271000000</v>
      </c>
      <c r="O63" s="265">
        <f>SUM(O59:O62)</f>
        <v>17150000</v>
      </c>
      <c r="P63" s="265">
        <f>SUM(P59:P62)</f>
        <v>2500000</v>
      </c>
      <c r="Q63" s="265">
        <f>SUM(Q59:Q62)</f>
        <v>285650000</v>
      </c>
      <c r="R63" s="49"/>
      <c r="S63" s="49"/>
      <c r="T63" s="49"/>
      <c r="U63" s="49"/>
      <c r="V63" s="39">
        <f>SUM(V59:V62)</f>
        <v>285650000</v>
      </c>
      <c r="W63" s="39">
        <f t="shared" ref="W63:AE63" si="36">SUM(W59:W62)</f>
        <v>0</v>
      </c>
      <c r="X63" s="322">
        <f t="shared" si="36"/>
        <v>0</v>
      </c>
      <c r="Y63" s="39">
        <f t="shared" si="36"/>
        <v>0</v>
      </c>
      <c r="Z63" s="39">
        <f t="shared" si="36"/>
        <v>0</v>
      </c>
      <c r="AA63" s="39">
        <f t="shared" si="36"/>
        <v>0</v>
      </c>
      <c r="AB63" s="39">
        <f t="shared" si="36"/>
        <v>0</v>
      </c>
      <c r="AC63" s="39">
        <f t="shared" si="36"/>
        <v>0</v>
      </c>
      <c r="AD63" s="39">
        <f t="shared" si="36"/>
        <v>0</v>
      </c>
      <c r="AE63" s="39">
        <f t="shared" si="36"/>
        <v>0</v>
      </c>
      <c r="AF63" s="269"/>
      <c r="AG63" s="267"/>
      <c r="AH63" s="279"/>
      <c r="AI63" s="269"/>
      <c r="AJ63" s="39"/>
      <c r="AK63" s="270"/>
      <c r="AL63" s="271">
        <f>SUM(Q63-(AD63+X63))/Q63</f>
        <v>1</v>
      </c>
      <c r="AM63" s="323"/>
      <c r="AN63" s="324">
        <f>SUM(AN59:AN62)</f>
        <v>0</v>
      </c>
      <c r="AO63" s="273"/>
      <c r="AP63" s="274"/>
      <c r="AQ63" s="274"/>
      <c r="AR63" s="325">
        <f>SUM(AR59:AR62)</f>
        <v>82343694</v>
      </c>
      <c r="AS63" s="326"/>
      <c r="AT63" s="327">
        <f>SUM(AT59:AT62)</f>
        <v>24100000</v>
      </c>
      <c r="AU63" s="327">
        <f>SUM(AU59:AU62)</f>
        <v>46100000</v>
      </c>
      <c r="AV63" s="328">
        <f>SUM(AR63-AU63)</f>
        <v>36243694</v>
      </c>
    </row>
    <row r="64" spans="1:49" s="28" customFormat="1" ht="36" customHeight="1" x14ac:dyDescent="0.35">
      <c r="A64" s="27"/>
      <c r="B64" s="739" t="s">
        <v>381</v>
      </c>
      <c r="C64" s="739"/>
      <c r="D64" s="739"/>
      <c r="E64" s="739"/>
      <c r="F64" s="739"/>
      <c r="G64" s="739"/>
      <c r="H64" s="739"/>
      <c r="I64" s="739"/>
      <c r="J64" s="739"/>
      <c r="K64" s="25"/>
      <c r="L64" s="25"/>
      <c r="M64" s="25"/>
      <c r="N64" s="50"/>
      <c r="O64" s="50"/>
      <c r="P64" s="50"/>
      <c r="Q64" s="50"/>
      <c r="R64" s="50"/>
      <c r="S64" s="50"/>
      <c r="T64" s="50"/>
      <c r="U64" s="50"/>
      <c r="V64" s="64"/>
      <c r="W64" s="64"/>
      <c r="X64" s="281"/>
      <c r="Y64" s="64"/>
      <c r="Z64" s="64"/>
      <c r="AA64" s="64"/>
      <c r="AB64" s="64"/>
      <c r="AC64" s="64"/>
      <c r="AD64" s="64"/>
      <c r="AE64" s="64"/>
      <c r="AF64" s="64"/>
      <c r="AG64" s="615"/>
      <c r="AH64" s="256"/>
      <c r="AI64" s="299"/>
      <c r="AJ64" s="258"/>
      <c r="AK64" s="259" t="e">
        <f>SUM(AD64-AE64-#REF!-#REF!)</f>
        <v>#REF!</v>
      </c>
      <c r="AL64" s="300"/>
      <c r="AM64" s="215"/>
      <c r="AN64" s="247"/>
      <c r="AO64" s="248"/>
      <c r="AP64" s="77"/>
      <c r="AQ64" s="77"/>
      <c r="AR64" s="329"/>
      <c r="AS64" s="330"/>
      <c r="AT64" s="331"/>
      <c r="AU64" s="332"/>
      <c r="AV64" s="333">
        <f>SUM(AV59:AV62)</f>
        <v>36243694</v>
      </c>
    </row>
    <row r="65" spans="1:47" s="28" customFormat="1" ht="36" x14ac:dyDescent="0.35">
      <c r="A65" s="27" t="s">
        <v>100</v>
      </c>
      <c r="B65" s="38">
        <v>2</v>
      </c>
      <c r="C65" s="38">
        <v>0</v>
      </c>
      <c r="D65" s="38">
        <v>4</v>
      </c>
      <c r="E65" s="38">
        <v>9</v>
      </c>
      <c r="F65" s="38">
        <v>4</v>
      </c>
      <c r="G65" s="38" t="s">
        <v>147</v>
      </c>
      <c r="H65" s="25">
        <v>10</v>
      </c>
      <c r="I65" s="25" t="s">
        <v>88</v>
      </c>
      <c r="J65" s="42" t="s">
        <v>382</v>
      </c>
      <c r="K65" s="650">
        <v>13728734</v>
      </c>
      <c r="L65" s="650">
        <v>10285849</v>
      </c>
      <c r="M65" s="650">
        <v>9005472</v>
      </c>
      <c r="N65" s="45">
        <v>100000</v>
      </c>
      <c r="O65" s="45"/>
      <c r="P65" s="45"/>
      <c r="Q65" s="45">
        <f>SUM(N65+O65-P65)</f>
        <v>100000</v>
      </c>
      <c r="R65" s="45"/>
      <c r="S65" s="45"/>
      <c r="T65" s="45"/>
      <c r="U65" s="45"/>
      <c r="V65" s="63"/>
      <c r="W65" s="63"/>
      <c r="X65" s="243">
        <f>SUM(U65)</f>
        <v>0</v>
      </c>
      <c r="Y65" s="255"/>
      <c r="Z65" s="63">
        <f>SUM(Q65-R65-T65-V65-W65-X65-Y65)</f>
        <v>100000</v>
      </c>
      <c r="AA65" s="334"/>
      <c r="AB65" s="335"/>
      <c r="AC65" s="66">
        <f t="shared" si="35"/>
        <v>0</v>
      </c>
      <c r="AD65" s="255">
        <f>SUM(Z65-AB65)</f>
        <v>100000</v>
      </c>
      <c r="AE65" s="255"/>
      <c r="AF65" s="255">
        <f>SUM(AD65-AE65)</f>
        <v>100000</v>
      </c>
      <c r="AG65" s="614">
        <f>SUM(R65+T65+V65+Y65+W65+AB65)</f>
        <v>0</v>
      </c>
      <c r="AH65" s="256">
        <f>AB65/(AB65+AE65+AF65)</f>
        <v>0</v>
      </c>
      <c r="AI65" s="257"/>
      <c r="AJ65" s="258"/>
      <c r="AK65" s="259" t="e">
        <f>SUM(AD65-AE65-#REF!-#REF!)</f>
        <v>#REF!</v>
      </c>
      <c r="AL65" s="260">
        <f t="shared" ref="AL65:AL70" si="37">SUM(Q65-(AD65+X65))/Q65</f>
        <v>0</v>
      </c>
      <c r="AM65" s="162"/>
      <c r="AN65" s="262" t="s">
        <v>148</v>
      </c>
      <c r="AO65" s="261"/>
      <c r="AP65" s="77"/>
      <c r="AQ65" s="77"/>
      <c r="AR65" s="112">
        <v>33543747</v>
      </c>
      <c r="AU65" s="113"/>
    </row>
    <row r="66" spans="1:47" s="28" customFormat="1" ht="36" x14ac:dyDescent="0.35">
      <c r="A66" s="27" t="s">
        <v>100</v>
      </c>
      <c r="B66" s="38">
        <v>2</v>
      </c>
      <c r="C66" s="38">
        <v>0</v>
      </c>
      <c r="D66" s="38">
        <v>4</v>
      </c>
      <c r="E66" s="38">
        <v>9</v>
      </c>
      <c r="F66" s="38">
        <v>7</v>
      </c>
      <c r="G66" s="38" t="s">
        <v>147</v>
      </c>
      <c r="H66" s="25">
        <v>10</v>
      </c>
      <c r="I66" s="25" t="s">
        <v>88</v>
      </c>
      <c r="J66" s="42" t="s">
        <v>383</v>
      </c>
      <c r="K66" s="671">
        <v>12101320</v>
      </c>
      <c r="L66" s="671">
        <v>767811</v>
      </c>
      <c r="M66" s="671">
        <v>8155898</v>
      </c>
      <c r="N66" s="45">
        <v>100000</v>
      </c>
      <c r="O66" s="45"/>
      <c r="P66" s="45"/>
      <c r="Q66" s="45">
        <f>SUM(N66+O66-P66)</f>
        <v>100000</v>
      </c>
      <c r="R66" s="45"/>
      <c r="S66" s="45"/>
      <c r="T66" s="45"/>
      <c r="U66" s="45"/>
      <c r="V66" s="63"/>
      <c r="W66" s="63"/>
      <c r="X66" s="243">
        <f>SUM(U66)</f>
        <v>0</v>
      </c>
      <c r="Y66" s="255"/>
      <c r="Z66" s="63">
        <f>SUM(Q66-R66-T66-V66-W66-X66-Y66)</f>
        <v>100000</v>
      </c>
      <c r="AA66" s="334"/>
      <c r="AB66" s="335"/>
      <c r="AC66" s="66">
        <f t="shared" si="35"/>
        <v>0</v>
      </c>
      <c r="AD66" s="255">
        <f>SUM(Z66-AB66)</f>
        <v>100000</v>
      </c>
      <c r="AE66" s="255"/>
      <c r="AF66" s="255">
        <f>SUM(AD66-AE66)</f>
        <v>100000</v>
      </c>
      <c r="AG66" s="614">
        <f>SUM(R66+T66+V66+Y66+W66+AB66)</f>
        <v>0</v>
      </c>
      <c r="AH66" s="256">
        <f>AB66/(AB66+AE66+AF66)</f>
        <v>0</v>
      </c>
      <c r="AI66" s="257"/>
      <c r="AJ66" s="258"/>
      <c r="AK66" s="259" t="e">
        <f>SUM(AD66-AE66-#REF!-#REF!)</f>
        <v>#REF!</v>
      </c>
      <c r="AL66" s="260">
        <f t="shared" si="37"/>
        <v>0</v>
      </c>
      <c r="AM66" s="162"/>
      <c r="AN66" s="262"/>
      <c r="AO66" s="261"/>
      <c r="AP66" s="77"/>
      <c r="AQ66" s="77"/>
      <c r="AR66" s="112">
        <v>44476845</v>
      </c>
      <c r="AU66" s="113"/>
    </row>
    <row r="67" spans="1:47" s="28" customFormat="1" ht="79.900000000000006" customHeight="1" x14ac:dyDescent="0.35">
      <c r="A67" s="27" t="s">
        <v>100</v>
      </c>
      <c r="B67" s="38">
        <v>2</v>
      </c>
      <c r="C67" s="38">
        <v>0</v>
      </c>
      <c r="D67" s="38">
        <v>4</v>
      </c>
      <c r="E67" s="38">
        <v>9</v>
      </c>
      <c r="F67" s="38">
        <v>8</v>
      </c>
      <c r="G67" s="38" t="s">
        <v>147</v>
      </c>
      <c r="H67" s="25">
        <v>10</v>
      </c>
      <c r="I67" s="25" t="s">
        <v>88</v>
      </c>
      <c r="J67" s="42" t="s">
        <v>384</v>
      </c>
      <c r="K67" s="671">
        <v>44027913</v>
      </c>
      <c r="L67" s="671">
        <v>15481207</v>
      </c>
      <c r="M67" s="671">
        <v>34743449</v>
      </c>
      <c r="N67" s="45">
        <v>14000000</v>
      </c>
      <c r="O67" s="45">
        <v>3000000</v>
      </c>
      <c r="P67" s="45"/>
      <c r="Q67" s="45">
        <f>SUM(N67+O67-P67)</f>
        <v>17000000</v>
      </c>
      <c r="R67" s="46"/>
      <c r="S67" s="45"/>
      <c r="T67" s="45"/>
      <c r="U67" s="45"/>
      <c r="V67" s="63"/>
      <c r="W67" s="63"/>
      <c r="X67" s="243">
        <f>SUM(U67)</f>
        <v>0</v>
      </c>
      <c r="Y67" s="255"/>
      <c r="Z67" s="63">
        <f>SUM(Q67-R67-T67-V67-W67-X67-Y67)</f>
        <v>17000000</v>
      </c>
      <c r="AA67" s="698">
        <v>14050182</v>
      </c>
      <c r="AB67" s="699">
        <v>11935762</v>
      </c>
      <c r="AC67" s="63">
        <f t="shared" si="35"/>
        <v>2114420</v>
      </c>
      <c r="AD67" s="255">
        <f>SUM(Z67-AB67)</f>
        <v>5064238</v>
      </c>
      <c r="AE67" s="688"/>
      <c r="AF67" s="255">
        <f>SUM(AD67-AE67)</f>
        <v>5064238</v>
      </c>
      <c r="AG67" s="614">
        <f>SUM(R67+T67+V67+Y67+W67+AB67)</f>
        <v>11935762</v>
      </c>
      <c r="AH67" s="256">
        <f>AB67/(AB67+AE67+AF67)</f>
        <v>0.70210364705882355</v>
      </c>
      <c r="AI67" s="257"/>
      <c r="AJ67" s="258"/>
      <c r="AK67" s="259" t="e">
        <f>SUM(AD67-AE67-#REF!-#REF!)</f>
        <v>#REF!</v>
      </c>
      <c r="AL67" s="260">
        <f t="shared" si="37"/>
        <v>0.70210364705882355</v>
      </c>
      <c r="AM67" s="162"/>
      <c r="AN67" s="262"/>
      <c r="AO67" s="261"/>
      <c r="AP67" s="77"/>
      <c r="AQ67" s="77"/>
      <c r="AR67" s="112">
        <f>12389041+40249911</f>
        <v>52638952</v>
      </c>
      <c r="AU67" s="113"/>
    </row>
    <row r="68" spans="1:47" s="28" customFormat="1" ht="36" x14ac:dyDescent="0.35">
      <c r="A68" s="27" t="s">
        <v>100</v>
      </c>
      <c r="B68" s="38">
        <v>2</v>
      </c>
      <c r="C68" s="38">
        <v>0</v>
      </c>
      <c r="D68" s="38">
        <v>4</v>
      </c>
      <c r="E68" s="38">
        <v>9</v>
      </c>
      <c r="F68" s="38">
        <v>9</v>
      </c>
      <c r="G68" s="38" t="s">
        <v>147</v>
      </c>
      <c r="H68" s="25">
        <v>10</v>
      </c>
      <c r="I68" s="25" t="s">
        <v>88</v>
      </c>
      <c r="J68" s="42" t="s">
        <v>385</v>
      </c>
      <c r="K68" s="671">
        <v>10358060</v>
      </c>
      <c r="L68" s="671">
        <v>767811</v>
      </c>
      <c r="M68" s="671">
        <v>9175385</v>
      </c>
      <c r="N68" s="45">
        <v>100000</v>
      </c>
      <c r="O68" s="45"/>
      <c r="P68" s="45"/>
      <c r="Q68" s="45">
        <f>SUM(N68+O68-P68)</f>
        <v>100000</v>
      </c>
      <c r="R68" s="45"/>
      <c r="S68" s="45"/>
      <c r="T68" s="45"/>
      <c r="U68" s="45"/>
      <c r="V68" s="63"/>
      <c r="W68" s="63"/>
      <c r="X68" s="243">
        <f>SUM(U68)</f>
        <v>0</v>
      </c>
      <c r="Y68" s="255"/>
      <c r="Z68" s="63">
        <f>SUM(Q68-R68-T68-V68-W68-X68-Y68)</f>
        <v>100000</v>
      </c>
      <c r="AA68" s="334"/>
      <c r="AB68" s="334"/>
      <c r="AC68" s="66">
        <f t="shared" si="35"/>
        <v>0</v>
      </c>
      <c r="AD68" s="255">
        <f>SUM(Z68-AB68)</f>
        <v>100000</v>
      </c>
      <c r="AE68" s="255"/>
      <c r="AF68" s="255">
        <f>SUM(AD68-AE68)</f>
        <v>100000</v>
      </c>
      <c r="AG68" s="614">
        <f>SUM(R68+T68+V68+Y68+W68+AB68)</f>
        <v>0</v>
      </c>
      <c r="AH68" s="256">
        <f>AB68/(AB68+AE68+AF68)</f>
        <v>0</v>
      </c>
      <c r="AI68" s="257"/>
      <c r="AJ68" s="258"/>
      <c r="AK68" s="259" t="e">
        <f>SUM(AD68-AE68-#REF!-#REF!)</f>
        <v>#REF!</v>
      </c>
      <c r="AL68" s="260">
        <f t="shared" si="37"/>
        <v>0</v>
      </c>
      <c r="AM68" s="162"/>
      <c r="AN68" s="262"/>
      <c r="AO68" s="261"/>
      <c r="AP68" s="77"/>
      <c r="AQ68" s="77"/>
      <c r="AR68" s="112">
        <v>28373181</v>
      </c>
      <c r="AU68" s="113"/>
    </row>
    <row r="69" spans="1:47" s="28" customFormat="1" ht="36" x14ac:dyDescent="0.35">
      <c r="A69" s="27" t="s">
        <v>100</v>
      </c>
      <c r="B69" s="38">
        <v>2</v>
      </c>
      <c r="C69" s="38">
        <v>0</v>
      </c>
      <c r="D69" s="38">
        <v>4</v>
      </c>
      <c r="E69" s="38">
        <v>9</v>
      </c>
      <c r="F69" s="38">
        <v>13</v>
      </c>
      <c r="G69" s="38" t="s">
        <v>147</v>
      </c>
      <c r="H69" s="25">
        <v>10</v>
      </c>
      <c r="I69" s="25" t="s">
        <v>88</v>
      </c>
      <c r="J69" s="42" t="s">
        <v>386</v>
      </c>
      <c r="K69" s="671">
        <v>1239245</v>
      </c>
      <c r="L69" s="671">
        <v>668488</v>
      </c>
      <c r="M69" s="671">
        <v>820983</v>
      </c>
      <c r="N69" s="45">
        <v>100000</v>
      </c>
      <c r="O69" s="45"/>
      <c r="P69" s="45"/>
      <c r="Q69" s="45">
        <f>SUM(N69+O69-P69)</f>
        <v>100000</v>
      </c>
      <c r="R69" s="45"/>
      <c r="S69" s="45"/>
      <c r="T69" s="45"/>
      <c r="U69" s="45"/>
      <c r="V69" s="63"/>
      <c r="W69" s="63"/>
      <c r="X69" s="243">
        <f>SUM(U69)</f>
        <v>0</v>
      </c>
      <c r="Y69" s="255"/>
      <c r="Z69" s="63">
        <f>SUM(Q69-R69-T69-V69-W69-X69-Y69)</f>
        <v>100000</v>
      </c>
      <c r="AA69" s="334"/>
      <c r="AB69" s="335"/>
      <c r="AC69" s="66">
        <v>6488206</v>
      </c>
      <c r="AD69" s="255">
        <f>SUM(Z69-AB69)</f>
        <v>100000</v>
      </c>
      <c r="AE69" s="255"/>
      <c r="AF69" s="255">
        <f>SUM(AD69-AE69)</f>
        <v>100000</v>
      </c>
      <c r="AG69" s="614">
        <f>SUM(R69+T69+V69+Y69+W69+AB69)</f>
        <v>0</v>
      </c>
      <c r="AH69" s="256">
        <f>AB69/(AB69+AE69+AF69)</f>
        <v>0</v>
      </c>
      <c r="AI69" s="257"/>
      <c r="AJ69" s="258"/>
      <c r="AK69" s="259" t="e">
        <f>SUM(AD69-AE69-#REF!-#REF!)</f>
        <v>#REF!</v>
      </c>
      <c r="AL69" s="260">
        <f t="shared" si="37"/>
        <v>0</v>
      </c>
      <c r="AM69" s="162"/>
      <c r="AN69" s="262"/>
      <c r="AO69" s="261"/>
      <c r="AP69" s="77"/>
      <c r="AQ69" s="77"/>
      <c r="AR69" s="336">
        <v>5561276</v>
      </c>
      <c r="AU69" s="113"/>
    </row>
    <row r="70" spans="1:47" s="34" customFormat="1" ht="69.75" x14ac:dyDescent="0.35">
      <c r="A70" s="31"/>
      <c r="B70" s="32"/>
      <c r="C70" s="32"/>
      <c r="D70" s="32"/>
      <c r="E70" s="32"/>
      <c r="F70" s="32"/>
      <c r="G70" s="32"/>
      <c r="H70" s="33"/>
      <c r="I70" s="33"/>
      <c r="J70" s="35" t="s">
        <v>387</v>
      </c>
      <c r="K70" s="264">
        <f t="shared" ref="K70:Q70" si="38">SUM(K65:K69)</f>
        <v>81455272</v>
      </c>
      <c r="L70" s="264">
        <f t="shared" si="38"/>
        <v>27971166</v>
      </c>
      <c r="M70" s="264">
        <f t="shared" si="38"/>
        <v>61901187</v>
      </c>
      <c r="N70" s="265">
        <f t="shared" si="38"/>
        <v>14400000</v>
      </c>
      <c r="O70" s="265">
        <f t="shared" si="38"/>
        <v>3000000</v>
      </c>
      <c r="P70" s="265">
        <f t="shared" si="38"/>
        <v>0</v>
      </c>
      <c r="Q70" s="265">
        <f t="shared" si="38"/>
        <v>17400000</v>
      </c>
      <c r="R70" s="337"/>
      <c r="S70" s="337">
        <f t="shared" ref="S70:AD70" si="39">SUM(S65:S69)</f>
        <v>0</v>
      </c>
      <c r="T70" s="337">
        <f t="shared" si="39"/>
        <v>0</v>
      </c>
      <c r="U70" s="337">
        <f t="shared" si="39"/>
        <v>0</v>
      </c>
      <c r="V70" s="39">
        <f t="shared" si="39"/>
        <v>0</v>
      </c>
      <c r="W70" s="39">
        <f t="shared" si="39"/>
        <v>0</v>
      </c>
      <c r="X70" s="243">
        <f t="shared" si="39"/>
        <v>0</v>
      </c>
      <c r="Y70" s="269">
        <f t="shared" si="39"/>
        <v>0</v>
      </c>
      <c r="Z70" s="39">
        <f t="shared" si="39"/>
        <v>17400000</v>
      </c>
      <c r="AA70" s="39">
        <f t="shared" si="39"/>
        <v>14050182</v>
      </c>
      <c r="AB70" s="39">
        <f t="shared" si="39"/>
        <v>11935762</v>
      </c>
      <c r="AC70" s="39">
        <f t="shared" si="39"/>
        <v>8602626</v>
      </c>
      <c r="AD70" s="39">
        <f t="shared" si="39"/>
        <v>5464238</v>
      </c>
      <c r="AE70" s="269">
        <f>SUM(AE65:AE69)</f>
        <v>0</v>
      </c>
      <c r="AF70" s="269">
        <f>SUM(AF65:AF69)</f>
        <v>5464238</v>
      </c>
      <c r="AG70" s="269">
        <f>SUM(AG65:AG69)</f>
        <v>11935762</v>
      </c>
      <c r="AH70" s="297">
        <f>SUM(AB70/Z70)</f>
        <v>0.68596333333333337</v>
      </c>
      <c r="AI70" s="269"/>
      <c r="AJ70" s="338" t="s">
        <v>388</v>
      </c>
      <c r="AK70" s="270" t="e">
        <f>SUM(AD70-AE70-#REF!-#REF!)</f>
        <v>#REF!</v>
      </c>
      <c r="AL70" s="271">
        <f t="shared" si="37"/>
        <v>0.68596333333333337</v>
      </c>
      <c r="AM70" s="193"/>
      <c r="AN70" s="272"/>
      <c r="AO70" s="273"/>
      <c r="AP70" s="274"/>
      <c r="AQ70" s="274"/>
      <c r="AR70" s="275"/>
      <c r="AU70" s="276"/>
    </row>
    <row r="71" spans="1:47" s="28" customFormat="1" ht="33" customHeight="1" x14ac:dyDescent="0.35">
      <c r="A71" s="339"/>
      <c r="B71" s="740" t="s">
        <v>389</v>
      </c>
      <c r="C71" s="741"/>
      <c r="D71" s="741"/>
      <c r="E71" s="741"/>
      <c r="F71" s="741"/>
      <c r="G71" s="741"/>
      <c r="H71" s="741"/>
      <c r="I71" s="741"/>
      <c r="J71" s="742"/>
      <c r="K71" s="25"/>
      <c r="L71" s="25"/>
      <c r="M71" s="25"/>
      <c r="N71" s="50"/>
      <c r="O71" s="50"/>
      <c r="P71" s="50"/>
      <c r="Q71" s="50"/>
      <c r="R71" s="50"/>
      <c r="S71" s="50"/>
      <c r="T71" s="50"/>
      <c r="U71" s="50"/>
      <c r="V71" s="64"/>
      <c r="W71" s="64"/>
      <c r="X71" s="281"/>
      <c r="Y71" s="64"/>
      <c r="Z71" s="64"/>
      <c r="AA71" s="64"/>
      <c r="AB71" s="64"/>
      <c r="AC71" s="64"/>
      <c r="AD71" s="340"/>
      <c r="AE71" s="64"/>
      <c r="AF71" s="64"/>
      <c r="AG71" s="615"/>
      <c r="AH71" s="256"/>
      <c r="AI71" s="299"/>
      <c r="AJ71" s="258"/>
      <c r="AK71" s="259" t="e">
        <f>SUM(AD71-AE71-#REF!-#REF!)</f>
        <v>#REF!</v>
      </c>
      <c r="AL71" s="300"/>
      <c r="AM71" s="215"/>
      <c r="AN71" s="247"/>
      <c r="AO71" s="248"/>
      <c r="AP71" s="77"/>
      <c r="AQ71" s="77"/>
      <c r="AR71" s="112"/>
      <c r="AU71" s="113"/>
    </row>
    <row r="72" spans="1:47" s="28" customFormat="1" ht="41.25" customHeight="1" x14ac:dyDescent="0.35">
      <c r="A72" s="27"/>
      <c r="B72" s="38"/>
      <c r="C72" s="38"/>
      <c r="D72" s="38"/>
      <c r="E72" s="38"/>
      <c r="F72" s="38"/>
      <c r="G72" s="38"/>
      <c r="H72" s="25"/>
      <c r="I72" s="25"/>
      <c r="J72" s="36" t="s">
        <v>390</v>
      </c>
      <c r="K72" s="671">
        <v>868840</v>
      </c>
      <c r="L72" s="671">
        <v>500000</v>
      </c>
      <c r="M72" s="671"/>
      <c r="N72" s="45"/>
      <c r="O72" s="45"/>
      <c r="P72" s="45"/>
      <c r="Q72" s="45">
        <f>SUM(N72+O72-P72)</f>
        <v>0</v>
      </c>
      <c r="R72" s="253"/>
      <c r="S72" s="253"/>
      <c r="T72" s="253"/>
      <c r="U72" s="253"/>
      <c r="V72" s="63"/>
      <c r="W72" s="63"/>
      <c r="X72" s="243">
        <f>SUM(U72)</f>
        <v>0</v>
      </c>
      <c r="Y72" s="255"/>
      <c r="Z72" s="63">
        <f>SUM(Q72-R72-T72-V72-W72-X72-Y72)</f>
        <v>0</v>
      </c>
      <c r="AA72" s="63"/>
      <c r="AB72" s="63"/>
      <c r="AC72" s="63">
        <f t="shared" si="35"/>
        <v>0</v>
      </c>
      <c r="AD72" s="255">
        <f>SUM(Z72-AB72)</f>
        <v>0</v>
      </c>
      <c r="AE72" s="255"/>
      <c r="AF72" s="255">
        <f>SUM(AD72-AE72)</f>
        <v>0</v>
      </c>
      <c r="AG72" s="614">
        <f>SUM(R72+T72+V72+Y72+W72+AB72)</f>
        <v>0</v>
      </c>
      <c r="AH72" s="256"/>
      <c r="AI72" s="257"/>
      <c r="AJ72" s="258"/>
      <c r="AK72" s="259" t="e">
        <f>SUM(AD72-AE72-#REF!-#REF!)</f>
        <v>#REF!</v>
      </c>
      <c r="AL72" s="260" t="e">
        <f>SUM(Q72-(AD72+X72))/Q72</f>
        <v>#DIV/0!</v>
      </c>
      <c r="AM72" s="167"/>
      <c r="AN72" s="316"/>
      <c r="AO72" s="341"/>
      <c r="AP72" s="77"/>
      <c r="AQ72" s="77"/>
      <c r="AR72" s="112"/>
      <c r="AU72" s="113"/>
    </row>
    <row r="73" spans="1:47" s="28" customFormat="1" ht="36" x14ac:dyDescent="0.35">
      <c r="A73" s="27" t="s">
        <v>100</v>
      </c>
      <c r="B73" s="38">
        <v>2</v>
      </c>
      <c r="C73" s="38">
        <v>0</v>
      </c>
      <c r="D73" s="38">
        <v>4</v>
      </c>
      <c r="E73" s="38">
        <v>10</v>
      </c>
      <c r="F73" s="38">
        <v>2</v>
      </c>
      <c r="G73" s="38" t="s">
        <v>147</v>
      </c>
      <c r="H73" s="25">
        <v>10</v>
      </c>
      <c r="I73" s="25" t="s">
        <v>88</v>
      </c>
      <c r="J73" s="36" t="s">
        <v>391</v>
      </c>
      <c r="K73" s="671">
        <v>5444300</v>
      </c>
      <c r="L73" s="671">
        <v>5236662</v>
      </c>
      <c r="M73" s="671">
        <v>5612740</v>
      </c>
      <c r="N73" s="45">
        <v>6778000</v>
      </c>
      <c r="O73" s="45"/>
      <c r="P73" s="45"/>
      <c r="Q73" s="45">
        <f>SUM(N73+O73-P73)</f>
        <v>6778000</v>
      </c>
      <c r="R73" s="253"/>
      <c r="S73" s="253"/>
      <c r="T73" s="253"/>
      <c r="U73" s="253"/>
      <c r="V73" s="63">
        <v>6778000</v>
      </c>
      <c r="W73" s="63"/>
      <c r="X73" s="243">
        <f>SUM(U73)</f>
        <v>0</v>
      </c>
      <c r="Y73" s="255"/>
      <c r="Z73" s="63">
        <f>SUM(Q73-R73-T73-V73-W73-X73-Y73)</f>
        <v>0</v>
      </c>
      <c r="AA73" s="63"/>
      <c r="AB73" s="63"/>
      <c r="AC73" s="63">
        <f t="shared" si="35"/>
        <v>0</v>
      </c>
      <c r="AD73" s="255">
        <f>SUM(Z73-AB73)</f>
        <v>0</v>
      </c>
      <c r="AE73" s="255"/>
      <c r="AF73" s="255">
        <f>SUM(AD73-AE73)</f>
        <v>0</v>
      </c>
      <c r="AG73" s="614">
        <f>SUM(R73+T73+V73+Y73+W73+AB73)</f>
        <v>6778000</v>
      </c>
      <c r="AH73" s="256"/>
      <c r="AI73" s="257"/>
      <c r="AJ73" s="258"/>
      <c r="AK73" s="259" t="e">
        <f>SUM(AD73-AE73-#REF!-#REF!)</f>
        <v>#REF!</v>
      </c>
      <c r="AL73" s="260">
        <f>SUM(Q73-(AD73+X73))/Q73</f>
        <v>1</v>
      </c>
      <c r="AM73" s="167"/>
      <c r="AN73" s="316"/>
      <c r="AO73" s="341"/>
      <c r="AP73" s="77"/>
      <c r="AQ73" s="77"/>
      <c r="AR73" s="112"/>
      <c r="AU73" s="113"/>
    </row>
    <row r="74" spans="1:47" s="34" customFormat="1" x14ac:dyDescent="0.35">
      <c r="A74" s="31"/>
      <c r="B74" s="32"/>
      <c r="C74" s="32"/>
      <c r="D74" s="32"/>
      <c r="E74" s="32"/>
      <c r="F74" s="32"/>
      <c r="G74" s="32"/>
      <c r="H74" s="33"/>
      <c r="I74" s="33"/>
      <c r="J74" s="35" t="s">
        <v>392</v>
      </c>
      <c r="K74" s="264">
        <f>SUM(K72:K73)</f>
        <v>6313140</v>
      </c>
      <c r="L74" s="264">
        <f>SUM(L72:L73)</f>
        <v>5736662</v>
      </c>
      <c r="M74" s="264">
        <f>SUM(M72:M73)</f>
        <v>5612740</v>
      </c>
      <c r="N74" s="265">
        <f>SUM(N73)</f>
        <v>6778000</v>
      </c>
      <c r="O74" s="265">
        <f>SUM(O73)</f>
        <v>0</v>
      </c>
      <c r="P74" s="265">
        <f>SUM(P73)</f>
        <v>0</v>
      </c>
      <c r="Q74" s="265">
        <f>SUM(Q73)</f>
        <v>6778000</v>
      </c>
      <c r="R74" s="337"/>
      <c r="S74" s="337">
        <f>SUM(S72:S73)</f>
        <v>0</v>
      </c>
      <c r="T74" s="337">
        <f>SUM(T72:T73)</f>
        <v>0</v>
      </c>
      <c r="U74" s="337">
        <f>SUM(U72:U73)</f>
        <v>0</v>
      </c>
      <c r="V74" s="39">
        <f>SUM(V72:V73)</f>
        <v>6778000</v>
      </c>
      <c r="W74" s="39">
        <f t="shared" ref="W74:AB74" si="40">SUM(W73)</f>
        <v>0</v>
      </c>
      <c r="X74" s="243">
        <f>SUM(X71:X73)</f>
        <v>0</v>
      </c>
      <c r="Y74" s="269">
        <f>SUM(Y71:Y73)</f>
        <v>0</v>
      </c>
      <c r="Z74" s="39">
        <f t="shared" si="40"/>
        <v>0</v>
      </c>
      <c r="AA74" s="39">
        <f t="shared" si="40"/>
        <v>0</v>
      </c>
      <c r="AB74" s="39">
        <f t="shared" si="40"/>
        <v>0</v>
      </c>
      <c r="AC74" s="39">
        <f t="shared" si="35"/>
        <v>0</v>
      </c>
      <c r="AD74" s="269">
        <f>SUM(AD71:AD73)</f>
        <v>0</v>
      </c>
      <c r="AE74" s="269">
        <f>SUM(AE71:AE73)</f>
        <v>0</v>
      </c>
      <c r="AF74" s="269">
        <f>SUM(AF71:AF73)</f>
        <v>0</v>
      </c>
      <c r="AG74" s="267"/>
      <c r="AH74" s="297"/>
      <c r="AI74" s="269"/>
      <c r="AJ74" s="39"/>
      <c r="AK74" s="270" t="e">
        <f>SUM(AD74-AE74-#REF!-#REF!)</f>
        <v>#REF!</v>
      </c>
      <c r="AL74" s="271">
        <f>SUM(Q74-(AD74+X74))/Q74</f>
        <v>1</v>
      </c>
      <c r="AM74" s="323"/>
      <c r="AN74" s="342">
        <f>SUM(AN72:AN73)</f>
        <v>0</v>
      </c>
      <c r="AO74" s="273"/>
      <c r="AP74" s="274"/>
      <c r="AQ74" s="274"/>
      <c r="AR74" s="275"/>
      <c r="AU74" s="276"/>
    </row>
    <row r="75" spans="1:47" s="28" customFormat="1" ht="39.75" customHeight="1" x14ac:dyDescent="0.35">
      <c r="A75" s="27"/>
      <c r="B75" s="740" t="s">
        <v>125</v>
      </c>
      <c r="C75" s="741"/>
      <c r="D75" s="741"/>
      <c r="E75" s="741"/>
      <c r="F75" s="741"/>
      <c r="G75" s="741"/>
      <c r="H75" s="741"/>
      <c r="I75" s="741"/>
      <c r="J75" s="741"/>
      <c r="K75" s="25"/>
      <c r="L75" s="25"/>
      <c r="M75" s="25"/>
      <c r="N75" s="50"/>
      <c r="O75" s="50"/>
      <c r="P75" s="50"/>
      <c r="Q75" s="50"/>
      <c r="R75" s="50"/>
      <c r="S75" s="50"/>
      <c r="T75" s="50"/>
      <c r="U75" s="50"/>
      <c r="V75" s="64"/>
      <c r="W75" s="64"/>
      <c r="X75" s="281"/>
      <c r="Y75" s="64"/>
      <c r="Z75" s="64"/>
      <c r="AA75" s="64"/>
      <c r="AB75" s="64"/>
      <c r="AC75" s="64"/>
      <c r="AD75" s="64"/>
      <c r="AE75" s="64"/>
      <c r="AF75" s="64"/>
      <c r="AG75" s="615"/>
      <c r="AH75" s="256"/>
      <c r="AI75" s="343"/>
      <c r="AJ75" s="344"/>
      <c r="AK75" s="259" t="e">
        <f>SUM(AD75-AE75-#REF!-#REF!)</f>
        <v>#REF!</v>
      </c>
      <c r="AL75" s="246"/>
      <c r="AM75" s="215"/>
      <c r="AN75" s="247"/>
      <c r="AO75" s="248"/>
      <c r="AP75" s="77"/>
      <c r="AQ75" s="77"/>
      <c r="AR75" s="112"/>
      <c r="AU75" s="113"/>
    </row>
    <row r="76" spans="1:47" s="28" customFormat="1" ht="36" x14ac:dyDescent="0.35">
      <c r="A76" s="27" t="s">
        <v>100</v>
      </c>
      <c r="B76" s="38">
        <v>2</v>
      </c>
      <c r="C76" s="38">
        <v>0</v>
      </c>
      <c r="D76" s="38">
        <v>4</v>
      </c>
      <c r="E76" s="38">
        <v>11</v>
      </c>
      <c r="F76" s="38">
        <v>1</v>
      </c>
      <c r="G76" s="38" t="s">
        <v>147</v>
      </c>
      <c r="H76" s="25">
        <v>10</v>
      </c>
      <c r="I76" s="25" t="s">
        <v>88</v>
      </c>
      <c r="J76" s="42" t="s">
        <v>393</v>
      </c>
      <c r="K76" s="743">
        <v>29008131.350000001</v>
      </c>
      <c r="L76" s="743">
        <v>20292720.050000001</v>
      </c>
      <c r="M76" s="307">
        <v>4233988</v>
      </c>
      <c r="N76" s="45"/>
      <c r="O76" s="45"/>
      <c r="P76" s="45"/>
      <c r="Q76" s="45">
        <f>SUM(N76+O76-P76)</f>
        <v>0</v>
      </c>
      <c r="R76" s="45"/>
      <c r="S76" s="45"/>
      <c r="T76" s="45"/>
      <c r="U76" s="45"/>
      <c r="V76" s="63"/>
      <c r="W76" s="63"/>
      <c r="X76" s="243">
        <f>SUM(U76)</f>
        <v>0</v>
      </c>
      <c r="Y76" s="255"/>
      <c r="Z76" s="63">
        <f>SUM(Q76-R76-T76-V76-W76-X76-Y76)</f>
        <v>0</v>
      </c>
      <c r="AA76" s="600"/>
      <c r="AB76" s="600"/>
      <c r="AC76" s="600">
        <f t="shared" si="35"/>
        <v>0</v>
      </c>
      <c r="AD76" s="601">
        <f>SUM(Z76-AB76)</f>
        <v>0</v>
      </c>
      <c r="AE76" s="601"/>
      <c r="AF76" s="601">
        <f>SUM(AD76-AE76)</f>
        <v>0</v>
      </c>
      <c r="AG76" s="614">
        <f>SUM(R76+T76+V76+Y76+W76+AB76)</f>
        <v>0</v>
      </c>
      <c r="AH76" s="602"/>
      <c r="AI76" s="601"/>
      <c r="AJ76" s="603"/>
      <c r="AK76" s="604" t="e">
        <f>SUM(AD76-AE76-#REF!-#REF!)</f>
        <v>#REF!</v>
      </c>
      <c r="AL76" s="605" t="e">
        <f>SUM(Q76-(AD76+X76))/Q76</f>
        <v>#DIV/0!</v>
      </c>
      <c r="AM76" s="162"/>
      <c r="AN76" s="247"/>
      <c r="AO76" s="261"/>
      <c r="AP76" s="77"/>
      <c r="AQ76" s="77"/>
      <c r="AR76" s="112"/>
      <c r="AU76" s="113"/>
    </row>
    <row r="77" spans="1:47" s="28" customFormat="1" ht="36" x14ac:dyDescent="0.35">
      <c r="A77" s="27" t="s">
        <v>100</v>
      </c>
      <c r="B77" s="38">
        <v>2</v>
      </c>
      <c r="C77" s="38">
        <v>0</v>
      </c>
      <c r="D77" s="38">
        <v>4</v>
      </c>
      <c r="E77" s="38">
        <v>11</v>
      </c>
      <c r="F77" s="38">
        <v>1</v>
      </c>
      <c r="G77" s="38" t="s">
        <v>147</v>
      </c>
      <c r="H77" s="25">
        <v>10</v>
      </c>
      <c r="I77" s="25" t="s">
        <v>88</v>
      </c>
      <c r="J77" s="36" t="s">
        <v>394</v>
      </c>
      <c r="K77" s="743"/>
      <c r="L77" s="743"/>
      <c r="M77" s="307">
        <v>4799781.63</v>
      </c>
      <c r="N77" s="45">
        <v>0</v>
      </c>
      <c r="O77" s="45"/>
      <c r="P77" s="45"/>
      <c r="Q77" s="45">
        <f>SUM(N77+O77-P77)</f>
        <v>0</v>
      </c>
      <c r="R77" s="45"/>
      <c r="S77" s="45"/>
      <c r="T77" s="45"/>
      <c r="U77" s="45"/>
      <c r="V77" s="63"/>
      <c r="W77" s="63"/>
      <c r="X77" s="243">
        <f>SUM(U77)</f>
        <v>0</v>
      </c>
      <c r="Y77" s="255"/>
      <c r="Z77" s="63">
        <f>SUM(Q77-R77-T77-V77-W77-X77-Y77)</f>
        <v>0</v>
      </c>
      <c r="AA77" s="600"/>
      <c r="AB77" s="600"/>
      <c r="AC77" s="600">
        <f t="shared" si="35"/>
        <v>0</v>
      </c>
      <c r="AD77" s="601"/>
      <c r="AE77" s="601"/>
      <c r="AF77" s="601">
        <f>SUM(AD77-AE77)</f>
        <v>0</v>
      </c>
      <c r="AG77" s="614">
        <f>SUM(R77+T77+V77+Y77+W77+AB77)</f>
        <v>0</v>
      </c>
      <c r="AH77" s="602"/>
      <c r="AI77" s="601"/>
      <c r="AJ77" s="603"/>
      <c r="AK77" s="604" t="e">
        <f>SUM(AD77-AE77-#REF!-#REF!)</f>
        <v>#REF!</v>
      </c>
      <c r="AL77" s="605" t="e">
        <f>SUM(Q77-(AD77+X77))/Q77</f>
        <v>#DIV/0!</v>
      </c>
      <c r="AM77" s="167"/>
      <c r="AN77" s="316"/>
      <c r="AO77" s="341"/>
      <c r="AP77" s="77"/>
      <c r="AQ77" s="77"/>
      <c r="AR77" s="112"/>
      <c r="AU77" s="113"/>
    </row>
    <row r="78" spans="1:47" s="28" customFormat="1" ht="75" customHeight="1" x14ac:dyDescent="0.35">
      <c r="A78" s="27" t="s">
        <v>100</v>
      </c>
      <c r="B78" s="38">
        <v>2</v>
      </c>
      <c r="C78" s="38">
        <v>0</v>
      </c>
      <c r="D78" s="38">
        <v>4</v>
      </c>
      <c r="E78" s="38">
        <v>11</v>
      </c>
      <c r="F78" s="38">
        <v>2</v>
      </c>
      <c r="G78" s="38" t="s">
        <v>147</v>
      </c>
      <c r="H78" s="25">
        <v>10</v>
      </c>
      <c r="I78" s="25" t="s">
        <v>88</v>
      </c>
      <c r="J78" s="42" t="s">
        <v>395</v>
      </c>
      <c r="K78" s="743">
        <v>19651579</v>
      </c>
      <c r="L78" s="743">
        <v>37367844.5</v>
      </c>
      <c r="M78" s="671">
        <v>11937409</v>
      </c>
      <c r="N78" s="45">
        <v>35000000</v>
      </c>
      <c r="O78" s="45">
        <v>10000000</v>
      </c>
      <c r="P78" s="45"/>
      <c r="Q78" s="45">
        <f>SUM(N78+O78-P78)</f>
        <v>45000000</v>
      </c>
      <c r="R78" s="45"/>
      <c r="S78" s="45"/>
      <c r="T78" s="45"/>
      <c r="U78" s="45"/>
      <c r="V78" s="63"/>
      <c r="W78" s="63"/>
      <c r="X78" s="243">
        <f>SUM(U78)</f>
        <v>0</v>
      </c>
      <c r="Y78" s="255"/>
      <c r="Z78" s="63">
        <f>SUM(Q78-R78-T78-V78-W78-X78-Y78)</f>
        <v>45000000</v>
      </c>
      <c r="AA78" s="686">
        <v>35000000</v>
      </c>
      <c r="AB78" s="63">
        <v>45000000</v>
      </c>
      <c r="AC78" s="63">
        <f t="shared" si="35"/>
        <v>-10000000</v>
      </c>
      <c r="AD78" s="255">
        <f>SUM(Z78-AB78)</f>
        <v>0</v>
      </c>
      <c r="AE78" s="255"/>
      <c r="AF78" s="255">
        <f>SUM(AD78-AE78)</f>
        <v>0</v>
      </c>
      <c r="AG78" s="614">
        <f>SUM(R78+T78+V78+Y78+W78+AB78)</f>
        <v>45000000</v>
      </c>
      <c r="AH78" s="256">
        <f>AB78/(AB78+AE78+AF78)</f>
        <v>1</v>
      </c>
      <c r="AI78" s="257"/>
      <c r="AJ78" s="258"/>
      <c r="AK78" s="259" t="e">
        <f>SUM(AD78-AE78-#REF!-#REF!)</f>
        <v>#REF!</v>
      </c>
      <c r="AL78" s="260">
        <f>SUM(Q78-(AD78+X78))/Q78</f>
        <v>1</v>
      </c>
      <c r="AM78" s="162"/>
      <c r="AN78" s="345"/>
      <c r="AO78" s="261"/>
      <c r="AP78" s="77"/>
      <c r="AQ78" s="77"/>
      <c r="AR78" s="249"/>
      <c r="AU78" s="113"/>
    </row>
    <row r="79" spans="1:47" s="28" customFormat="1" ht="36" x14ac:dyDescent="0.35">
      <c r="A79" s="27" t="s">
        <v>100</v>
      </c>
      <c r="B79" s="38">
        <v>2</v>
      </c>
      <c r="C79" s="38">
        <v>0</v>
      </c>
      <c r="D79" s="38">
        <v>4</v>
      </c>
      <c r="E79" s="38">
        <v>11</v>
      </c>
      <c r="F79" s="38">
        <v>2</v>
      </c>
      <c r="G79" s="38" t="s">
        <v>147</v>
      </c>
      <c r="H79" s="25">
        <v>10</v>
      </c>
      <c r="I79" s="25" t="s">
        <v>88</v>
      </c>
      <c r="J79" s="36" t="s">
        <v>115</v>
      </c>
      <c r="K79" s="743"/>
      <c r="L79" s="743"/>
      <c r="M79" s="671">
        <v>12823734</v>
      </c>
      <c r="N79" s="46">
        <v>20000000</v>
      </c>
      <c r="O79" s="45">
        <v>4000000</v>
      </c>
      <c r="P79" s="45"/>
      <c r="Q79" s="45">
        <f>SUM(N79+O79-P79)</f>
        <v>24000000</v>
      </c>
      <c r="R79" s="346">
        <v>4000000</v>
      </c>
      <c r="S79" s="347">
        <v>19139839.5</v>
      </c>
      <c r="T79" s="348">
        <f>117611.5+941731+317196+943071.5+1129947+1230941.5+1124819.5+2265991.5+1641693+2258217+2781406</f>
        <v>14752625.5</v>
      </c>
      <c r="U79" s="346">
        <f>SUM(S79-T79)</f>
        <v>4387214</v>
      </c>
      <c r="V79" s="63">
        <f>586434+273726.5</f>
        <v>860160.5</v>
      </c>
      <c r="W79" s="63"/>
      <c r="X79" s="243">
        <f>SUM(U79)</f>
        <v>4387214</v>
      </c>
      <c r="Y79" s="255"/>
      <c r="Z79" s="63">
        <f>SUM(Q79-R79-T79-V79-W79-X79-Y79)</f>
        <v>0</v>
      </c>
      <c r="AA79" s="63"/>
      <c r="AB79" s="63"/>
      <c r="AC79" s="63">
        <f t="shared" si="35"/>
        <v>0</v>
      </c>
      <c r="AD79" s="255">
        <f>SUM(Z79-AB79)</f>
        <v>0</v>
      </c>
      <c r="AE79" s="255">
        <v>0</v>
      </c>
      <c r="AF79" s="255">
        <f>SUM(AD79-AE79)</f>
        <v>0</v>
      </c>
      <c r="AG79" s="614">
        <f>SUM(R79+T79+V79+Y79+W79+AB79)</f>
        <v>19612786</v>
      </c>
      <c r="AH79" s="256"/>
      <c r="AI79" s="257"/>
      <c r="AJ79" s="258"/>
      <c r="AK79" s="259" t="e">
        <f>SUM(AD79-AE79-#REF!-#REF!)</f>
        <v>#REF!</v>
      </c>
      <c r="AL79" s="260">
        <f>SUM(Q79-(AD79+X79))/Q79</f>
        <v>0.81719941666666662</v>
      </c>
      <c r="AM79" s="167"/>
      <c r="AN79" s="316"/>
      <c r="AO79" s="341"/>
      <c r="AP79" s="77"/>
      <c r="AQ79" s="77"/>
      <c r="AR79" s="112"/>
      <c r="AU79" s="113"/>
    </row>
    <row r="80" spans="1:47" s="34" customFormat="1" x14ac:dyDescent="0.35">
      <c r="A80" s="31"/>
      <c r="B80" s="32"/>
      <c r="C80" s="32"/>
      <c r="D80" s="32"/>
      <c r="E80" s="32"/>
      <c r="F80" s="32"/>
      <c r="G80" s="32"/>
      <c r="H80" s="33"/>
      <c r="I80" s="33"/>
      <c r="J80" s="35" t="s">
        <v>137</v>
      </c>
      <c r="K80" s="264">
        <f t="shared" ref="K80:AB80" si="41">SUM(K76:K79)</f>
        <v>48659710.350000001</v>
      </c>
      <c r="L80" s="264">
        <f t="shared" si="41"/>
        <v>57660564.549999997</v>
      </c>
      <c r="M80" s="264">
        <f t="shared" si="41"/>
        <v>33794912.629999995</v>
      </c>
      <c r="N80" s="265">
        <f t="shared" si="41"/>
        <v>55000000</v>
      </c>
      <c r="O80" s="265">
        <f t="shared" si="41"/>
        <v>14000000</v>
      </c>
      <c r="P80" s="265">
        <f t="shared" si="41"/>
        <v>0</v>
      </c>
      <c r="Q80" s="265">
        <f t="shared" si="41"/>
        <v>69000000</v>
      </c>
      <c r="R80" s="49">
        <f t="shared" si="41"/>
        <v>4000000</v>
      </c>
      <c r="S80" s="49">
        <f t="shared" si="41"/>
        <v>19139839.5</v>
      </c>
      <c r="T80" s="49">
        <f t="shared" si="41"/>
        <v>14752625.5</v>
      </c>
      <c r="U80" s="49">
        <f t="shared" si="41"/>
        <v>4387214</v>
      </c>
      <c r="V80" s="39">
        <f t="shared" si="41"/>
        <v>860160.5</v>
      </c>
      <c r="W80" s="39">
        <f t="shared" si="41"/>
        <v>0</v>
      </c>
      <c r="X80" s="243">
        <f t="shared" si="41"/>
        <v>4387214</v>
      </c>
      <c r="Y80" s="269">
        <f t="shared" si="41"/>
        <v>0</v>
      </c>
      <c r="Z80" s="39">
        <f t="shared" si="41"/>
        <v>45000000</v>
      </c>
      <c r="AA80" s="39">
        <f t="shared" si="41"/>
        <v>35000000</v>
      </c>
      <c r="AB80" s="39">
        <f t="shared" si="41"/>
        <v>45000000</v>
      </c>
      <c r="AC80" s="39">
        <f t="shared" si="35"/>
        <v>-10000000</v>
      </c>
      <c r="AD80" s="269">
        <f>SUM(AD76:AD79)</f>
        <v>0</v>
      </c>
      <c r="AE80" s="269">
        <f>SUM(AE76:AE79)</f>
        <v>0</v>
      </c>
      <c r="AF80" s="269">
        <f>SUM(AF76:AF79)</f>
        <v>0</v>
      </c>
      <c r="AG80" s="267">
        <f>SUM(AG76:AG79)</f>
        <v>64612786</v>
      </c>
      <c r="AH80" s="279">
        <f>SUM(AB80/Z80)</f>
        <v>1</v>
      </c>
      <c r="AI80" s="269"/>
      <c r="AJ80" s="39"/>
      <c r="AK80" s="270" t="e">
        <f>SUM(AD80-AE80-#REF!-#REF!)</f>
        <v>#REF!</v>
      </c>
      <c r="AL80" s="268">
        <v>0.71452223892019795</v>
      </c>
      <c r="AM80" s="323"/>
      <c r="AN80" s="324">
        <f>SUM(AN76:AN79)</f>
        <v>0</v>
      </c>
      <c r="AO80" s="273"/>
      <c r="AP80" s="274"/>
      <c r="AQ80" s="274"/>
      <c r="AR80" s="275"/>
      <c r="AU80" s="276"/>
    </row>
    <row r="81" spans="1:47" s="28" customFormat="1" ht="46.5" customHeight="1" x14ac:dyDescent="0.35">
      <c r="A81" s="27"/>
      <c r="B81" s="740" t="s">
        <v>396</v>
      </c>
      <c r="C81" s="741"/>
      <c r="D81" s="741"/>
      <c r="E81" s="741"/>
      <c r="F81" s="741"/>
      <c r="G81" s="741"/>
      <c r="H81" s="741"/>
      <c r="I81" s="741"/>
      <c r="J81" s="741"/>
      <c r="K81" s="25"/>
      <c r="L81" s="25"/>
      <c r="M81" s="25"/>
      <c r="N81" s="50"/>
      <c r="O81" s="50"/>
      <c r="P81" s="50"/>
      <c r="Q81" s="50"/>
      <c r="R81" s="50"/>
      <c r="S81" s="50"/>
      <c r="T81" s="50"/>
      <c r="U81" s="50"/>
      <c r="V81" s="64"/>
      <c r="W81" s="64"/>
      <c r="X81" s="281"/>
      <c r="Y81" s="64"/>
      <c r="Z81" s="64"/>
      <c r="AA81" s="64"/>
      <c r="AB81" s="64"/>
      <c r="AC81" s="64"/>
      <c r="AD81" s="64"/>
      <c r="AE81" s="64"/>
      <c r="AF81" s="64"/>
      <c r="AG81" s="615"/>
      <c r="AH81" s="256"/>
      <c r="AI81" s="299"/>
      <c r="AJ81" s="258"/>
      <c r="AK81" s="259" t="e">
        <f>SUM(AD81-AE81-#REF!-#REF!)</f>
        <v>#REF!</v>
      </c>
      <c r="AL81" s="300"/>
      <c r="AM81" s="215"/>
      <c r="AN81" s="247"/>
      <c r="AO81" s="248"/>
      <c r="AP81" s="77"/>
      <c r="AQ81" s="77"/>
      <c r="AR81" s="112"/>
      <c r="AU81" s="113"/>
    </row>
    <row r="82" spans="1:47" s="28" customFormat="1" ht="36" x14ac:dyDescent="0.35">
      <c r="A82" s="27" t="s">
        <v>100</v>
      </c>
      <c r="B82" s="38">
        <v>2</v>
      </c>
      <c r="C82" s="38">
        <v>0</v>
      </c>
      <c r="D82" s="38">
        <v>4</v>
      </c>
      <c r="E82" s="38">
        <v>21</v>
      </c>
      <c r="F82" s="38">
        <v>4</v>
      </c>
      <c r="G82" s="38" t="s">
        <v>147</v>
      </c>
      <c r="H82" s="25">
        <v>10</v>
      </c>
      <c r="I82" s="25" t="s">
        <v>88</v>
      </c>
      <c r="J82" s="42" t="s">
        <v>397</v>
      </c>
      <c r="K82" s="671">
        <v>17194000</v>
      </c>
      <c r="L82" s="671">
        <v>19420850</v>
      </c>
      <c r="M82" s="671">
        <v>12708216</v>
      </c>
      <c r="N82" s="45">
        <v>30075000</v>
      </c>
      <c r="O82" s="45"/>
      <c r="P82" s="45">
        <v>1600000</v>
      </c>
      <c r="Q82" s="45">
        <f>SUM(N82+O82-P82)</f>
        <v>28475000</v>
      </c>
      <c r="R82" s="45"/>
      <c r="S82" s="45"/>
      <c r="T82" s="45"/>
      <c r="U82" s="45"/>
      <c r="V82" s="63"/>
      <c r="W82" s="63"/>
      <c r="X82" s="243">
        <f>SUM(U82)</f>
        <v>0</v>
      </c>
      <c r="Y82" s="255"/>
      <c r="Z82" s="63">
        <f>SUM(Q82-R82-T82-V82-W82-X82-Y82)</f>
        <v>28475000</v>
      </c>
      <c r="AA82" s="686">
        <v>30075000</v>
      </c>
      <c r="AB82" s="686">
        <v>8427000</v>
      </c>
      <c r="AC82" s="63">
        <f t="shared" si="35"/>
        <v>21648000</v>
      </c>
      <c r="AD82" s="255">
        <f>SUM(Z82-AB82)</f>
        <v>20048000</v>
      </c>
      <c r="AE82" s="688">
        <v>20000000</v>
      </c>
      <c r="AF82" s="255">
        <f>SUM(AD82-AE82)</f>
        <v>48000</v>
      </c>
      <c r="AG82" s="614">
        <f>SUM(R82+T82+V82+Y82+W82+AB82)</f>
        <v>8427000</v>
      </c>
      <c r="AH82" s="256">
        <f>AB82/(AB82+AE82+AF82)</f>
        <v>0.29594381035996487</v>
      </c>
      <c r="AI82" s="257"/>
      <c r="AJ82" s="258"/>
      <c r="AK82" s="259" t="e">
        <f>SUM(AD82-AE82-#REF!-#REF!)</f>
        <v>#REF!</v>
      </c>
      <c r="AL82" s="260">
        <f>SUM(Q82-(AD82+X82))/Q82</f>
        <v>0.29594381035996487</v>
      </c>
      <c r="AM82" s="162"/>
      <c r="AN82" s="247"/>
      <c r="AO82" s="261"/>
      <c r="AP82" s="77"/>
      <c r="AQ82" s="77"/>
      <c r="AR82" s="301"/>
      <c r="AU82" s="113"/>
    </row>
    <row r="83" spans="1:47" s="28" customFormat="1" ht="36" x14ac:dyDescent="0.35">
      <c r="A83" s="27" t="s">
        <v>100</v>
      </c>
      <c r="B83" s="38">
        <v>2</v>
      </c>
      <c r="C83" s="38">
        <v>0</v>
      </c>
      <c r="D83" s="38">
        <v>4</v>
      </c>
      <c r="E83" s="38">
        <v>21</v>
      </c>
      <c r="F83" s="38">
        <v>5</v>
      </c>
      <c r="G83" s="38" t="s">
        <v>147</v>
      </c>
      <c r="H83" s="25">
        <v>10</v>
      </c>
      <c r="I83" s="25" t="s">
        <v>88</v>
      </c>
      <c r="J83" s="42" t="s">
        <v>153</v>
      </c>
      <c r="K83" s="671">
        <v>0</v>
      </c>
      <c r="L83" s="671">
        <v>110312960</v>
      </c>
      <c r="M83" s="671"/>
      <c r="N83" s="45"/>
      <c r="O83" s="45"/>
      <c r="P83" s="45"/>
      <c r="Q83" s="45">
        <f>SUM(N83+O83-P83)</f>
        <v>0</v>
      </c>
      <c r="R83" s="45"/>
      <c r="S83" s="45"/>
      <c r="T83" s="45"/>
      <c r="U83" s="45"/>
      <c r="V83" s="63"/>
      <c r="W83" s="63"/>
      <c r="X83" s="243">
        <f>SUM(U83)</f>
        <v>0</v>
      </c>
      <c r="Y83" s="255"/>
      <c r="Z83" s="63">
        <f>SUM(Q83-R83-T83-V83-W83-X83-Y83)</f>
        <v>0</v>
      </c>
      <c r="AA83" s="63"/>
      <c r="AB83" s="63"/>
      <c r="AC83" s="63">
        <f t="shared" si="35"/>
        <v>0</v>
      </c>
      <c r="AD83" s="255">
        <f>SUM(Z83-AB83)</f>
        <v>0</v>
      </c>
      <c r="AE83" s="255"/>
      <c r="AF83" s="255">
        <f>SUM(AD83-AE83)</f>
        <v>0</v>
      </c>
      <c r="AG83" s="614">
        <f>SUM(R83+T83+V83+Y83+W83+AB83)</f>
        <v>0</v>
      </c>
      <c r="AH83" s="256"/>
      <c r="AI83" s="257"/>
      <c r="AJ83" s="258"/>
      <c r="AK83" s="259" t="e">
        <f>SUM(AD83-AE83-#REF!-#REF!)</f>
        <v>#REF!</v>
      </c>
      <c r="AL83" s="260" t="e">
        <f>SUM(Q83-(AD83+X83))/Q83</f>
        <v>#DIV/0!</v>
      </c>
      <c r="AM83" s="162"/>
      <c r="AN83" s="247"/>
      <c r="AO83" s="261"/>
      <c r="AP83" s="77"/>
      <c r="AQ83" s="77"/>
      <c r="AR83" s="306"/>
      <c r="AU83" s="113"/>
    </row>
    <row r="84" spans="1:47" s="28" customFormat="1" ht="36" x14ac:dyDescent="0.35">
      <c r="A84" s="27" t="s">
        <v>100</v>
      </c>
      <c r="B84" s="38">
        <v>2</v>
      </c>
      <c r="C84" s="38">
        <v>0</v>
      </c>
      <c r="D84" s="38">
        <v>4</v>
      </c>
      <c r="E84" s="38">
        <v>21</v>
      </c>
      <c r="F84" s="38">
        <v>8</v>
      </c>
      <c r="G84" s="38" t="s">
        <v>147</v>
      </c>
      <c r="H84" s="25">
        <v>10</v>
      </c>
      <c r="I84" s="25" t="s">
        <v>88</v>
      </c>
      <c r="J84" s="42" t="s">
        <v>126</v>
      </c>
      <c r="K84" s="671">
        <v>14847202</v>
      </c>
      <c r="L84" s="671">
        <v>17200000</v>
      </c>
      <c r="M84" s="671">
        <v>15676513</v>
      </c>
      <c r="N84" s="45">
        <v>17000000</v>
      </c>
      <c r="O84" s="45"/>
      <c r="P84" s="45"/>
      <c r="Q84" s="45">
        <f>SUM(N84+O84-P84)</f>
        <v>17000000</v>
      </c>
      <c r="R84" s="45"/>
      <c r="S84" s="45"/>
      <c r="T84" s="45"/>
      <c r="U84" s="45"/>
      <c r="V84" s="63"/>
      <c r="W84" s="63"/>
      <c r="X84" s="243">
        <f>SUM(U84)</f>
        <v>0</v>
      </c>
      <c r="Y84" s="255"/>
      <c r="Z84" s="63">
        <f>SUM(Q84-R84-T84-V84-W84-X84-Y84)</f>
        <v>17000000</v>
      </c>
      <c r="AA84" s="686">
        <v>17000000</v>
      </c>
      <c r="AB84" s="63"/>
      <c r="AC84" s="63">
        <f t="shared" si="35"/>
        <v>17000000</v>
      </c>
      <c r="AD84" s="255">
        <f>SUM(Z84-AB84)</f>
        <v>17000000</v>
      </c>
      <c r="AE84" s="688">
        <v>17000000</v>
      </c>
      <c r="AF84" s="255">
        <f>SUM(AD84-AE84)</f>
        <v>0</v>
      </c>
      <c r="AG84" s="614">
        <f>SUM(R84+T84+V84+Y84+W84+AB84)</f>
        <v>0</v>
      </c>
      <c r="AH84" s="256">
        <f>AB84/(AB84+AE84+AF84)</f>
        <v>0</v>
      </c>
      <c r="AI84" s="257"/>
      <c r="AJ84" s="258"/>
      <c r="AK84" s="259" t="e">
        <f>SUM(AD84-AE84-#REF!-#REF!)</f>
        <v>#REF!</v>
      </c>
      <c r="AL84" s="260">
        <f>SUM(Q84-(AD84+X84))/Q84</f>
        <v>0</v>
      </c>
      <c r="AM84" s="162"/>
      <c r="AN84" s="247"/>
      <c r="AO84" s="261"/>
      <c r="AP84" s="77"/>
      <c r="AQ84" s="77"/>
      <c r="AR84" s="112"/>
      <c r="AU84" s="113"/>
    </row>
    <row r="85" spans="1:47" s="34" customFormat="1" ht="28.5" x14ac:dyDescent="0.35">
      <c r="A85" s="31"/>
      <c r="B85" s="32"/>
      <c r="C85" s="32"/>
      <c r="D85" s="32"/>
      <c r="E85" s="32"/>
      <c r="F85" s="32"/>
      <c r="G85" s="32"/>
      <c r="H85" s="33"/>
      <c r="I85" s="33"/>
      <c r="J85" s="35" t="s">
        <v>398</v>
      </c>
      <c r="K85" s="264">
        <f t="shared" ref="K85:Q85" si="42">SUM(K82:K84)</f>
        <v>32041202</v>
      </c>
      <c r="L85" s="264">
        <f t="shared" si="42"/>
        <v>146933810</v>
      </c>
      <c r="M85" s="264">
        <f t="shared" si="42"/>
        <v>28384729</v>
      </c>
      <c r="N85" s="265">
        <f t="shared" si="42"/>
        <v>47075000</v>
      </c>
      <c r="O85" s="265">
        <f t="shared" si="42"/>
        <v>0</v>
      </c>
      <c r="P85" s="265">
        <f t="shared" si="42"/>
        <v>1600000</v>
      </c>
      <c r="Q85" s="265">
        <f t="shared" si="42"/>
        <v>45475000</v>
      </c>
      <c r="R85" s="337"/>
      <c r="S85" s="337">
        <f t="shared" ref="S85:AF85" si="43">SUM(S82:S84)</f>
        <v>0</v>
      </c>
      <c r="T85" s="337">
        <f t="shared" si="43"/>
        <v>0</v>
      </c>
      <c r="U85" s="337">
        <f t="shared" si="43"/>
        <v>0</v>
      </c>
      <c r="V85" s="39">
        <f t="shared" si="43"/>
        <v>0</v>
      </c>
      <c r="W85" s="39">
        <f t="shared" si="43"/>
        <v>0</v>
      </c>
      <c r="X85" s="322">
        <f t="shared" si="43"/>
        <v>0</v>
      </c>
      <c r="Y85" s="39">
        <f t="shared" si="43"/>
        <v>0</v>
      </c>
      <c r="Z85" s="39">
        <f t="shared" si="43"/>
        <v>45475000</v>
      </c>
      <c r="AA85" s="39">
        <f t="shared" si="43"/>
        <v>47075000</v>
      </c>
      <c r="AB85" s="39">
        <f t="shared" si="43"/>
        <v>8427000</v>
      </c>
      <c r="AC85" s="39">
        <f t="shared" si="43"/>
        <v>38648000</v>
      </c>
      <c r="AD85" s="39">
        <f t="shared" si="43"/>
        <v>37048000</v>
      </c>
      <c r="AE85" s="39">
        <f t="shared" si="43"/>
        <v>37000000</v>
      </c>
      <c r="AF85" s="39">
        <f t="shared" si="43"/>
        <v>48000</v>
      </c>
      <c r="AG85" s="349"/>
      <c r="AH85" s="279">
        <f>SUM(AB85/Z85)</f>
        <v>0.18531061022539858</v>
      </c>
      <c r="AI85" s="39"/>
      <c r="AJ85" s="39"/>
      <c r="AK85" s="270" t="e">
        <f>SUM(AD85-AE85-#REF!-#REF!)</f>
        <v>#REF!</v>
      </c>
      <c r="AL85" s="271">
        <f>SUM(Q85-(AD85+X85))/Q85</f>
        <v>0.18531061022539858</v>
      </c>
      <c r="AM85" s="193"/>
      <c r="AN85" s="272"/>
      <c r="AO85" s="273"/>
      <c r="AP85" s="274"/>
      <c r="AQ85" s="274"/>
      <c r="AR85" s="275"/>
      <c r="AU85" s="276"/>
    </row>
    <row r="86" spans="1:47" s="107" customFormat="1" ht="51" customHeight="1" x14ac:dyDescent="0.35">
      <c r="A86" s="339"/>
      <c r="B86" s="740" t="s">
        <v>399</v>
      </c>
      <c r="C86" s="741"/>
      <c r="D86" s="741"/>
      <c r="E86" s="741"/>
      <c r="F86" s="741"/>
      <c r="G86" s="741"/>
      <c r="H86" s="741"/>
      <c r="I86" s="741"/>
      <c r="J86" s="742"/>
      <c r="K86" s="650"/>
      <c r="L86" s="650"/>
      <c r="M86" s="650"/>
      <c r="N86" s="45"/>
      <c r="O86" s="45"/>
      <c r="P86" s="45"/>
      <c r="Q86" s="45"/>
      <c r="R86" s="45"/>
      <c r="S86" s="45"/>
      <c r="T86" s="45"/>
      <c r="U86" s="45"/>
      <c r="V86" s="63"/>
      <c r="W86" s="63"/>
      <c r="X86" s="350"/>
      <c r="Y86" s="351"/>
      <c r="Z86" s="63">
        <v>0</v>
      </c>
      <c r="AA86" s="63"/>
      <c r="AB86" s="63"/>
      <c r="AC86" s="63"/>
      <c r="AD86" s="351"/>
      <c r="AE86" s="351"/>
      <c r="AF86" s="351"/>
      <c r="AG86" s="616"/>
      <c r="AH86" s="256"/>
      <c r="AI86" s="257"/>
      <c r="AJ86" s="258"/>
      <c r="AK86" s="259"/>
      <c r="AL86" s="260"/>
      <c r="AM86" s="162"/>
      <c r="AN86" s="316"/>
      <c r="AO86" s="261"/>
      <c r="AP86" s="77"/>
      <c r="AQ86" s="77"/>
      <c r="AR86" s="170"/>
      <c r="AU86" s="171"/>
    </row>
    <row r="87" spans="1:47" s="107" customFormat="1" ht="51" customHeight="1" x14ac:dyDescent="0.35">
      <c r="A87" s="352"/>
      <c r="B87" s="26">
        <v>2</v>
      </c>
      <c r="C87" s="26">
        <v>0</v>
      </c>
      <c r="D87" s="26">
        <v>4</v>
      </c>
      <c r="E87" s="26">
        <v>41</v>
      </c>
      <c r="F87" s="26">
        <v>13</v>
      </c>
      <c r="G87" s="26"/>
      <c r="H87" s="26">
        <v>10</v>
      </c>
      <c r="I87" s="26" t="s">
        <v>88</v>
      </c>
      <c r="J87" s="36" t="s">
        <v>399</v>
      </c>
      <c r="K87" s="671"/>
      <c r="L87" s="671"/>
      <c r="M87" s="671"/>
      <c r="N87" s="45">
        <v>1400000</v>
      </c>
      <c r="O87" s="45">
        <v>260000000</v>
      </c>
      <c r="P87" s="45"/>
      <c r="Q87" s="45">
        <f>SUM(N87+O87-P87)</f>
        <v>261400000</v>
      </c>
      <c r="R87" s="45"/>
      <c r="S87" s="45"/>
      <c r="T87" s="45"/>
      <c r="U87" s="45"/>
      <c r="V87" s="63"/>
      <c r="W87" s="63"/>
      <c r="X87" s="243">
        <f>SUM(U87)</f>
        <v>0</v>
      </c>
      <c r="Y87" s="351"/>
      <c r="Z87" s="63">
        <f>SUM(Q87-R87-T87-V87-W87-X87-Y87)</f>
        <v>261400000</v>
      </c>
      <c r="AA87" s="686">
        <v>261400000</v>
      </c>
      <c r="AB87" s="686"/>
      <c r="AC87" s="63">
        <f>SUM(AA87-AB87)</f>
        <v>261400000</v>
      </c>
      <c r="AD87" s="351">
        <f>SUM(Z87-AB87)</f>
        <v>261400000</v>
      </c>
      <c r="AE87" s="691">
        <v>261400000</v>
      </c>
      <c r="AF87" s="255">
        <f>SUM(AD87-AE87)</f>
        <v>0</v>
      </c>
      <c r="AG87" s="614">
        <f>SUM(R87+T87+V87+Y87+W87+AB87)</f>
        <v>0</v>
      </c>
      <c r="AH87" s="256"/>
      <c r="AI87" s="257"/>
      <c r="AJ87" s="258"/>
      <c r="AK87" s="259" t="e">
        <f>SUM(AD87-AE87-#REF!-#REF!)</f>
        <v>#REF!</v>
      </c>
      <c r="AL87" s="260">
        <f t="shared" ref="AL87:AL92" si="44">SUM(Q87-(AD87+X87))/Q87</f>
        <v>0</v>
      </c>
      <c r="AM87" s="162"/>
      <c r="AN87" s="353"/>
      <c r="AO87" s="261"/>
      <c r="AP87" s="77"/>
      <c r="AQ87" s="77"/>
      <c r="AR87" s="170"/>
      <c r="AU87" s="171"/>
    </row>
    <row r="88" spans="1:47" s="107" customFormat="1" ht="51" customHeight="1" x14ac:dyDescent="0.35">
      <c r="A88" s="352"/>
      <c r="B88" s="32"/>
      <c r="C88" s="32"/>
      <c r="D88" s="32"/>
      <c r="E88" s="32"/>
      <c r="F88" s="32"/>
      <c r="G88" s="32"/>
      <c r="H88" s="33"/>
      <c r="I88" s="33"/>
      <c r="J88" s="35" t="s">
        <v>400</v>
      </c>
      <c r="K88" s="264"/>
      <c r="L88" s="264"/>
      <c r="M88" s="264"/>
      <c r="N88" s="354">
        <f>SUM(N87)</f>
        <v>1400000</v>
      </c>
      <c r="O88" s="354"/>
      <c r="P88" s="354">
        <f>SUM(P87)</f>
        <v>0</v>
      </c>
      <c r="Q88" s="354">
        <f>SUM(Q87)</f>
        <v>261400000</v>
      </c>
      <c r="R88" s="355"/>
      <c r="S88" s="355"/>
      <c r="T88" s="355"/>
      <c r="U88" s="355"/>
      <c r="V88" s="39">
        <f>SUM(V87)</f>
        <v>0</v>
      </c>
      <c r="W88" s="39">
        <f t="shared" ref="W88:AF88" si="45">SUM(W87)</f>
        <v>0</v>
      </c>
      <c r="X88" s="322">
        <f t="shared" si="45"/>
        <v>0</v>
      </c>
      <c r="Y88" s="39">
        <f t="shared" si="45"/>
        <v>0</v>
      </c>
      <c r="Z88" s="39">
        <f t="shared" si="45"/>
        <v>261400000</v>
      </c>
      <c r="AA88" s="39">
        <f t="shared" si="45"/>
        <v>261400000</v>
      </c>
      <c r="AB88" s="39">
        <f t="shared" si="45"/>
        <v>0</v>
      </c>
      <c r="AC88" s="39">
        <f t="shared" si="45"/>
        <v>261400000</v>
      </c>
      <c r="AD88" s="39">
        <f t="shared" si="45"/>
        <v>261400000</v>
      </c>
      <c r="AE88" s="39">
        <f t="shared" si="45"/>
        <v>261400000</v>
      </c>
      <c r="AF88" s="39">
        <f t="shared" si="45"/>
        <v>0</v>
      </c>
      <c r="AG88" s="349"/>
      <c r="AH88" s="356"/>
      <c r="AI88" s="39"/>
      <c r="AJ88" s="39"/>
      <c r="AK88" s="357"/>
      <c r="AL88" s="358">
        <f t="shared" si="44"/>
        <v>0</v>
      </c>
      <c r="AM88" s="193"/>
      <c r="AN88" s="272"/>
      <c r="AO88" s="273"/>
      <c r="AP88" s="274"/>
      <c r="AQ88" s="274"/>
      <c r="AR88" s="170"/>
      <c r="AU88" s="171"/>
    </row>
    <row r="89" spans="1:47" s="28" customFormat="1" ht="29.25" customHeight="1" x14ac:dyDescent="0.35">
      <c r="A89" s="27"/>
      <c r="B89" s="26"/>
      <c r="C89" s="26"/>
      <c r="D89" s="26"/>
      <c r="E89" s="26"/>
      <c r="F89" s="26"/>
      <c r="G89" s="26"/>
      <c r="H89" s="26"/>
      <c r="I89" s="26"/>
      <c r="J89" s="36" t="s">
        <v>401</v>
      </c>
      <c r="K89" s="359"/>
      <c r="L89" s="359"/>
      <c r="M89" s="359"/>
      <c r="N89" s="360">
        <f>SUM(N22+N25+N36+N45+N51+N57+N63+N70+N74+N80+N85+N86+N88)</f>
        <v>2601173403</v>
      </c>
      <c r="O89" s="360">
        <f>SUM(O22+O25+O36+O45+O51+O57+O63+O70+O74+O80+O85+O86+O88)</f>
        <v>154287958</v>
      </c>
      <c r="P89" s="360">
        <f>SUM(P22+P25+P36+P45+P51+P57+P63+P70+P74+P80+P85+P86+P88)</f>
        <v>465382958</v>
      </c>
      <c r="Q89" s="360">
        <f>SUM(Q22+Q25+Q36+Q45+Q51+Q57+Q63+Q70+Q74+Q80+Q85+Q86+Q88)</f>
        <v>2550078403</v>
      </c>
      <c r="R89" s="361">
        <f>SUM(R22+R25+R36+R45+R51+R57+R63+R70+R74+R80+R85)</f>
        <v>12770000</v>
      </c>
      <c r="S89" s="361">
        <f>SUM(S22+S25+S36+S45+S51+S57+S63+S70+S74+S80+S85)</f>
        <v>57559839.5</v>
      </c>
      <c r="T89" s="361">
        <f>SUM(T22+T25+T36+T45+T51+T57+T63+T70+T74+T80+T85)</f>
        <v>44588574.5</v>
      </c>
      <c r="U89" s="361">
        <f>SUM(U22+U25+U36+U45+U51+U57+U63+U70+U74+U80+U85)</f>
        <v>12971265</v>
      </c>
      <c r="V89" s="334">
        <f>SUM(V22+V25+V36+V45+V51+V57+V70+V74+V80+V85+V86)</f>
        <v>7638160.5</v>
      </c>
      <c r="W89" s="334">
        <f>SUM(W22+W25+W36+W45+W51+W57+W70+W74+W80+W85+W86)</f>
        <v>835304191.09000003</v>
      </c>
      <c r="X89" s="362">
        <f>SUM(X22+X25+X36+X45+X51+X57+X70+X74+X80+X85+X86)</f>
        <v>12971265</v>
      </c>
      <c r="Y89" s="334">
        <f>SUM(Y22+Y25+Y36+Y45+Y51+Y57+Y70+Y74+Y80+Y85+Y86)</f>
        <v>242584964.59999999</v>
      </c>
      <c r="Z89" s="334">
        <f>SUM(Z22+Z25+Z36+Z45+Z51+Z57+Z70+Z74+Z80+Z85+Z87)</f>
        <v>1108571247.3099999</v>
      </c>
      <c r="AA89" s="334">
        <f>SUM(AA22+AA25+AA36+AA45+AA51+AA57+AA70+AA74+AA80+AA85+AA87)</f>
        <v>1189483748</v>
      </c>
      <c r="AB89" s="334">
        <f>SUM(AB22+AB25+AB36+AB45+AB51+AB57+AB70+AB74+AB80+AB85+AB87)</f>
        <v>470581756.31999999</v>
      </c>
      <c r="AC89" s="334">
        <f t="shared" ref="AC89:AD89" si="46">SUM(AC22+AC25+AC36+AC45+AC51+AC57+AC70+AC74+AC80+AC85+AC87)</f>
        <v>725390197.68000007</v>
      </c>
      <c r="AD89" s="334">
        <f t="shared" si="46"/>
        <v>637989490.99000001</v>
      </c>
      <c r="AE89" s="334">
        <f>SUM(AE22+AE25+AE36+AE45+AE51+AE57+AE70+AE74+AE80+AE85+AE87)</f>
        <v>613346400</v>
      </c>
      <c r="AF89" s="334">
        <f>SUM(AF22+AF25+AF36+AF45+AF51+AF57+AF70+AF74+AF80+AF85+AF87)</f>
        <v>24643090.989999995</v>
      </c>
      <c r="AG89" s="617">
        <f>SUM(R89+T89+V89+Y89+W89+AB89)</f>
        <v>1613467647.01</v>
      </c>
      <c r="AH89" s="363">
        <f>AB89/(AB89+AE89+AF89)</f>
        <v>0.42449392175910089</v>
      </c>
      <c r="AI89" s="364"/>
      <c r="AJ89" s="365"/>
      <c r="AK89" s="366" t="e">
        <f>SUM(AD89-AE89-#REF!-#REF!)</f>
        <v>#REF!</v>
      </c>
      <c r="AL89" s="367">
        <f t="shared" si="44"/>
        <v>0.74472912078931086</v>
      </c>
      <c r="AM89" s="368"/>
      <c r="AN89" s="247"/>
      <c r="AO89" s="261"/>
      <c r="AP89" s="77"/>
      <c r="AQ89" s="77"/>
      <c r="AR89" s="112"/>
      <c r="AU89" s="113"/>
    </row>
    <row r="90" spans="1:47" s="28" customFormat="1" ht="30" x14ac:dyDescent="0.35">
      <c r="A90" s="27"/>
      <c r="B90" s="26"/>
      <c r="C90" s="26"/>
      <c r="D90" s="26"/>
      <c r="E90" s="26"/>
      <c r="F90" s="26"/>
      <c r="G90" s="26"/>
      <c r="H90" s="26"/>
      <c r="I90" s="26"/>
      <c r="J90" s="36" t="s">
        <v>402</v>
      </c>
      <c r="K90" s="359"/>
      <c r="L90" s="359"/>
      <c r="M90" s="359"/>
      <c r="N90" s="360">
        <f>SUM(N8)</f>
        <v>124423893</v>
      </c>
      <c r="O90" s="360">
        <f>SUM(O8)</f>
        <v>0</v>
      </c>
      <c r="P90" s="360">
        <f>SUM(P8)</f>
        <v>0</v>
      </c>
      <c r="Q90" s="360">
        <f>SUM(Q8)</f>
        <v>124423893</v>
      </c>
      <c r="R90" s="361"/>
      <c r="S90" s="361">
        <f t="shared" ref="S90:AF90" si="47">SUM(S8)</f>
        <v>0</v>
      </c>
      <c r="T90" s="361">
        <f t="shared" si="47"/>
        <v>0</v>
      </c>
      <c r="U90" s="361">
        <f t="shared" si="47"/>
        <v>0</v>
      </c>
      <c r="V90" s="334">
        <f t="shared" si="47"/>
        <v>1500000</v>
      </c>
      <c r="W90" s="334">
        <f t="shared" si="47"/>
        <v>6961500</v>
      </c>
      <c r="X90" s="362">
        <f t="shared" si="47"/>
        <v>0</v>
      </c>
      <c r="Y90" s="334">
        <f t="shared" si="47"/>
        <v>0</v>
      </c>
      <c r="Z90" s="334">
        <f t="shared" si="47"/>
        <v>116462393</v>
      </c>
      <c r="AA90" s="334">
        <f t="shared" si="47"/>
        <v>117882684</v>
      </c>
      <c r="AB90" s="334">
        <f t="shared" si="47"/>
        <v>104921450</v>
      </c>
      <c r="AC90" s="334">
        <f t="shared" si="47"/>
        <v>12961234</v>
      </c>
      <c r="AD90" s="334">
        <f t="shared" si="47"/>
        <v>11540943</v>
      </c>
      <c r="AE90" s="334">
        <f t="shared" si="47"/>
        <v>5162484</v>
      </c>
      <c r="AF90" s="334">
        <f t="shared" si="47"/>
        <v>6378459</v>
      </c>
      <c r="AG90" s="617">
        <f>SUM(R90+T90+V90+Y90+W90+AB90)</f>
        <v>113382950</v>
      </c>
      <c r="AH90" s="363">
        <f>AB90/(AB90+AE90+AF90)</f>
        <v>0.90090412275832255</v>
      </c>
      <c r="AI90" s="364"/>
      <c r="AJ90" s="365"/>
      <c r="AK90" s="366" t="e">
        <f>SUM(AD90-AE90-#REF!-#REF!)</f>
        <v>#REF!</v>
      </c>
      <c r="AL90" s="367">
        <f t="shared" si="44"/>
        <v>0.90724496138374322</v>
      </c>
      <c r="AM90" s="368"/>
      <c r="AN90" s="247"/>
      <c r="AO90" s="261"/>
      <c r="AP90" s="77"/>
      <c r="AQ90" s="77"/>
      <c r="AR90" s="112"/>
      <c r="AU90" s="113"/>
    </row>
    <row r="91" spans="1:47" s="28" customFormat="1" x14ac:dyDescent="0.35">
      <c r="A91" s="27"/>
      <c r="B91" s="26"/>
      <c r="C91" s="26"/>
      <c r="D91" s="26"/>
      <c r="E91" s="26"/>
      <c r="F91" s="26"/>
      <c r="G91" s="26"/>
      <c r="H91" s="26"/>
      <c r="I91" s="26"/>
      <c r="J91" s="36" t="s">
        <v>403</v>
      </c>
      <c r="K91" s="359"/>
      <c r="L91" s="359"/>
      <c r="M91" s="359"/>
      <c r="N91" s="360">
        <f t="shared" ref="N91:AF91" si="48">SUM(N13)</f>
        <v>29870000</v>
      </c>
      <c r="O91" s="360">
        <f t="shared" si="48"/>
        <v>8095000</v>
      </c>
      <c r="P91" s="360">
        <f t="shared" si="48"/>
        <v>0</v>
      </c>
      <c r="Q91" s="360">
        <f t="shared" si="48"/>
        <v>37965000</v>
      </c>
      <c r="R91" s="361">
        <f t="shared" si="48"/>
        <v>0</v>
      </c>
      <c r="S91" s="361">
        <f t="shared" si="48"/>
        <v>0</v>
      </c>
      <c r="T91" s="361">
        <f t="shared" si="48"/>
        <v>0</v>
      </c>
      <c r="U91" s="361">
        <f t="shared" si="48"/>
        <v>0</v>
      </c>
      <c r="V91" s="334">
        <f t="shared" si="48"/>
        <v>37965000</v>
      </c>
      <c r="W91" s="334">
        <f t="shared" si="48"/>
        <v>0</v>
      </c>
      <c r="X91" s="362">
        <f t="shared" si="48"/>
        <v>0</v>
      </c>
      <c r="Y91" s="334">
        <f t="shared" si="48"/>
        <v>0</v>
      </c>
      <c r="Z91" s="334">
        <f t="shared" si="48"/>
        <v>0</v>
      </c>
      <c r="AA91" s="334">
        <f t="shared" si="48"/>
        <v>0</v>
      </c>
      <c r="AB91" s="334">
        <f t="shared" si="48"/>
        <v>0</v>
      </c>
      <c r="AC91" s="334">
        <f t="shared" si="48"/>
        <v>0</v>
      </c>
      <c r="AD91" s="334">
        <f t="shared" si="48"/>
        <v>0</v>
      </c>
      <c r="AE91" s="334">
        <f t="shared" si="48"/>
        <v>0</v>
      </c>
      <c r="AF91" s="334">
        <f t="shared" si="48"/>
        <v>0</v>
      </c>
      <c r="AG91" s="617">
        <f>SUM(R91+T91+V91+Y91+W91+AB91)</f>
        <v>37965000</v>
      </c>
      <c r="AH91" s="363"/>
      <c r="AI91" s="364"/>
      <c r="AJ91" s="365"/>
      <c r="AK91" s="366" t="e">
        <f>SUM(AD91-AE91-#REF!-#REF!)</f>
        <v>#REF!</v>
      </c>
      <c r="AL91" s="367">
        <f t="shared" si="44"/>
        <v>1</v>
      </c>
      <c r="AM91" s="368"/>
      <c r="AN91" s="247"/>
      <c r="AO91" s="261"/>
      <c r="AP91" s="77"/>
      <c r="AQ91" s="77"/>
      <c r="AR91" s="112"/>
      <c r="AU91" s="113"/>
    </row>
    <row r="92" spans="1:47" s="28" customFormat="1" x14ac:dyDescent="0.35">
      <c r="A92" s="27"/>
      <c r="B92" s="26"/>
      <c r="C92" s="26"/>
      <c r="D92" s="26"/>
      <c r="E92" s="26"/>
      <c r="F92" s="26"/>
      <c r="G92" s="26"/>
      <c r="H92" s="26"/>
      <c r="I92" s="26"/>
      <c r="J92" s="36" t="s">
        <v>404</v>
      </c>
      <c r="K92" s="359"/>
      <c r="L92" s="359"/>
      <c r="M92" s="359"/>
      <c r="N92" s="360">
        <f>SUM(N89:N91)</f>
        <v>2755467296</v>
      </c>
      <c r="O92" s="360">
        <f>SUM(O89:O91)</f>
        <v>162382958</v>
      </c>
      <c r="P92" s="360">
        <f>SUM(P89:P91)</f>
        <v>465382958</v>
      </c>
      <c r="Q92" s="360">
        <f>SUM(Q89:Q91)</f>
        <v>2712467296</v>
      </c>
      <c r="R92" s="361"/>
      <c r="S92" s="361">
        <f t="shared" ref="S92:AE92" si="49">SUM(S89:S91)</f>
        <v>57559839.5</v>
      </c>
      <c r="T92" s="361">
        <f t="shared" si="49"/>
        <v>44588574.5</v>
      </c>
      <c r="U92" s="361">
        <f t="shared" si="49"/>
        <v>12971265</v>
      </c>
      <c r="V92" s="334">
        <f t="shared" si="49"/>
        <v>47103160.5</v>
      </c>
      <c r="W92" s="334">
        <f t="shared" si="49"/>
        <v>842265691.09000003</v>
      </c>
      <c r="X92" s="362">
        <f t="shared" si="49"/>
        <v>12971265</v>
      </c>
      <c r="Y92" s="334">
        <f t="shared" si="49"/>
        <v>242584964.59999999</v>
      </c>
      <c r="Z92" s="334">
        <f t="shared" si="49"/>
        <v>1225033640.3099999</v>
      </c>
      <c r="AA92" s="334">
        <f t="shared" si="49"/>
        <v>1307366432</v>
      </c>
      <c r="AB92" s="334">
        <f>SUM(AB89:AB91)</f>
        <v>575503206.31999993</v>
      </c>
      <c r="AC92" s="334">
        <f t="shared" si="49"/>
        <v>738351431.68000007</v>
      </c>
      <c r="AD92" s="334">
        <f t="shared" si="49"/>
        <v>649530433.99000001</v>
      </c>
      <c r="AE92" s="334">
        <f t="shared" si="49"/>
        <v>618508884</v>
      </c>
      <c r="AF92" s="334">
        <f>SUM(AD92-AE92)</f>
        <v>31021549.99000001</v>
      </c>
      <c r="AG92" s="617">
        <f>SUM(AG89:AG91)</f>
        <v>1764815597.01</v>
      </c>
      <c r="AH92" s="363">
        <f>AB92/(AB92+AE92+AF92)</f>
        <v>0.46978563476376567</v>
      </c>
      <c r="AI92" s="364"/>
      <c r="AJ92" s="365"/>
      <c r="AK92" s="366" t="e">
        <f>SUM(AD92-AE92-#REF!-#REF!)</f>
        <v>#REF!</v>
      </c>
      <c r="AL92" s="367">
        <f t="shared" si="44"/>
        <v>0.75575679752269354</v>
      </c>
      <c r="AM92" s="368"/>
      <c r="AN92" s="247"/>
      <c r="AO92" s="248"/>
      <c r="AP92" s="77"/>
      <c r="AQ92" s="77"/>
      <c r="AR92" s="112"/>
      <c r="AU92" s="113"/>
    </row>
    <row r="93" spans="1:47" s="28" customFormat="1" ht="27" customHeight="1" x14ac:dyDescent="0.35">
      <c r="A93" s="369"/>
      <c r="B93" s="803" t="s">
        <v>347</v>
      </c>
      <c r="C93" s="804"/>
      <c r="D93" s="804"/>
      <c r="E93" s="804"/>
      <c r="F93" s="804"/>
      <c r="G93" s="804"/>
      <c r="H93" s="804"/>
      <c r="I93" s="805"/>
      <c r="J93" s="35"/>
      <c r="K93" s="264"/>
      <c r="L93" s="264"/>
      <c r="M93" s="793" t="s">
        <v>405</v>
      </c>
      <c r="N93" s="354"/>
      <c r="O93" s="354"/>
      <c r="P93" s="354"/>
      <c r="Q93" s="354">
        <f>SUM(N89+O89-P89)</f>
        <v>2290078403</v>
      </c>
      <c r="R93" s="370"/>
      <c r="S93" s="370"/>
      <c r="T93" s="370"/>
      <c r="U93" s="370">
        <f>SUM(S92-T92)</f>
        <v>12971265</v>
      </c>
      <c r="V93" s="371">
        <f>SUM(V92)</f>
        <v>47103160.5</v>
      </c>
      <c r="W93" s="354"/>
      <c r="X93" s="372"/>
      <c r="Y93" s="373"/>
      <c r="Z93" s="374">
        <f>SUM(Q89-R89-T89-V89-W89-X89-Y89)</f>
        <v>1394221247.3099999</v>
      </c>
      <c r="AA93" s="375"/>
      <c r="AB93" s="374"/>
      <c r="AC93" s="374">
        <f>SUM(AA92-AB92)</f>
        <v>731863225.68000007</v>
      </c>
      <c r="AD93" s="373">
        <f>(Z89-AB89)</f>
        <v>637989490.99000001</v>
      </c>
      <c r="AE93" s="373">
        <f>SUM(AE8+AE22+AE36+AE45+AE51+AE57+AE70+AE80+AE85)</f>
        <v>354108884</v>
      </c>
      <c r="AF93" s="373"/>
      <c r="AG93" s="376"/>
      <c r="AH93" s="377"/>
      <c r="AI93" s="378"/>
      <c r="AJ93" s="379"/>
      <c r="AK93" s="380" t="e">
        <f>SUM(AD93-AE93-#REF!-#REF!)</f>
        <v>#REF!</v>
      </c>
      <c r="AL93" s="377"/>
      <c r="AM93" s="162"/>
      <c r="AN93" s="381"/>
      <c r="AO93" s="382"/>
      <c r="AP93" s="383"/>
      <c r="AQ93" s="384"/>
      <c r="AR93" s="112"/>
      <c r="AU93" s="113"/>
    </row>
    <row r="94" spans="1:47" s="28" customFormat="1" ht="17.25" customHeight="1" x14ac:dyDescent="0.35">
      <c r="A94" s="369"/>
      <c r="B94" s="806"/>
      <c r="C94" s="807"/>
      <c r="D94" s="807"/>
      <c r="E94" s="807"/>
      <c r="F94" s="807"/>
      <c r="G94" s="807"/>
      <c r="H94" s="807"/>
      <c r="I94" s="808"/>
      <c r="J94" s="35"/>
      <c r="K94" s="264"/>
      <c r="L94" s="264"/>
      <c r="M94" s="793"/>
      <c r="N94" s="354"/>
      <c r="O94" s="354"/>
      <c r="P94" s="354"/>
      <c r="Q94" s="354">
        <f>SUM(N90+O90-P90)</f>
        <v>124423893</v>
      </c>
      <c r="R94" s="370"/>
      <c r="S94" s="370"/>
      <c r="T94" s="370"/>
      <c r="U94" s="370"/>
      <c r="V94" s="371"/>
      <c r="W94" s="354"/>
      <c r="X94" s="385"/>
      <c r="Y94" s="386"/>
      <c r="Z94" s="374">
        <f>SUM(Q90-R90-T90-V90-W90-X90-Y90)</f>
        <v>115962393</v>
      </c>
      <c r="AA94" s="375"/>
      <c r="AB94" s="374"/>
      <c r="AC94" s="374"/>
      <c r="AD94" s="373">
        <f>SUM(Z90-AB90)</f>
        <v>11540943</v>
      </c>
      <c r="AE94" s="387"/>
      <c r="AF94" s="386"/>
      <c r="AG94" s="388"/>
      <c r="AH94" s="389"/>
      <c r="AI94" s="390"/>
      <c r="AJ94" s="379"/>
      <c r="AK94" s="380" t="e">
        <f>SUM(AD94-AE94-#REF!-#REF!)</f>
        <v>#REF!</v>
      </c>
      <c r="AL94" s="391"/>
      <c r="AM94" s="392"/>
      <c r="AN94" s="381"/>
      <c r="AO94" s="379"/>
      <c r="AP94" s="384"/>
      <c r="AQ94" s="384"/>
      <c r="AR94" s="112"/>
      <c r="AU94" s="113"/>
    </row>
    <row r="95" spans="1:47" s="28" customFormat="1" ht="17.25" customHeight="1" x14ac:dyDescent="0.35">
      <c r="A95" s="369"/>
      <c r="B95" s="809"/>
      <c r="C95" s="810"/>
      <c r="D95" s="810"/>
      <c r="E95" s="810"/>
      <c r="F95" s="810"/>
      <c r="G95" s="810"/>
      <c r="H95" s="810"/>
      <c r="I95" s="811"/>
      <c r="J95" s="35"/>
      <c r="K95" s="264"/>
      <c r="L95" s="264"/>
      <c r="M95" s="793"/>
      <c r="N95" s="354"/>
      <c r="O95" s="354"/>
      <c r="P95" s="354">
        <f>SUM(N92+O92-P92)</f>
        <v>2452467296</v>
      </c>
      <c r="Q95" s="354">
        <f>SUM(N91+O91-P91)</f>
        <v>37965000</v>
      </c>
      <c r="R95" s="370"/>
      <c r="S95" s="370"/>
      <c r="T95" s="370"/>
      <c r="U95" s="370"/>
      <c r="V95" s="371"/>
      <c r="W95" s="354"/>
      <c r="X95" s="385"/>
      <c r="Y95" s="386"/>
      <c r="Z95" s="374">
        <f>SUM(Q91-R91-T91-V91-W91-X91-Y91)</f>
        <v>0</v>
      </c>
      <c r="AA95" s="375"/>
      <c r="AB95" s="374"/>
      <c r="AC95" s="374"/>
      <c r="AD95" s="373">
        <f>SUM(Z91-AB91)</f>
        <v>0</v>
      </c>
      <c r="AE95" s="387" t="e">
        <f>SUM(Z91-AB91-#REF!)</f>
        <v>#REF!</v>
      </c>
      <c r="AF95" s="386"/>
      <c r="AG95" s="388"/>
      <c r="AH95" s="389"/>
      <c r="AI95" s="390"/>
      <c r="AJ95" s="379"/>
      <c r="AK95" s="380" t="e">
        <f>SUM(AD95-AE95-#REF!-#REF!)</f>
        <v>#REF!</v>
      </c>
      <c r="AL95" s="391"/>
      <c r="AM95" s="392"/>
      <c r="AN95" s="381"/>
      <c r="AO95" s="379"/>
      <c r="AP95" s="384"/>
      <c r="AQ95" s="384"/>
      <c r="AR95" s="112"/>
      <c r="AU95" s="113"/>
    </row>
    <row r="96" spans="1:47" s="411" customFormat="1" ht="26.25" x14ac:dyDescent="0.35">
      <c r="A96" s="393"/>
      <c r="B96" s="394"/>
      <c r="C96" s="394"/>
      <c r="D96" s="394"/>
      <c r="E96" s="394"/>
      <c r="F96" s="394"/>
      <c r="G96" s="394"/>
      <c r="H96" s="394"/>
      <c r="I96" s="394"/>
      <c r="J96" s="395" t="s">
        <v>406</v>
      </c>
      <c r="K96" s="396"/>
      <c r="L96" s="396"/>
      <c r="M96" s="396"/>
      <c r="N96" s="397">
        <f t="shared" ref="N96:AB96" si="50">SUM(N13+N89)</f>
        <v>2631043403</v>
      </c>
      <c r="O96" s="397">
        <f t="shared" si="50"/>
        <v>162382958</v>
      </c>
      <c r="P96" s="397">
        <f t="shared" si="50"/>
        <v>465382958</v>
      </c>
      <c r="Q96" s="397">
        <f t="shared" si="50"/>
        <v>2588043403</v>
      </c>
      <c r="R96" s="397">
        <f t="shared" si="50"/>
        <v>12770000</v>
      </c>
      <c r="S96" s="397">
        <f t="shared" si="50"/>
        <v>57559839.5</v>
      </c>
      <c r="T96" s="397">
        <f t="shared" si="50"/>
        <v>44588574.5</v>
      </c>
      <c r="U96" s="397">
        <f t="shared" si="50"/>
        <v>12971265</v>
      </c>
      <c r="V96" s="397">
        <f t="shared" si="50"/>
        <v>45603160.5</v>
      </c>
      <c r="W96" s="397">
        <f t="shared" si="50"/>
        <v>835304191.09000003</v>
      </c>
      <c r="X96" s="398">
        <f t="shared" si="50"/>
        <v>12971265</v>
      </c>
      <c r="Y96" s="399">
        <f t="shared" si="50"/>
        <v>242584964.59999999</v>
      </c>
      <c r="Z96" s="399">
        <f t="shared" si="50"/>
        <v>1108571247.3099999</v>
      </c>
      <c r="AA96" s="399">
        <f t="shared" si="50"/>
        <v>1189483748</v>
      </c>
      <c r="AB96" s="399">
        <f t="shared" si="50"/>
        <v>470581756.31999999</v>
      </c>
      <c r="AC96" s="399"/>
      <c r="AD96" s="400">
        <f>SUM(Z96-AB96)</f>
        <v>637989490.99000001</v>
      </c>
      <c r="AE96" s="399">
        <f>SUM(AE13+AE89)</f>
        <v>613346400</v>
      </c>
      <c r="AF96" s="399">
        <f>SUM(AF13+AF89)</f>
        <v>24643090.989999995</v>
      </c>
      <c r="AG96" s="401"/>
      <c r="AH96" s="402">
        <f>AB96/(AB96+AE96+AF96)</f>
        <v>0.42449392175910089</v>
      </c>
      <c r="AI96" s="403"/>
      <c r="AJ96" s="404"/>
      <c r="AK96" s="405" t="e">
        <f>SUM(AD96-AE96-#REF!-#REF!)</f>
        <v>#REF!</v>
      </c>
      <c r="AL96" s="406">
        <f>SUM(Q96-(AD96+X96))/Q96</f>
        <v>0.74847378709513857</v>
      </c>
      <c r="AM96" s="110"/>
      <c r="AN96" s="407"/>
      <c r="AO96" s="408" t="s">
        <v>407</v>
      </c>
      <c r="AP96" s="409">
        <f>SUM(AP6:AP95)</f>
        <v>114530856</v>
      </c>
      <c r="AQ96" s="409">
        <f>SUM(AQ6:AQ95)</f>
        <v>114530856</v>
      </c>
      <c r="AR96" s="410">
        <f>SUM(AQ96-AP96)</f>
        <v>0</v>
      </c>
      <c r="AU96" s="412"/>
    </row>
    <row r="97" spans="1:47" s="423" customFormat="1" ht="57.75" customHeight="1" x14ac:dyDescent="0.35">
      <c r="A97" s="413"/>
      <c r="B97" s="740" t="s">
        <v>408</v>
      </c>
      <c r="C97" s="741"/>
      <c r="D97" s="741"/>
      <c r="E97" s="741"/>
      <c r="F97" s="741"/>
      <c r="G97" s="741"/>
      <c r="H97" s="741"/>
      <c r="I97" s="741"/>
      <c r="J97" s="741"/>
      <c r="K97" s="359"/>
      <c r="L97" s="359"/>
      <c r="M97" s="359"/>
      <c r="N97" s="360"/>
      <c r="O97" s="360"/>
      <c r="P97" s="360"/>
      <c r="Q97" s="360"/>
      <c r="R97" s="360"/>
      <c r="S97" s="360"/>
      <c r="T97" s="360"/>
      <c r="U97" s="360"/>
      <c r="V97" s="360"/>
      <c r="W97" s="360"/>
      <c r="X97" s="414"/>
      <c r="Y97" s="415"/>
      <c r="Z97" s="416"/>
      <c r="AA97" s="416"/>
      <c r="AB97" s="416"/>
      <c r="AC97" s="416"/>
      <c r="AD97" s="415"/>
      <c r="AE97" s="415"/>
      <c r="AF97" s="415"/>
      <c r="AG97" s="401"/>
      <c r="AH97" s="417"/>
      <c r="AI97" s="418"/>
      <c r="AJ97" s="419"/>
      <c r="AK97" s="420"/>
      <c r="AL97" s="421"/>
      <c r="AM97" s="110"/>
      <c r="AN97" s="163"/>
      <c r="AO97" s="422"/>
      <c r="AP97" s="52"/>
      <c r="AQ97" s="52"/>
      <c r="AR97" s="170"/>
      <c r="AU97" s="171"/>
    </row>
    <row r="98" spans="1:47" ht="40.5" customHeight="1" x14ac:dyDescent="0.35">
      <c r="A98" s="424" t="s">
        <v>100</v>
      </c>
      <c r="B98" s="24">
        <v>3</v>
      </c>
      <c r="C98" s="24">
        <v>6</v>
      </c>
      <c r="D98" s="24">
        <v>3</v>
      </c>
      <c r="E98" s="24">
        <v>20</v>
      </c>
      <c r="F98" s="24"/>
      <c r="G98" s="24" t="s">
        <v>90</v>
      </c>
      <c r="H98" s="24">
        <v>10</v>
      </c>
      <c r="I98" s="24" t="s">
        <v>88</v>
      </c>
      <c r="J98" s="209" t="s">
        <v>408</v>
      </c>
      <c r="K98" s="425"/>
      <c r="L98" s="425"/>
      <c r="M98" s="425"/>
      <c r="N98" s="426">
        <v>1174750619</v>
      </c>
      <c r="O98" s="426">
        <v>0</v>
      </c>
      <c r="P98" s="426">
        <v>1174750619</v>
      </c>
      <c r="Q98" s="426">
        <f>SUM(N98+O98-P98)</f>
        <v>0</v>
      </c>
      <c r="R98" s="426"/>
      <c r="S98" s="360"/>
      <c r="T98" s="360"/>
      <c r="U98" s="360"/>
      <c r="V98" s="360"/>
      <c r="W98" s="360"/>
      <c r="X98" s="414"/>
      <c r="Y98" s="415"/>
      <c r="Z98" s="154">
        <f>SUM(Q98-R98-T98-V98-W98-X98-Y98)</f>
        <v>0</v>
      </c>
      <c r="AA98" s="416"/>
      <c r="AB98" s="416"/>
      <c r="AC98" s="416"/>
      <c r="AD98" s="415"/>
      <c r="AE98" s="415"/>
      <c r="AF98" s="415"/>
      <c r="AG98" s="401"/>
      <c r="AH98" s="417"/>
      <c r="AI98" s="418"/>
      <c r="AJ98" s="427"/>
      <c r="AK98" s="420" t="e">
        <f>SUM(AD98-AE98-#REF!-#REF!)</f>
        <v>#REF!</v>
      </c>
      <c r="AL98" s="428"/>
      <c r="AN98" s="216"/>
      <c r="AO98" s="109"/>
      <c r="AP98" s="429"/>
      <c r="AQ98" s="429"/>
    </row>
    <row r="99" spans="1:47" s="411" customFormat="1" ht="28.5" customHeight="1" x14ac:dyDescent="0.35">
      <c r="A99" s="393"/>
      <c r="B99" s="394"/>
      <c r="C99" s="394"/>
      <c r="D99" s="394"/>
      <c r="E99" s="394"/>
      <c r="F99" s="394"/>
      <c r="G99" s="394"/>
      <c r="H99" s="394"/>
      <c r="I99" s="430">
        <f>SUBTOTAL(9,Q101:Q107)</f>
        <v>20500678600</v>
      </c>
      <c r="J99" s="395" t="s">
        <v>409</v>
      </c>
      <c r="K99" s="396"/>
      <c r="L99" s="396"/>
      <c r="M99" s="396"/>
      <c r="N99" s="397">
        <f>SUM(N98:N98)</f>
        <v>1174750619</v>
      </c>
      <c r="O99" s="397">
        <f>SUM(O98:O98)</f>
        <v>0</v>
      </c>
      <c r="P99" s="397">
        <f>SUM(P98:P98)</f>
        <v>1174750619</v>
      </c>
      <c r="Q99" s="397">
        <f>SUM(Q98:Q98)</f>
        <v>0</v>
      </c>
      <c r="R99" s="397"/>
      <c r="S99" s="397"/>
      <c r="T99" s="397">
        <f>SUM(T98:T98)</f>
        <v>0</v>
      </c>
      <c r="U99" s="397"/>
      <c r="V99" s="397">
        <f>SUM(V98:V98)</f>
        <v>0</v>
      </c>
      <c r="W99" s="397"/>
      <c r="X99" s="414"/>
      <c r="Y99" s="431"/>
      <c r="Z99" s="397">
        <f>SUM(Z98:Z98)</f>
        <v>0</v>
      </c>
      <c r="AA99" s="397">
        <f>SUM(AA98:AA98)</f>
        <v>0</v>
      </c>
      <c r="AB99" s="397"/>
      <c r="AC99" s="397"/>
      <c r="AD99" s="431">
        <f>SUM(Z99-AB99)</f>
        <v>0</v>
      </c>
      <c r="AE99" s="431"/>
      <c r="AF99" s="431"/>
      <c r="AG99" s="432"/>
      <c r="AH99" s="433"/>
      <c r="AI99" s="431"/>
      <c r="AJ99" s="434"/>
      <c r="AK99" s="420" t="e">
        <f>SUM(AD99-AE99-#REF!-#REF!)</f>
        <v>#REF!</v>
      </c>
      <c r="AL99" s="435"/>
      <c r="AM99" s="110"/>
      <c r="AN99" s="407"/>
      <c r="AO99" s="408"/>
      <c r="AP99" s="409"/>
      <c r="AQ99" s="409"/>
      <c r="AR99" s="436"/>
      <c r="AU99" s="412"/>
    </row>
    <row r="100" spans="1:47" s="411" customFormat="1" ht="28.5" customHeight="1" x14ac:dyDescent="0.35">
      <c r="A100" s="393"/>
      <c r="B100" s="794" t="s">
        <v>410</v>
      </c>
      <c r="C100" s="795"/>
      <c r="D100" s="795"/>
      <c r="E100" s="795"/>
      <c r="F100" s="795"/>
      <c r="G100" s="795"/>
      <c r="H100" s="795"/>
      <c r="I100" s="795"/>
      <c r="J100" s="796"/>
      <c r="K100" s="396"/>
      <c r="L100" s="396"/>
      <c r="M100" s="396"/>
      <c r="N100" s="397"/>
      <c r="O100" s="397"/>
      <c r="P100" s="397"/>
      <c r="Q100" s="397"/>
      <c r="R100" s="397"/>
      <c r="S100" s="397"/>
      <c r="T100" s="397"/>
      <c r="U100" s="397"/>
      <c r="V100" s="397"/>
      <c r="W100" s="397"/>
      <c r="X100" s="414"/>
      <c r="Y100" s="431"/>
      <c r="Z100" s="397"/>
      <c r="AA100" s="397"/>
      <c r="AB100" s="397"/>
      <c r="AC100" s="397"/>
      <c r="AD100" s="431"/>
      <c r="AE100" s="431"/>
      <c r="AF100" s="431"/>
      <c r="AG100" s="433"/>
      <c r="AH100" s="433"/>
      <c r="AI100" s="431"/>
      <c r="AJ100" s="434"/>
      <c r="AK100" s="420"/>
      <c r="AL100" s="435"/>
      <c r="AM100" s="110"/>
      <c r="AN100" s="407"/>
      <c r="AO100" s="408"/>
      <c r="AP100" s="409">
        <v>0</v>
      </c>
      <c r="AQ100" s="409"/>
      <c r="AR100" s="436"/>
      <c r="AU100" s="412"/>
    </row>
    <row r="101" spans="1:47" ht="84" customHeight="1" x14ac:dyDescent="0.35">
      <c r="A101" s="424"/>
      <c r="B101" s="437">
        <v>501</v>
      </c>
      <c r="C101" s="437">
        <v>1000</v>
      </c>
      <c r="D101" s="437">
        <v>1</v>
      </c>
      <c r="E101" s="438" t="s">
        <v>87</v>
      </c>
      <c r="F101" s="438" t="s">
        <v>87</v>
      </c>
      <c r="G101" s="438" t="s">
        <v>90</v>
      </c>
      <c r="H101" s="437">
        <v>10</v>
      </c>
      <c r="I101" s="437" t="s">
        <v>88</v>
      </c>
      <c r="J101" s="677" t="s">
        <v>411</v>
      </c>
      <c r="K101" s="439"/>
      <c r="L101" s="439"/>
      <c r="M101" s="439"/>
      <c r="N101" s="675">
        <v>6900000000</v>
      </c>
      <c r="O101" s="416"/>
      <c r="P101" s="416">
        <v>290000000</v>
      </c>
      <c r="Q101" s="416">
        <f t="shared" ref="Q101:Q108" si="51">SUM(N101+O101-P101)</f>
        <v>6610000000</v>
      </c>
      <c r="R101" s="440"/>
      <c r="S101" s="440"/>
      <c r="T101" s="440"/>
      <c r="U101" s="440"/>
      <c r="V101" s="586"/>
      <c r="W101" s="676">
        <v>5942526100</v>
      </c>
      <c r="X101" s="586">
        <f t="shared" ref="X101:X107" si="52">SUM(U101)</f>
        <v>0</v>
      </c>
      <c r="Y101" s="586"/>
      <c r="Z101" s="586">
        <f t="shared" ref="Z101:Z108" si="53">SUM(Q101-R101-T101-V101-W101-X101-Y101)</f>
        <v>667473900</v>
      </c>
      <c r="AA101" s="586">
        <v>274290000</v>
      </c>
      <c r="AB101" s="586">
        <v>184124000</v>
      </c>
      <c r="AC101" s="586">
        <f t="shared" ref="AC101:AC107" si="54">SUM(AA101-AB101)</f>
        <v>90166000</v>
      </c>
      <c r="AD101" s="586">
        <f t="shared" ref="AD101:AD108" si="55">SUM(Z101-AB101)</f>
        <v>483349900</v>
      </c>
      <c r="AE101" s="586">
        <v>72000000</v>
      </c>
      <c r="AF101" s="586">
        <f t="shared" ref="AF101" si="56">SUM(AD101-AE101)</f>
        <v>411349900</v>
      </c>
      <c r="AG101" s="648">
        <f t="shared" ref="AG101:AG106" si="57">SUM(R101+T101+V101+Y101+W101+AB101)</f>
        <v>6126650100</v>
      </c>
      <c r="AH101" s="363">
        <f t="shared" ref="AH101:AH108" si="58">AB101/(AB101+AE101+AF101)</f>
        <v>0.27585198462441751</v>
      </c>
      <c r="AI101" s="364"/>
      <c r="AJ101" s="365"/>
      <c r="AK101" s="366" t="e">
        <f>SUM(AD101-AE101-#REF!-#REF!)</f>
        <v>#REF!</v>
      </c>
      <c r="AL101" s="367">
        <f t="shared" ref="AL101:AL109" si="59">SUM(Q101-(AD101+X101))/Q101</f>
        <v>0.92687596066565814</v>
      </c>
      <c r="AM101" s="441"/>
      <c r="AN101" s="163"/>
      <c r="AO101" s="442"/>
      <c r="AP101" s="52"/>
      <c r="AQ101" s="52"/>
    </row>
    <row r="102" spans="1:47" ht="100.5" customHeight="1" x14ac:dyDescent="0.35">
      <c r="A102" s="424" t="s">
        <v>92</v>
      </c>
      <c r="B102" s="437">
        <v>505</v>
      </c>
      <c r="C102" s="437">
        <v>1000</v>
      </c>
      <c r="D102" s="438">
        <v>1</v>
      </c>
      <c r="E102" s="438" t="s">
        <v>87</v>
      </c>
      <c r="F102" s="438" t="s">
        <v>87</v>
      </c>
      <c r="G102" s="438" t="s">
        <v>90</v>
      </c>
      <c r="H102" s="437">
        <v>10</v>
      </c>
      <c r="I102" s="437" t="s">
        <v>88</v>
      </c>
      <c r="J102" s="677" t="s">
        <v>543</v>
      </c>
      <c r="K102" s="443" t="s">
        <v>412</v>
      </c>
      <c r="L102" s="444" t="s">
        <v>413</v>
      </c>
      <c r="M102" s="444">
        <v>2</v>
      </c>
      <c r="N102" s="675">
        <v>310000000</v>
      </c>
      <c r="O102" s="416"/>
      <c r="P102" s="416"/>
      <c r="Q102" s="416">
        <f t="shared" si="51"/>
        <v>310000000</v>
      </c>
      <c r="R102" s="440"/>
      <c r="S102" s="440"/>
      <c r="T102" s="440"/>
      <c r="U102" s="440"/>
      <c r="V102" s="586"/>
      <c r="W102" s="586"/>
      <c r="X102" s="586">
        <f t="shared" si="52"/>
        <v>0</v>
      </c>
      <c r="Y102" s="586"/>
      <c r="Z102" s="586">
        <f t="shared" si="53"/>
        <v>310000000</v>
      </c>
      <c r="AA102" s="586">
        <v>299232500</v>
      </c>
      <c r="AB102" s="586">
        <v>307937600</v>
      </c>
      <c r="AC102" s="586">
        <f t="shared" si="54"/>
        <v>-8705100</v>
      </c>
      <c r="AD102" s="586">
        <f t="shared" si="55"/>
        <v>2062400</v>
      </c>
      <c r="AE102" s="586"/>
      <c r="AF102" s="586">
        <f>SUM(AD102-AE102)</f>
        <v>2062400</v>
      </c>
      <c r="AG102" s="648">
        <f t="shared" si="57"/>
        <v>307937600</v>
      </c>
      <c r="AH102" s="363">
        <f t="shared" si="58"/>
        <v>0.99334709677419353</v>
      </c>
      <c r="AI102" s="446"/>
      <c r="AJ102" s="447"/>
      <c r="AK102" s="448" t="e">
        <f>SUM(AD102-AE102-#REF!-#REF!)</f>
        <v>#REF!</v>
      </c>
      <c r="AL102" s="656">
        <f t="shared" si="59"/>
        <v>0.99334709677419353</v>
      </c>
      <c r="AM102" s="449"/>
      <c r="AN102" s="163"/>
      <c r="AO102" s="450"/>
      <c r="AP102" s="52"/>
      <c r="AQ102" s="52"/>
    </row>
    <row r="103" spans="1:47" ht="100.5" customHeight="1" x14ac:dyDescent="0.35">
      <c r="A103" s="424"/>
      <c r="B103" s="437">
        <v>505</v>
      </c>
      <c r="C103" s="437">
        <v>1000</v>
      </c>
      <c r="D103" s="438">
        <v>1</v>
      </c>
      <c r="E103" s="438" t="s">
        <v>87</v>
      </c>
      <c r="F103" s="438" t="s">
        <v>87</v>
      </c>
      <c r="G103" s="438" t="s">
        <v>90</v>
      </c>
      <c r="H103" s="622">
        <v>11</v>
      </c>
      <c r="I103" s="437" t="s">
        <v>88</v>
      </c>
      <c r="J103" s="677" t="s">
        <v>599</v>
      </c>
      <c r="K103" s="443"/>
      <c r="L103" s="444"/>
      <c r="M103" s="444"/>
      <c r="N103" s="675">
        <v>4000000000</v>
      </c>
      <c r="O103" s="416"/>
      <c r="P103" s="416"/>
      <c r="Q103" s="416">
        <f t="shared" si="51"/>
        <v>4000000000</v>
      </c>
      <c r="R103" s="440"/>
      <c r="S103" s="440"/>
      <c r="T103" s="440"/>
      <c r="U103" s="440"/>
      <c r="V103" s="648">
        <v>506906975</v>
      </c>
      <c r="W103" s="586"/>
      <c r="X103" s="586"/>
      <c r="Y103" s="586"/>
      <c r="Z103" s="586">
        <f t="shared" si="53"/>
        <v>3493093025</v>
      </c>
      <c r="AA103" s="586">
        <v>2932347133.5</v>
      </c>
      <c r="AB103" s="586">
        <v>2984379285.1999998</v>
      </c>
      <c r="AC103" s="586"/>
      <c r="AD103" s="586">
        <f t="shared" si="55"/>
        <v>508713739.80000019</v>
      </c>
      <c r="AE103" s="586">
        <v>103231500</v>
      </c>
      <c r="AF103" s="586">
        <f t="shared" ref="AF103:AF108" si="60">SUM(AD103-AE103)</f>
        <v>405482239.80000019</v>
      </c>
      <c r="AG103" s="648">
        <f t="shared" si="57"/>
        <v>3491286260.1999998</v>
      </c>
      <c r="AH103" s="363">
        <f t="shared" si="58"/>
        <v>0.85436581958764179</v>
      </c>
      <c r="AI103" s="446"/>
      <c r="AJ103" s="447"/>
      <c r="AK103" s="448"/>
      <c r="AL103" s="656">
        <f t="shared" si="59"/>
        <v>0.87282156504999997</v>
      </c>
      <c r="AM103" s="449"/>
      <c r="AN103" s="163"/>
      <c r="AO103" s="450"/>
      <c r="AP103" s="52"/>
      <c r="AQ103" s="52"/>
    </row>
    <row r="104" spans="1:47" ht="98.25" customHeight="1" x14ac:dyDescent="0.35">
      <c r="A104" s="424" t="s">
        <v>92</v>
      </c>
      <c r="B104" s="437">
        <v>505</v>
      </c>
      <c r="C104" s="437">
        <v>1000</v>
      </c>
      <c r="D104" s="438">
        <v>2</v>
      </c>
      <c r="E104" s="438" t="s">
        <v>87</v>
      </c>
      <c r="F104" s="438" t="s">
        <v>87</v>
      </c>
      <c r="G104" s="438" t="s">
        <v>90</v>
      </c>
      <c r="H104" s="437">
        <v>10</v>
      </c>
      <c r="I104" s="437" t="s">
        <v>88</v>
      </c>
      <c r="J104" s="677" t="s">
        <v>630</v>
      </c>
      <c r="K104" s="443"/>
      <c r="L104" s="444"/>
      <c r="M104" s="444"/>
      <c r="N104" s="675">
        <v>2650000000</v>
      </c>
      <c r="O104" s="416"/>
      <c r="P104" s="416"/>
      <c r="Q104" s="416">
        <f t="shared" si="51"/>
        <v>2650000000</v>
      </c>
      <c r="R104" s="440"/>
      <c r="S104" s="440"/>
      <c r="T104" s="440"/>
      <c r="U104" s="440"/>
      <c r="V104" s="648">
        <v>1593725935</v>
      </c>
      <c r="W104" s="586"/>
      <c r="X104" s="586">
        <f>SUM(U104)</f>
        <v>0</v>
      </c>
      <c r="Y104" s="586"/>
      <c r="Z104" s="586">
        <f t="shared" si="53"/>
        <v>1056274065</v>
      </c>
      <c r="AA104" s="586">
        <v>1019997500</v>
      </c>
      <c r="AB104" s="586">
        <v>1044526666</v>
      </c>
      <c r="AC104" s="586">
        <f>SUM(AA104-AB104)</f>
        <v>-24529166</v>
      </c>
      <c r="AD104" s="586">
        <f t="shared" si="55"/>
        <v>11747399</v>
      </c>
      <c r="AE104" s="586"/>
      <c r="AF104" s="586">
        <f t="shared" si="60"/>
        <v>11747399</v>
      </c>
      <c r="AG104" s="648">
        <f t="shared" si="57"/>
        <v>2638252601</v>
      </c>
      <c r="AH104" s="363">
        <f t="shared" si="58"/>
        <v>0.9888784555171295</v>
      </c>
      <c r="AI104" s="446"/>
      <c r="AJ104" s="447"/>
      <c r="AK104" s="448" t="e">
        <f>SUM(AD104-AE104-#REF!-#REF!)</f>
        <v>#REF!</v>
      </c>
      <c r="AL104" s="656">
        <f t="shared" si="59"/>
        <v>0.99556701924528301</v>
      </c>
      <c r="AM104" s="449"/>
      <c r="AN104" s="163"/>
      <c r="AO104" s="655" t="s">
        <v>2002</v>
      </c>
      <c r="AP104" s="52"/>
      <c r="AQ104" s="52"/>
    </row>
    <row r="105" spans="1:47" ht="102.75" customHeight="1" x14ac:dyDescent="0.35">
      <c r="A105" s="424"/>
      <c r="B105" s="437">
        <v>505</v>
      </c>
      <c r="C105" s="437">
        <v>1000</v>
      </c>
      <c r="D105" s="438">
        <v>2</v>
      </c>
      <c r="E105" s="438" t="s">
        <v>87</v>
      </c>
      <c r="F105" s="438" t="s">
        <v>87</v>
      </c>
      <c r="G105" s="438" t="s">
        <v>90</v>
      </c>
      <c r="H105" s="622">
        <v>11</v>
      </c>
      <c r="I105" s="437" t="s">
        <v>88</v>
      </c>
      <c r="J105" s="677" t="s">
        <v>629</v>
      </c>
      <c r="K105" s="443"/>
      <c r="L105" s="444"/>
      <c r="M105" s="444"/>
      <c r="N105" s="416">
        <v>5000000000</v>
      </c>
      <c r="O105" s="416"/>
      <c r="P105" s="416"/>
      <c r="Q105" s="416">
        <f t="shared" si="51"/>
        <v>5000000000</v>
      </c>
      <c r="R105" s="440"/>
      <c r="S105" s="440"/>
      <c r="T105" s="440"/>
      <c r="U105" s="440"/>
      <c r="V105" s="648">
        <v>50000000</v>
      </c>
      <c r="W105" s="586"/>
      <c r="X105" s="586"/>
      <c r="Y105" s="648">
        <v>334000000</v>
      </c>
      <c r="Z105" s="586">
        <f t="shared" si="53"/>
        <v>4616000000</v>
      </c>
      <c r="AA105" s="586">
        <v>4266337859</v>
      </c>
      <c r="AB105" s="586">
        <v>4309038901.5200005</v>
      </c>
      <c r="AC105" s="586"/>
      <c r="AD105" s="586">
        <f t="shared" si="55"/>
        <v>306961098.47999954</v>
      </c>
      <c r="AE105" s="586">
        <v>163025000</v>
      </c>
      <c r="AF105" s="586">
        <f t="shared" si="60"/>
        <v>143936098.47999954</v>
      </c>
      <c r="AG105" s="648">
        <f t="shared" si="57"/>
        <v>4693038901.5200005</v>
      </c>
      <c r="AH105" s="363">
        <f t="shared" si="58"/>
        <v>0.9335006285788563</v>
      </c>
      <c r="AI105" s="446"/>
      <c r="AJ105" s="447"/>
      <c r="AK105" s="448"/>
      <c r="AL105" s="656">
        <f t="shared" si="59"/>
        <v>0.93860778030400005</v>
      </c>
      <c r="AM105" s="449"/>
      <c r="AN105" s="163"/>
      <c r="AO105" s="450"/>
      <c r="AP105" s="52"/>
      <c r="AQ105" s="52"/>
    </row>
    <row r="106" spans="1:47" ht="78.75" customHeight="1" x14ac:dyDescent="0.35">
      <c r="A106" s="424" t="s">
        <v>92</v>
      </c>
      <c r="B106" s="437">
        <v>599</v>
      </c>
      <c r="C106" s="437">
        <v>1000</v>
      </c>
      <c r="D106" s="438">
        <v>1</v>
      </c>
      <c r="E106" s="438" t="s">
        <v>87</v>
      </c>
      <c r="F106" s="438" t="s">
        <v>87</v>
      </c>
      <c r="G106" s="438" t="s">
        <v>90</v>
      </c>
      <c r="H106" s="437">
        <v>10</v>
      </c>
      <c r="I106" s="437" t="s">
        <v>88</v>
      </c>
      <c r="J106" s="677" t="s">
        <v>414</v>
      </c>
      <c r="K106" s="439"/>
      <c r="L106" s="439"/>
      <c r="M106" s="439"/>
      <c r="N106" s="416">
        <v>90678600</v>
      </c>
      <c r="O106" s="416"/>
      <c r="P106" s="416"/>
      <c r="Q106" s="416">
        <f t="shared" si="51"/>
        <v>90678600</v>
      </c>
      <c r="R106" s="440"/>
      <c r="S106" s="440"/>
      <c r="T106" s="440"/>
      <c r="U106" s="440"/>
      <c r="V106" s="586"/>
      <c r="W106" s="586">
        <v>90286552.870000005</v>
      </c>
      <c r="X106" s="586">
        <f t="shared" si="52"/>
        <v>0</v>
      </c>
      <c r="Y106" s="586"/>
      <c r="Z106" s="586">
        <f t="shared" si="53"/>
        <v>392047.12999999523</v>
      </c>
      <c r="AA106" s="586"/>
      <c r="AB106" s="586"/>
      <c r="AC106" s="586">
        <f t="shared" si="54"/>
        <v>0</v>
      </c>
      <c r="AD106" s="586">
        <f t="shared" si="55"/>
        <v>392047.12999999523</v>
      </c>
      <c r="AE106" s="586"/>
      <c r="AF106" s="586">
        <f t="shared" si="60"/>
        <v>392047.12999999523</v>
      </c>
      <c r="AG106" s="648">
        <f t="shared" si="57"/>
        <v>90286552.870000005</v>
      </c>
      <c r="AH106" s="363">
        <f>AB106/(AB106+AE106+AF106)</f>
        <v>0</v>
      </c>
      <c r="AI106" s="364"/>
      <c r="AJ106" s="365"/>
      <c r="AK106" s="366" t="e">
        <f>SUM(AD106-AE106-#REF!-#REF!)</f>
        <v>#REF!</v>
      </c>
      <c r="AL106" s="656">
        <f t="shared" si="59"/>
        <v>0.99567651981834748</v>
      </c>
      <c r="AM106" s="441"/>
      <c r="AN106" s="163"/>
      <c r="AO106" s="451"/>
      <c r="AP106" s="52"/>
      <c r="AQ106" s="52"/>
    </row>
    <row r="107" spans="1:47" ht="93" customHeight="1" x14ac:dyDescent="0.35">
      <c r="A107" s="424" t="s">
        <v>92</v>
      </c>
      <c r="B107" s="437">
        <v>599</v>
      </c>
      <c r="C107" s="437">
        <v>1000</v>
      </c>
      <c r="D107" s="438">
        <v>2</v>
      </c>
      <c r="E107" s="438" t="s">
        <v>87</v>
      </c>
      <c r="F107" s="438" t="s">
        <v>87</v>
      </c>
      <c r="G107" s="438" t="s">
        <v>90</v>
      </c>
      <c r="H107" s="437">
        <v>10</v>
      </c>
      <c r="I107" s="437" t="s">
        <v>88</v>
      </c>
      <c r="J107" s="677" t="s">
        <v>415</v>
      </c>
      <c r="K107" s="439"/>
      <c r="L107" s="439"/>
      <c r="M107" s="439"/>
      <c r="N107" s="416">
        <v>2040000000</v>
      </c>
      <c r="O107" s="416"/>
      <c r="P107" s="416">
        <v>200000000</v>
      </c>
      <c r="Q107" s="416">
        <f t="shared" si="51"/>
        <v>1840000000</v>
      </c>
      <c r="R107" s="440"/>
      <c r="S107" s="440"/>
      <c r="T107" s="440"/>
      <c r="U107" s="440"/>
      <c r="V107" s="670">
        <f>686480347+280967105</f>
        <v>967447452</v>
      </c>
      <c r="W107" s="586"/>
      <c r="X107" s="586">
        <f t="shared" si="52"/>
        <v>0</v>
      </c>
      <c r="Y107" s="648">
        <v>9406950</v>
      </c>
      <c r="Z107" s="586">
        <f t="shared" si="53"/>
        <v>863145598</v>
      </c>
      <c r="AA107" s="586">
        <v>897419707</v>
      </c>
      <c r="AB107" s="586">
        <v>689143251.52999997</v>
      </c>
      <c r="AC107" s="586">
        <f t="shared" si="54"/>
        <v>208276455.47000003</v>
      </c>
      <c r="AD107" s="586">
        <f t="shared" si="55"/>
        <v>174002346.47000003</v>
      </c>
      <c r="AE107" s="586">
        <v>174002346</v>
      </c>
      <c r="AF107" s="586">
        <f t="shared" si="60"/>
        <v>0.47000002861022949</v>
      </c>
      <c r="AG107" s="648">
        <f>SUM(R107+T107+V107+Y107+W107+AB107)</f>
        <v>1665997653.53</v>
      </c>
      <c r="AH107" s="363">
        <f t="shared" si="58"/>
        <v>0.79840904376598576</v>
      </c>
      <c r="AI107" s="364"/>
      <c r="AJ107" s="365"/>
      <c r="AK107" s="366" t="e">
        <f>SUM(AD107-AE107-#REF!-#REF!)</f>
        <v>#REF!</v>
      </c>
      <c r="AL107" s="656">
        <f t="shared" si="59"/>
        <v>0.90543350735326089</v>
      </c>
      <c r="AM107" s="441"/>
      <c r="AN107" s="163"/>
      <c r="AO107" s="451"/>
      <c r="AP107" s="52"/>
      <c r="AQ107" s="52"/>
    </row>
    <row r="108" spans="1:47" ht="93" customHeight="1" x14ac:dyDescent="0.35">
      <c r="A108" s="424"/>
      <c r="B108" s="437">
        <v>599</v>
      </c>
      <c r="C108" s="437">
        <v>1000</v>
      </c>
      <c r="D108" s="438">
        <v>2</v>
      </c>
      <c r="E108" s="438" t="s">
        <v>87</v>
      </c>
      <c r="F108" s="438" t="s">
        <v>87</v>
      </c>
      <c r="G108" s="438" t="s">
        <v>90</v>
      </c>
      <c r="H108" s="622">
        <v>11</v>
      </c>
      <c r="I108" s="437" t="s">
        <v>88</v>
      </c>
      <c r="J108" s="677" t="s">
        <v>415</v>
      </c>
      <c r="K108" s="439"/>
      <c r="L108" s="439"/>
      <c r="M108" s="439"/>
      <c r="N108" s="416">
        <v>1000000000</v>
      </c>
      <c r="O108" s="416"/>
      <c r="P108" s="416"/>
      <c r="Q108" s="416">
        <f t="shared" si="51"/>
        <v>1000000000</v>
      </c>
      <c r="R108" s="440"/>
      <c r="S108" s="440"/>
      <c r="T108" s="440"/>
      <c r="U108" s="440"/>
      <c r="V108" s="586"/>
      <c r="W108" s="586"/>
      <c r="X108" s="586"/>
      <c r="Y108" s="586"/>
      <c r="Z108" s="586">
        <f t="shared" si="53"/>
        <v>1000000000</v>
      </c>
      <c r="AA108" s="586">
        <v>946897122</v>
      </c>
      <c r="AB108" s="586">
        <v>506522186.22000003</v>
      </c>
      <c r="AC108" s="586"/>
      <c r="AD108" s="586">
        <f t="shared" si="55"/>
        <v>493477813.77999997</v>
      </c>
      <c r="AE108" s="586">
        <v>446317076</v>
      </c>
      <c r="AF108" s="586">
        <f t="shared" si="60"/>
        <v>47160737.779999971</v>
      </c>
      <c r="AG108" s="648">
        <f t="shared" ref="AG108" si="61">SUM(R108+T108+V108+Y108+W108+AB108)</f>
        <v>506522186.22000003</v>
      </c>
      <c r="AH108" s="363">
        <f t="shared" si="58"/>
        <v>0.50652218622</v>
      </c>
      <c r="AI108" s="364"/>
      <c r="AJ108" s="365"/>
      <c r="AK108" s="366"/>
      <c r="AL108" s="367">
        <f t="shared" si="59"/>
        <v>0.50652218622</v>
      </c>
      <c r="AM108" s="441"/>
      <c r="AN108" s="163"/>
      <c r="AO108" s="451" t="s">
        <v>610</v>
      </c>
      <c r="AP108" s="52"/>
      <c r="AQ108" s="52"/>
    </row>
    <row r="109" spans="1:47" s="453" customFormat="1" ht="53.25" customHeight="1" x14ac:dyDescent="0.35">
      <c r="A109" s="393"/>
      <c r="B109" s="394"/>
      <c r="C109" s="394"/>
      <c r="D109" s="394"/>
      <c r="E109" s="394"/>
      <c r="F109" s="394"/>
      <c r="G109" s="394"/>
      <c r="H109" s="394"/>
      <c r="I109" s="394"/>
      <c r="J109" s="395" t="s">
        <v>416</v>
      </c>
      <c r="K109" s="396"/>
      <c r="L109" s="396"/>
      <c r="M109" s="396"/>
      <c r="N109" s="399">
        <f>SUM(N101:N108)</f>
        <v>21990678600</v>
      </c>
      <c r="O109" s="399">
        <f>SUM(O101:O107)</f>
        <v>0</v>
      </c>
      <c r="P109" s="399">
        <f>SUM(P101:P107)</f>
        <v>490000000</v>
      </c>
      <c r="Q109" s="399">
        <f>SUM(Q101:Q107)</f>
        <v>20500678600</v>
      </c>
      <c r="R109" s="399"/>
      <c r="S109" s="399"/>
      <c r="T109" s="399">
        <f>SUM(T101:T107)</f>
        <v>0</v>
      </c>
      <c r="U109" s="399"/>
      <c r="V109" s="399">
        <f t="shared" ref="V109:Y109" si="62">SUM(V101:V107)</f>
        <v>3118080362</v>
      </c>
      <c r="W109" s="399">
        <f t="shared" si="62"/>
        <v>6032812652.8699999</v>
      </c>
      <c r="X109" s="445">
        <f t="shared" si="62"/>
        <v>0</v>
      </c>
      <c r="Y109" s="400">
        <f t="shared" si="62"/>
        <v>343406950</v>
      </c>
      <c r="Z109" s="399">
        <f>SUM(Z101:Z108)</f>
        <v>12006378635.129999</v>
      </c>
      <c r="AA109" s="399">
        <f>SUM(AA101:AA108)</f>
        <v>10636521821.5</v>
      </c>
      <c r="AB109" s="399">
        <f>SUM(AB101:AB108)</f>
        <v>10025671890.470001</v>
      </c>
      <c r="AC109" s="399">
        <f t="shared" ref="AC109:AG109" si="63">SUM(AC101:AC108)</f>
        <v>265208189.47000003</v>
      </c>
      <c r="AD109" s="399">
        <f t="shared" si="63"/>
        <v>1980706744.6599998</v>
      </c>
      <c r="AE109" s="399">
        <f t="shared" si="63"/>
        <v>958575922</v>
      </c>
      <c r="AF109" s="399">
        <f t="shared" si="63"/>
        <v>1022130822.6599997</v>
      </c>
      <c r="AG109" s="399">
        <f t="shared" si="63"/>
        <v>19519971855.34</v>
      </c>
      <c r="AH109" s="402">
        <f>AB109/(AB109+AE109+AF109)</f>
        <v>0.83502879553835152</v>
      </c>
      <c r="AI109" s="403"/>
      <c r="AJ109" s="404"/>
      <c r="AK109" s="405" t="e">
        <f>SUM(AD109-AE109-#REF!-#REF!)</f>
        <v>#REF!</v>
      </c>
      <c r="AL109" s="406">
        <f t="shared" si="59"/>
        <v>0.9033833570436054</v>
      </c>
      <c r="AM109" s="441"/>
      <c r="AN109" s="407"/>
      <c r="AO109" s="452"/>
      <c r="AP109" s="409"/>
      <c r="AQ109" s="409"/>
      <c r="AR109" s="436"/>
      <c r="AU109" s="412"/>
    </row>
    <row r="110" spans="1:47" s="469" customFormat="1" x14ac:dyDescent="0.35">
      <c r="A110" s="454" t="s">
        <v>87</v>
      </c>
      <c r="B110" s="455" t="s">
        <v>87</v>
      </c>
      <c r="C110" s="455" t="s">
        <v>87</v>
      </c>
      <c r="D110" s="455" t="s">
        <v>87</v>
      </c>
      <c r="E110" s="455" t="s">
        <v>87</v>
      </c>
      <c r="F110" s="455" t="s">
        <v>87</v>
      </c>
      <c r="G110" s="455" t="s">
        <v>87</v>
      </c>
      <c r="H110" s="455" t="s">
        <v>87</v>
      </c>
      <c r="I110" s="455" t="s">
        <v>87</v>
      </c>
      <c r="J110" s="456"/>
      <c r="K110" s="425"/>
      <c r="L110" s="425"/>
      <c r="M110" s="425"/>
      <c r="N110" s="426"/>
      <c r="O110" s="426"/>
      <c r="P110" s="457"/>
      <c r="Q110" s="457"/>
      <c r="R110" s="457"/>
      <c r="S110" s="457"/>
      <c r="T110" s="457"/>
      <c r="U110" s="457"/>
      <c r="V110" s="457"/>
      <c r="W110" s="457"/>
      <c r="X110" s="458" t="s">
        <v>417</v>
      </c>
      <c r="Y110" s="459"/>
      <c r="Z110" s="457"/>
      <c r="AA110" s="457"/>
      <c r="AB110" s="457"/>
      <c r="AC110" s="460">
        <f>SUM(Z109-AB109)</f>
        <v>1980706744.6599979</v>
      </c>
      <c r="AD110" s="461">
        <f>SUM(Z109-AB109)</f>
        <v>1980706744.6599979</v>
      </c>
      <c r="AE110" s="459"/>
      <c r="AF110" s="459">
        <f>SUM(AD109-AE109)</f>
        <v>1022130822.6599998</v>
      </c>
      <c r="AG110" s="462"/>
      <c r="AH110" s="463"/>
      <c r="AI110" s="464"/>
      <c r="AJ110" s="465"/>
      <c r="AK110" s="466"/>
      <c r="AL110" s="467"/>
      <c r="AM110" s="468"/>
      <c r="AO110" s="470"/>
      <c r="AP110" s="471"/>
      <c r="AQ110" s="471"/>
      <c r="AR110" s="112"/>
      <c r="AU110" s="113"/>
    </row>
    <row r="111" spans="1:47" s="469" customFormat="1" ht="27.75" customHeight="1" x14ac:dyDescent="0.35">
      <c r="A111" s="10"/>
      <c r="B111" s="10"/>
      <c r="C111" s="10"/>
      <c r="D111" s="10"/>
      <c r="E111" s="10"/>
      <c r="F111" s="10"/>
      <c r="G111" s="10"/>
      <c r="H111" s="10"/>
      <c r="I111" s="10"/>
      <c r="J111" s="472"/>
      <c r="K111" s="10"/>
      <c r="L111" s="10"/>
      <c r="M111" s="473"/>
      <c r="N111" s="474"/>
      <c r="O111" s="474"/>
      <c r="P111" s="474"/>
      <c r="Q111" s="475"/>
      <c r="R111" s="475"/>
      <c r="S111" s="475"/>
      <c r="T111" s="476"/>
      <c r="U111" s="476"/>
      <c r="V111" s="476"/>
      <c r="W111" s="474"/>
      <c r="X111" s="477"/>
      <c r="Y111" s="478"/>
      <c r="Z111" s="474"/>
      <c r="AA111" s="479"/>
      <c r="AB111" s="479"/>
      <c r="AC111" s="479"/>
      <c r="AD111" s="478"/>
      <c r="AE111" s="480" t="e">
        <f>AE101+AE107+AE102+#REF!</f>
        <v>#REF!</v>
      </c>
      <c r="AF111" s="480" t="e">
        <f>AF101+AF107+AF102+#REF!</f>
        <v>#REF!</v>
      </c>
      <c r="AG111" s="481"/>
      <c r="AH111" s="482"/>
      <c r="AI111" s="478"/>
      <c r="AJ111" s="483"/>
      <c r="AL111" s="484"/>
      <c r="AM111" s="468"/>
      <c r="AP111" s="111"/>
      <c r="AQ111" s="111"/>
      <c r="AR111" s="112"/>
      <c r="AU111" s="113"/>
    </row>
    <row r="112" spans="1:47" s="469" customFormat="1" ht="66" customHeight="1" x14ac:dyDescent="0.35">
      <c r="A112" s="10"/>
      <c r="B112" s="10" t="s">
        <v>148</v>
      </c>
      <c r="C112" s="10"/>
      <c r="D112" s="10"/>
      <c r="E112" s="10"/>
      <c r="F112" s="10"/>
      <c r="G112" s="10"/>
      <c r="H112" s="10"/>
      <c r="I112" s="10"/>
      <c r="J112" s="472"/>
      <c r="K112" s="10"/>
      <c r="L112" s="10"/>
      <c r="M112" s="473"/>
      <c r="N112" s="474"/>
      <c r="O112" s="474"/>
      <c r="P112" s="474"/>
      <c r="Q112" s="475"/>
      <c r="R112" s="475"/>
      <c r="S112" s="475"/>
      <c r="T112" s="476"/>
      <c r="U112" s="476"/>
      <c r="V112" s="476"/>
      <c r="W112" s="797" t="s">
        <v>426</v>
      </c>
      <c r="X112" s="798"/>
      <c r="Y112" s="798"/>
      <c r="Z112" s="798"/>
      <c r="AA112" s="798"/>
      <c r="AB112" s="798"/>
      <c r="AC112" s="798"/>
      <c r="AD112" s="798"/>
      <c r="AE112" s="798"/>
      <c r="AF112" s="798"/>
      <c r="AG112" s="798"/>
      <c r="AH112" s="485"/>
      <c r="AI112" s="486"/>
      <c r="AJ112" s="486"/>
      <c r="AK112" s="486"/>
      <c r="AL112" s="486"/>
      <c r="AM112" s="468"/>
      <c r="AP112" s="111"/>
      <c r="AQ112" s="111"/>
      <c r="AR112" s="112"/>
      <c r="AU112" s="113"/>
    </row>
    <row r="113" spans="1:47" s="469" customFormat="1" ht="81.75" customHeight="1" x14ac:dyDescent="0.35">
      <c r="A113" s="10"/>
      <c r="B113" s="10"/>
      <c r="C113" s="10"/>
      <c r="D113" s="10"/>
      <c r="E113" s="10"/>
      <c r="F113" s="10"/>
      <c r="G113" s="10"/>
      <c r="H113" s="10"/>
      <c r="I113" s="10"/>
      <c r="J113" s="487"/>
      <c r="K113" s="10"/>
      <c r="L113" s="10"/>
      <c r="M113" s="10"/>
      <c r="N113" s="476"/>
      <c r="O113" s="476"/>
      <c r="P113" s="488"/>
      <c r="Q113" s="488"/>
      <c r="R113" s="488"/>
      <c r="S113" s="488"/>
      <c r="T113" s="476"/>
      <c r="U113" s="476"/>
      <c r="V113" s="476"/>
      <c r="W113" s="799" t="s">
        <v>418</v>
      </c>
      <c r="X113" s="800"/>
      <c r="Y113" s="801"/>
      <c r="Z113" s="489" t="s">
        <v>2013</v>
      </c>
      <c r="AA113" s="490" t="s">
        <v>338</v>
      </c>
      <c r="AB113" s="491" t="s">
        <v>339</v>
      </c>
      <c r="AC113" s="492" t="s">
        <v>419</v>
      </c>
      <c r="AD113" s="493" t="s">
        <v>341</v>
      </c>
      <c r="AE113" s="493" t="s">
        <v>342</v>
      </c>
      <c r="AF113" s="493" t="s">
        <v>343</v>
      </c>
      <c r="AG113" s="494" t="s">
        <v>420</v>
      </c>
      <c r="AH113" s="494"/>
      <c r="AI113" s="494" t="s">
        <v>344</v>
      </c>
      <c r="AJ113" s="494" t="s">
        <v>344</v>
      </c>
      <c r="AK113" s="494" t="s">
        <v>344</v>
      </c>
      <c r="AL113" s="494" t="s">
        <v>327</v>
      </c>
      <c r="AM113" s="468"/>
      <c r="AP113" s="111"/>
      <c r="AQ113" s="111"/>
      <c r="AR113" s="112"/>
      <c r="AU113" s="113"/>
    </row>
    <row r="114" spans="1:47" s="469" customFormat="1" ht="60.75" customHeight="1" x14ac:dyDescent="0.35">
      <c r="A114" s="10"/>
      <c r="B114" s="10"/>
      <c r="C114" s="10"/>
      <c r="D114" s="10"/>
      <c r="E114" s="10"/>
      <c r="F114" s="10"/>
      <c r="G114" s="10"/>
      <c r="H114" s="10"/>
      <c r="I114" s="10"/>
      <c r="J114" s="495"/>
      <c r="K114" s="496"/>
      <c r="L114" s="496"/>
      <c r="M114" s="496"/>
      <c r="N114" s="497"/>
      <c r="O114" s="497"/>
      <c r="P114" s="497"/>
      <c r="Q114" s="498"/>
      <c r="R114" s="498"/>
      <c r="S114" s="498"/>
      <c r="T114" s="476"/>
      <c r="U114" s="476"/>
      <c r="V114" s="476"/>
      <c r="W114" s="802" t="s">
        <v>421</v>
      </c>
      <c r="X114" s="802"/>
      <c r="Y114" s="802"/>
      <c r="Z114" s="499">
        <f t="shared" ref="Z114:AF114" si="64">SUM(Z92)</f>
        <v>1225033640.3099999</v>
      </c>
      <c r="AA114" s="705">
        <f t="shared" si="64"/>
        <v>1307366432</v>
      </c>
      <c r="AB114" s="705">
        <f t="shared" si="64"/>
        <v>575503206.31999993</v>
      </c>
      <c r="AC114" s="499">
        <f t="shared" si="64"/>
        <v>738351431.68000007</v>
      </c>
      <c r="AD114" s="499">
        <f t="shared" si="64"/>
        <v>649530433.99000001</v>
      </c>
      <c r="AE114" s="705">
        <f t="shared" si="64"/>
        <v>618508884</v>
      </c>
      <c r="AF114" s="499">
        <f t="shared" si="64"/>
        <v>31021549.99000001</v>
      </c>
      <c r="AG114" s="647">
        <f>AB114/(AB114+AE114+AF114)</f>
        <v>0.46978563476376567</v>
      </c>
      <c r="AH114" s="500"/>
      <c r="AI114" s="501"/>
      <c r="AJ114" s="502"/>
      <c r="AK114" s="503"/>
      <c r="AL114" s="504"/>
      <c r="AM114" s="505"/>
      <c r="AP114" s="111"/>
      <c r="AQ114" s="111"/>
      <c r="AR114" s="112"/>
      <c r="AU114" s="113"/>
    </row>
    <row r="115" spans="1:47" s="469" customFormat="1" ht="45" customHeight="1" x14ac:dyDescent="0.35">
      <c r="A115" s="10"/>
      <c r="B115" s="10"/>
      <c r="C115" s="10"/>
      <c r="D115" s="10"/>
      <c r="E115" s="10"/>
      <c r="F115" s="10"/>
      <c r="G115" s="10"/>
      <c r="H115" s="10"/>
      <c r="I115" s="10"/>
      <c r="J115" s="506"/>
      <c r="K115" s="507"/>
      <c r="L115" s="508"/>
      <c r="M115" s="509"/>
      <c r="N115" s="488"/>
      <c r="O115" s="488"/>
      <c r="P115" s="488"/>
      <c r="Q115" s="488"/>
      <c r="R115" s="488"/>
      <c r="S115" s="488"/>
      <c r="T115" s="488"/>
      <c r="U115" s="488"/>
      <c r="V115" s="488"/>
      <c r="W115" s="812" t="s">
        <v>422</v>
      </c>
      <c r="X115" s="812"/>
      <c r="Y115" s="812"/>
      <c r="Z115" s="499">
        <f t="shared" ref="Z115:AE115" si="65">SUM(Z109)</f>
        <v>12006378635.129999</v>
      </c>
      <c r="AA115" s="705">
        <f t="shared" si="65"/>
        <v>10636521821.5</v>
      </c>
      <c r="AB115" s="705">
        <f t="shared" si="65"/>
        <v>10025671890.470001</v>
      </c>
      <c r="AC115" s="499">
        <f t="shared" si="65"/>
        <v>265208189.47000003</v>
      </c>
      <c r="AD115" s="499">
        <f t="shared" si="65"/>
        <v>1980706744.6599998</v>
      </c>
      <c r="AE115" s="705">
        <f t="shared" si="65"/>
        <v>958575922</v>
      </c>
      <c r="AF115" s="499">
        <f>SUM(AF109)</f>
        <v>1022130822.6599997</v>
      </c>
      <c r="AG115" s="647">
        <f>AB115/(AB115+AE115+AF115)</f>
        <v>0.83502879553835152</v>
      </c>
      <c r="AH115" s="500"/>
      <c r="AI115" s="501"/>
      <c r="AJ115" s="502"/>
      <c r="AK115" s="503"/>
      <c r="AL115" s="504">
        <f>SUM(AL109)</f>
        <v>0.9033833570436054</v>
      </c>
      <c r="AM115" s="505"/>
      <c r="AP115" s="111"/>
      <c r="AQ115" s="111"/>
      <c r="AR115" s="112"/>
      <c r="AU115" s="113"/>
    </row>
    <row r="116" spans="1:47" s="469" customFormat="1" ht="45.75" customHeight="1" x14ac:dyDescent="0.35">
      <c r="A116" s="10"/>
      <c r="B116" s="10"/>
      <c r="C116" s="10"/>
      <c r="D116" s="10"/>
      <c r="E116" s="10"/>
      <c r="F116" s="10"/>
      <c r="G116" s="10"/>
      <c r="H116" s="10"/>
      <c r="I116" s="10"/>
      <c r="J116" s="510"/>
      <c r="K116" s="507"/>
      <c r="L116" s="508"/>
      <c r="M116" s="509"/>
      <c r="N116" s="488"/>
      <c r="O116" s="488"/>
      <c r="P116" s="488"/>
      <c r="Q116" s="488"/>
      <c r="R116" s="488"/>
      <c r="S116" s="488"/>
      <c r="T116" s="488"/>
      <c r="U116" s="488"/>
      <c r="V116" s="488"/>
      <c r="W116" s="813" t="s">
        <v>423</v>
      </c>
      <c r="X116" s="814"/>
      <c r="Y116" s="815"/>
      <c r="Z116" s="499">
        <f t="shared" ref="Z116:AF116" si="66">SUM(Z114:Z115)</f>
        <v>13231412275.439999</v>
      </c>
      <c r="AA116" s="705">
        <f t="shared" si="66"/>
        <v>11943888253.5</v>
      </c>
      <c r="AB116" s="705">
        <f t="shared" si="66"/>
        <v>10601175096.790001</v>
      </c>
      <c r="AC116" s="499">
        <f t="shared" si="66"/>
        <v>1003559621.1500001</v>
      </c>
      <c r="AD116" s="672">
        <f>SUM(AD114:AD115)</f>
        <v>2630237178.6499996</v>
      </c>
      <c r="AE116" s="705">
        <f t="shared" si="66"/>
        <v>1577084806</v>
      </c>
      <c r="AF116" s="499">
        <f t="shared" si="66"/>
        <v>1053152372.6499997</v>
      </c>
      <c r="AG116" s="647">
        <f>AB116/(AB116+AE116+AF116)</f>
        <v>0.80121266544371716</v>
      </c>
      <c r="AH116" s="500"/>
      <c r="AI116" s="500" t="e">
        <f>AVERAGE(AI114:AI115)</f>
        <v>#DIV/0!</v>
      </c>
      <c r="AJ116" s="500" t="e">
        <f>AVERAGE(AJ114:AJ115)</f>
        <v>#DIV/0!</v>
      </c>
      <c r="AK116" s="500" t="e">
        <f>AVERAGE(AK114:AK115)</f>
        <v>#DIV/0!</v>
      </c>
      <c r="AL116" s="500">
        <f>AVERAGE(AL114:AL115)</f>
        <v>0.9033833570436054</v>
      </c>
      <c r="AM116" s="468"/>
      <c r="AP116" s="111"/>
      <c r="AQ116" s="111"/>
      <c r="AR116" s="112"/>
      <c r="AU116" s="113"/>
    </row>
    <row r="117" spans="1:47" s="469" customFormat="1" ht="55.9" customHeight="1" x14ac:dyDescent="0.35">
      <c r="A117" s="10"/>
      <c r="B117" s="10"/>
      <c r="C117" s="10"/>
      <c r="D117" s="10"/>
      <c r="E117" s="10"/>
      <c r="F117" s="10"/>
      <c r="G117" s="10"/>
      <c r="H117" s="10"/>
      <c r="I117" s="10"/>
      <c r="J117" s="510"/>
      <c r="K117" s="507"/>
      <c r="L117" s="508"/>
      <c r="M117" s="509"/>
      <c r="N117" s="488"/>
      <c r="O117" s="488"/>
      <c r="P117" s="488"/>
      <c r="Q117" s="488"/>
      <c r="R117" s="488"/>
      <c r="S117" s="488"/>
      <c r="T117" s="488"/>
      <c r="U117" s="488"/>
      <c r="V117" s="488"/>
      <c r="W117" s="488"/>
      <c r="X117" s="511"/>
      <c r="Y117" s="488"/>
      <c r="Z117" s="816"/>
      <c r="AA117" s="817"/>
      <c r="AB117" s="817"/>
      <c r="AC117" s="817"/>
      <c r="AD117" s="817"/>
      <c r="AE117" s="817"/>
      <c r="AF117" s="818"/>
      <c r="AG117" s="512"/>
      <c r="AH117" s="497"/>
      <c r="AI117" s="476"/>
      <c r="AJ117" s="427"/>
      <c r="AL117" s="484"/>
      <c r="AM117" s="468"/>
      <c r="AP117" s="111"/>
      <c r="AQ117" s="111"/>
      <c r="AR117" s="112"/>
      <c r="AU117" s="113"/>
    </row>
    <row r="118" spans="1:47" s="469" customFormat="1" ht="32.25" customHeight="1" x14ac:dyDescent="0.35">
      <c r="A118" s="10"/>
      <c r="B118" s="10"/>
      <c r="C118" s="10"/>
      <c r="D118" s="10"/>
      <c r="E118" s="10"/>
      <c r="F118" s="10"/>
      <c r="G118" s="10"/>
      <c r="H118" s="10"/>
      <c r="I118" s="10"/>
      <c r="J118" s="513"/>
      <c r="K118" s="514"/>
      <c r="L118" s="457"/>
      <c r="M118" s="515"/>
      <c r="N118" s="488"/>
      <c r="O118" s="488"/>
      <c r="P118" s="488"/>
      <c r="Q118" s="516"/>
      <c r="R118" s="516"/>
      <c r="S118" s="516"/>
      <c r="T118" s="488"/>
      <c r="U118" s="488"/>
      <c r="V118" s="488"/>
      <c r="W118" s="488"/>
      <c r="X118" s="511"/>
      <c r="Y118" s="488"/>
      <c r="Z118" s="517">
        <f>SUBTOTAL(9,Z101:Z107)</f>
        <v>11006378635.129999</v>
      </c>
      <c r="AA118" s="518">
        <f>SUBTOTAL(9,AA101:AA107)</f>
        <v>9689624699.5</v>
      </c>
      <c r="AB118" s="518">
        <f>SUBTOTAL(9,AB101:AB107)</f>
        <v>9519149704.2500019</v>
      </c>
      <c r="AC118" s="518">
        <f>SUM(AA116-AB116)</f>
        <v>1342713156.7099991</v>
      </c>
      <c r="AD118" s="518">
        <f>SUM(Z116-AB116)</f>
        <v>2630237178.6499977</v>
      </c>
      <c r="AE118" s="518">
        <f>SUM(AA116-AB116)</f>
        <v>1342713156.7099991</v>
      </c>
      <c r="AF118" s="519">
        <f>SUM(AD115-AE115)</f>
        <v>1022130822.6599998</v>
      </c>
      <c r="AG118" s="520"/>
      <c r="AH118" s="521"/>
      <c r="AI118" s="522"/>
      <c r="AJ118" s="427"/>
      <c r="AL118" s="484"/>
      <c r="AM118" s="468"/>
      <c r="AP118" s="111"/>
      <c r="AQ118" s="111"/>
      <c r="AR118" s="112"/>
      <c r="AU118" s="113"/>
    </row>
    <row r="119" spans="1:47" s="469" customFormat="1" x14ac:dyDescent="0.35">
      <c r="A119" s="10"/>
      <c r="B119" s="10"/>
      <c r="C119" s="10"/>
      <c r="D119" s="10"/>
      <c r="E119" s="10"/>
      <c r="F119" s="10"/>
      <c r="G119" s="10"/>
      <c r="H119" s="10"/>
      <c r="I119" s="10"/>
      <c r="J119" s="510"/>
      <c r="K119" s="523"/>
      <c r="L119" s="524"/>
      <c r="M119" s="525"/>
      <c r="N119" s="476"/>
      <c r="O119" s="476"/>
      <c r="P119" s="476"/>
      <c r="Q119" s="526"/>
      <c r="R119" s="526"/>
      <c r="S119" s="526"/>
      <c r="T119" s="488"/>
      <c r="U119" s="488"/>
      <c r="V119" s="476"/>
      <c r="W119" s="476"/>
      <c r="X119" s="527"/>
      <c r="Y119" s="476"/>
      <c r="Z119" s="517"/>
      <c r="AA119" s="518"/>
      <c r="AB119" s="518"/>
      <c r="AC119" s="518"/>
      <c r="AD119" s="518"/>
      <c r="AE119" s="518"/>
      <c r="AF119" s="519">
        <f>SUM(AD114-AE114)</f>
        <v>31021549.99000001</v>
      </c>
      <c r="AG119" s="520"/>
      <c r="AH119" s="521"/>
      <c r="AI119" s="522"/>
      <c r="AJ119" s="427"/>
      <c r="AL119" s="484"/>
      <c r="AM119" s="468"/>
      <c r="AP119" s="111"/>
      <c r="AQ119" s="111"/>
      <c r="AR119" s="112"/>
      <c r="AU119" s="113"/>
    </row>
    <row r="120" spans="1:47" s="469" customFormat="1" ht="24" thickBot="1" x14ac:dyDescent="0.4">
      <c r="A120" s="10"/>
      <c r="B120" s="10"/>
      <c r="C120" s="10"/>
      <c r="D120" s="10"/>
      <c r="E120" s="10"/>
      <c r="F120" s="10"/>
      <c r="G120" s="10"/>
      <c r="H120" s="10"/>
      <c r="I120" s="10"/>
      <c r="J120" s="510"/>
      <c r="K120" s="507"/>
      <c r="L120" s="508"/>
      <c r="M120" s="509"/>
      <c r="N120" s="488"/>
      <c r="O120" s="488"/>
      <c r="P120" s="488"/>
      <c r="Q120" s="516"/>
      <c r="R120" s="516"/>
      <c r="S120" s="516"/>
      <c r="T120" s="488"/>
      <c r="U120" s="488"/>
      <c r="V120" s="488"/>
      <c r="W120" s="488"/>
      <c r="X120" s="511"/>
      <c r="Y120" s="488"/>
      <c r="Z120" s="528" t="s">
        <v>347</v>
      </c>
      <c r="AA120" s="529"/>
      <c r="AB120" s="529"/>
      <c r="AC120" s="529"/>
      <c r="AD120" s="529">
        <f>SUM(AD116-AE116)</f>
        <v>1053152372.6499996</v>
      </c>
      <c r="AE120" s="529">
        <f>SUM(AF120-AF116)</f>
        <v>-1.1920928955078125E-7</v>
      </c>
      <c r="AF120" s="530">
        <f>SUM(AD116-AE116)</f>
        <v>1053152372.6499996</v>
      </c>
      <c r="AG120" s="520"/>
      <c r="AH120" s="521"/>
      <c r="AI120" s="522"/>
      <c r="AJ120" s="427"/>
      <c r="AL120" s="484"/>
      <c r="AM120" s="468"/>
      <c r="AP120" s="111"/>
      <c r="AQ120" s="111"/>
      <c r="AR120" s="112"/>
      <c r="AU120" s="113"/>
    </row>
    <row r="121" spans="1:47" s="469" customFormat="1" ht="93" customHeight="1" x14ac:dyDescent="0.35">
      <c r="A121" s="10"/>
      <c r="B121" s="10"/>
      <c r="C121" s="10"/>
      <c r="D121" s="10"/>
      <c r="E121" s="10"/>
      <c r="F121" s="10"/>
      <c r="G121" s="10"/>
      <c r="H121" s="10"/>
      <c r="I121" s="10"/>
      <c r="J121" s="510"/>
      <c r="K121" s="507"/>
      <c r="L121" s="508"/>
      <c r="M121" s="509"/>
      <c r="N121" s="488"/>
      <c r="O121" s="488"/>
      <c r="P121" s="488"/>
      <c r="Q121" s="488"/>
      <c r="R121" s="488"/>
      <c r="S121" s="488"/>
      <c r="T121" s="488"/>
      <c r="U121" s="488"/>
      <c r="V121" s="488"/>
      <c r="W121" s="488"/>
      <c r="X121" s="511"/>
      <c r="Y121" s="488"/>
      <c r="Z121" s="476"/>
      <c r="AA121" s="531"/>
      <c r="AB121" s="532"/>
      <c r="AC121" s="476"/>
      <c r="AD121" s="532"/>
      <c r="AE121" s="476"/>
      <c r="AF121" s="476"/>
      <c r="AG121" s="533"/>
      <c r="AH121" s="497"/>
      <c r="AI121" s="476"/>
      <c r="AJ121" s="534"/>
      <c r="AL121" s="484"/>
      <c r="AM121" s="468"/>
      <c r="AP121" s="111"/>
      <c r="AQ121" s="111"/>
      <c r="AR121" s="112"/>
      <c r="AU121" s="113"/>
    </row>
    <row r="122" spans="1:47" s="469" customFormat="1" ht="58.15" customHeight="1" x14ac:dyDescent="0.35">
      <c r="A122" s="10"/>
      <c r="B122" s="10"/>
      <c r="C122" s="10"/>
      <c r="D122" s="10"/>
      <c r="E122" s="10"/>
      <c r="F122" s="10"/>
      <c r="G122" s="10"/>
      <c r="H122" s="10"/>
      <c r="I122" s="10"/>
      <c r="J122" s="513"/>
      <c r="K122" s="514"/>
      <c r="L122" s="457"/>
      <c r="M122" s="515"/>
      <c r="N122" s="488"/>
      <c r="O122" s="488"/>
      <c r="P122" s="488"/>
      <c r="Q122" s="488"/>
      <c r="R122" s="488"/>
      <c r="S122" s="488"/>
      <c r="T122" s="488"/>
      <c r="U122" s="488"/>
      <c r="V122" s="488"/>
      <c r="W122" s="488"/>
      <c r="X122" s="511"/>
      <c r="Y122" s="535"/>
      <c r="Z122" s="536"/>
      <c r="AA122" s="536"/>
      <c r="AB122" s="537"/>
      <c r="AC122" s="537"/>
      <c r="AD122" s="537"/>
      <c r="AE122" s="537"/>
      <c r="AF122" s="537"/>
      <c r="AG122" s="533"/>
      <c r="AH122" s="497"/>
      <c r="AI122" s="423"/>
      <c r="AJ122" s="538"/>
      <c r="AK122" s="423"/>
      <c r="AL122" s="788"/>
      <c r="AM122" s="468"/>
      <c r="AP122" s="111"/>
      <c r="AQ122" s="111"/>
      <c r="AR122" s="112"/>
      <c r="AU122" s="113"/>
    </row>
    <row r="123" spans="1:47" s="469" customFormat="1" ht="31.9" customHeight="1" x14ac:dyDescent="0.35">
      <c r="A123" s="10"/>
      <c r="B123" s="10"/>
      <c r="C123" s="10"/>
      <c r="D123" s="10"/>
      <c r="E123" s="10"/>
      <c r="F123" s="10"/>
      <c r="G123" s="10"/>
      <c r="H123" s="10"/>
      <c r="I123" s="10"/>
      <c r="J123" s="510"/>
      <c r="K123" s="523"/>
      <c r="L123" s="524"/>
      <c r="M123" s="525"/>
      <c r="N123" s="476"/>
      <c r="O123" s="476"/>
      <c r="P123" s="476"/>
      <c r="Q123" s="526"/>
      <c r="R123" s="526"/>
      <c r="S123" s="526"/>
      <c r="T123" s="476"/>
      <c r="U123" s="476"/>
      <c r="V123" s="476"/>
      <c r="W123" s="476"/>
      <c r="X123" s="527"/>
      <c r="Y123" s="539"/>
      <c r="Z123" s="540"/>
      <c r="AA123" s="540"/>
      <c r="AB123" s="540"/>
      <c r="AC123" s="540"/>
      <c r="AD123" s="540"/>
      <c r="AE123" s="789"/>
      <c r="AF123" s="790"/>
      <c r="AG123" s="541"/>
      <c r="AH123" s="542"/>
      <c r="AI123" s="542"/>
      <c r="AJ123" s="538"/>
      <c r="AK123" s="543"/>
      <c r="AL123" s="788"/>
      <c r="AM123" s="468"/>
      <c r="AP123" s="111"/>
      <c r="AQ123" s="111"/>
      <c r="AR123" s="112"/>
      <c r="AU123" s="113"/>
    </row>
    <row r="124" spans="1:47" s="469" customFormat="1" ht="51" customHeight="1" x14ac:dyDescent="0.4">
      <c r="A124" s="10"/>
      <c r="B124" s="10"/>
      <c r="C124" s="10"/>
      <c r="D124" s="10"/>
      <c r="E124" s="10"/>
      <c r="F124" s="10"/>
      <c r="G124" s="10"/>
      <c r="H124" s="10"/>
      <c r="I124" s="10"/>
      <c r="J124" s="513"/>
      <c r="K124" s="514"/>
      <c r="L124" s="457"/>
      <c r="M124" s="515"/>
      <c r="N124" s="488"/>
      <c r="O124" s="488"/>
      <c r="P124" s="488"/>
      <c r="Q124" s="516"/>
      <c r="R124" s="516"/>
      <c r="S124" s="516"/>
      <c r="T124" s="488"/>
      <c r="U124" s="488"/>
      <c r="V124" s="488"/>
      <c r="W124" s="488"/>
      <c r="X124" s="511"/>
      <c r="Y124" s="535"/>
      <c r="Z124" s="544"/>
      <c r="AA124" s="544"/>
      <c r="AB124" s="545"/>
      <c r="AC124" s="545"/>
      <c r="AD124" s="545"/>
      <c r="AE124" s="545"/>
      <c r="AF124" s="545"/>
      <c r="AG124" s="520"/>
      <c r="AH124" s="546"/>
      <c r="AI124" s="547"/>
      <c r="AJ124" s="231"/>
      <c r="AK124" s="547"/>
      <c r="AL124" s="548"/>
      <c r="AM124" s="468"/>
      <c r="AP124" s="111"/>
      <c r="AQ124" s="111"/>
      <c r="AR124" s="112"/>
      <c r="AU124" s="113"/>
    </row>
    <row r="125" spans="1:47" s="469" customFormat="1" ht="42.75" customHeight="1" x14ac:dyDescent="0.4">
      <c r="A125" s="10"/>
      <c r="B125" s="10"/>
      <c r="C125" s="10"/>
      <c r="D125" s="10"/>
      <c r="E125" s="10"/>
      <c r="F125" s="10"/>
      <c r="G125" s="10"/>
      <c r="H125" s="10"/>
      <c r="I125" s="10"/>
      <c r="J125" s="10"/>
      <c r="K125" s="10"/>
      <c r="L125" s="10"/>
      <c r="M125" s="10"/>
      <c r="N125" s="423"/>
      <c r="O125" s="423"/>
      <c r="P125" s="423"/>
      <c r="Q125" s="549"/>
      <c r="R125" s="549"/>
      <c r="S125" s="549"/>
      <c r="T125" s="423"/>
      <c r="U125" s="423"/>
      <c r="V125" s="423"/>
      <c r="W125" s="423"/>
      <c r="X125" s="550"/>
      <c r="Y125" s="551"/>
      <c r="Z125" s="544"/>
      <c r="AA125" s="544"/>
      <c r="AB125" s="544"/>
      <c r="AC125" s="544"/>
      <c r="AD125" s="544"/>
      <c r="AE125" s="791"/>
      <c r="AF125" s="792"/>
      <c r="AG125" s="552"/>
      <c r="AH125" s="546"/>
      <c r="AI125" s="547"/>
      <c r="AJ125" s="231"/>
      <c r="AK125" s="547"/>
      <c r="AL125" s="548"/>
      <c r="AM125" s="468"/>
      <c r="AP125" s="111"/>
      <c r="AQ125" s="111"/>
      <c r="AR125" s="112"/>
      <c r="AU125" s="113"/>
    </row>
    <row r="126" spans="1:47" x14ac:dyDescent="0.35">
      <c r="O126" s="553">
        <f>SUM(P124-O124)</f>
        <v>0</v>
      </c>
      <c r="Y126" s="488"/>
      <c r="Z126" s="554"/>
      <c r="AA126" s="554"/>
      <c r="AB126" s="555"/>
      <c r="AC126" s="555"/>
      <c r="AD126" s="555"/>
      <c r="AE126" s="555"/>
      <c r="AF126" s="555"/>
      <c r="AG126" s="520"/>
      <c r="AH126" s="546"/>
      <c r="AI126" s="547"/>
      <c r="AJ126" s="231"/>
      <c r="AK126" s="547"/>
      <c r="AL126" s="548"/>
    </row>
    <row r="127" spans="1:47" x14ac:dyDescent="0.35">
      <c r="AB127" s="556"/>
      <c r="AC127" s="556"/>
      <c r="AD127" s="556"/>
      <c r="AE127" s="556"/>
      <c r="AF127" s="556"/>
      <c r="AJ127" s="557"/>
    </row>
    <row r="128" spans="1:47" x14ac:dyDescent="0.35">
      <c r="AD128" s="106"/>
      <c r="AF128" s="106"/>
    </row>
    <row r="129" spans="28:31" x14ac:dyDescent="0.35">
      <c r="AB129" s="106"/>
    </row>
    <row r="130" spans="28:31" x14ac:dyDescent="0.35">
      <c r="AD130" s="106"/>
    </row>
    <row r="131" spans="28:31" x14ac:dyDescent="0.35">
      <c r="AE131" s="106"/>
    </row>
  </sheetData>
  <mergeCells count="37">
    <mergeCell ref="AL122:AL123"/>
    <mergeCell ref="AE123:AF123"/>
    <mergeCell ref="AE125:AF125"/>
    <mergeCell ref="M93:M95"/>
    <mergeCell ref="B97:J97"/>
    <mergeCell ref="B100:J100"/>
    <mergeCell ref="W112:AG112"/>
    <mergeCell ref="W113:Y113"/>
    <mergeCell ref="W114:Y114"/>
    <mergeCell ref="B93:I95"/>
    <mergeCell ref="W115:Y115"/>
    <mergeCell ref="W116:Y116"/>
    <mergeCell ref="Z117:AF117"/>
    <mergeCell ref="L76:L77"/>
    <mergeCell ref="K78:K79"/>
    <mergeCell ref="L78:L79"/>
    <mergeCell ref="B81:J81"/>
    <mergeCell ref="B86:J86"/>
    <mergeCell ref="K76:K77"/>
    <mergeCell ref="B52:J52"/>
    <mergeCell ref="B58:J58"/>
    <mergeCell ref="B64:J64"/>
    <mergeCell ref="B71:J71"/>
    <mergeCell ref="B75:J75"/>
    <mergeCell ref="AL4:AL5"/>
    <mergeCell ref="AP5:AQ5"/>
    <mergeCell ref="B17:J17"/>
    <mergeCell ref="B26:J26"/>
    <mergeCell ref="B37:J37"/>
    <mergeCell ref="B46:J46"/>
    <mergeCell ref="A1:AA1"/>
    <mergeCell ref="A2:AA2"/>
    <mergeCell ref="B3:I3"/>
    <mergeCell ref="K4:K5"/>
    <mergeCell ref="L4:L5"/>
    <mergeCell ref="M4:M5"/>
    <mergeCell ref="AA4:AE4"/>
  </mergeCells>
  <pageMargins left="1.299212598425197" right="0" top="0.39370078740157483" bottom="0" header="0.78740157480314965" footer="0.78740157480314965"/>
  <pageSetup paperSize="5" scale="20" orientation="landscape" horizontalDpi="300" verticalDpi="300" r:id="rId1"/>
  <headerFooter alignWithMargins="0"/>
  <rowBreaks count="1" manualBreakCount="1">
    <brk id="120" max="16383" man="1"/>
  </rowBreaks>
  <colBreaks count="1" manualBreakCount="1">
    <brk id="38" max="12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46"/>
  <sheetViews>
    <sheetView topLeftCell="A28" zoomScale="50" zoomScaleNormal="50" workbookViewId="0">
      <selection activeCell="A25" sqref="A25:S46"/>
    </sheetView>
  </sheetViews>
  <sheetFormatPr baseColWidth="10" defaultRowHeight="18.75" x14ac:dyDescent="0.3"/>
  <cols>
    <col min="1" max="1" width="8.5703125" customWidth="1"/>
    <col min="2" max="2" width="8.140625" customWidth="1"/>
    <col min="3" max="6" width="3.85546875" customWidth="1"/>
    <col min="7" max="7" width="7.7109375" customWidth="1"/>
    <col min="8" max="8" width="3.85546875" customWidth="1"/>
    <col min="9" max="9" width="50.28515625" customWidth="1"/>
    <col min="10" max="10" width="32.85546875" style="103" customWidth="1"/>
    <col min="11" max="11" width="29.42578125" customWidth="1"/>
    <col min="12" max="12" width="9.42578125" customWidth="1"/>
    <col min="13" max="13" width="26" customWidth="1"/>
    <col min="14" max="14" width="34.42578125" customWidth="1"/>
    <col min="15" max="15" width="23" customWidth="1"/>
    <col min="16" max="16" width="8.5703125" customWidth="1"/>
    <col min="17" max="17" width="29.42578125" customWidth="1"/>
    <col min="18" max="18" width="36" customWidth="1"/>
    <col min="19" max="19" width="29.42578125" customWidth="1"/>
  </cols>
  <sheetData>
    <row r="3" spans="1:19" ht="21" x14ac:dyDescent="0.35">
      <c r="A3" s="740"/>
      <c r="B3" s="741"/>
      <c r="C3" s="741"/>
      <c r="D3" s="741"/>
      <c r="E3" s="741"/>
      <c r="F3" s="741"/>
      <c r="G3" s="741"/>
      <c r="H3" s="741"/>
      <c r="I3" s="742"/>
      <c r="J3" s="822" t="s">
        <v>309</v>
      </c>
      <c r="K3" s="823"/>
      <c r="L3" s="823"/>
      <c r="M3" s="824" t="s">
        <v>312</v>
      </c>
      <c r="N3" s="824"/>
      <c r="O3" s="824"/>
      <c r="P3" s="685"/>
      <c r="Q3" s="825" t="s">
        <v>425</v>
      </c>
      <c r="R3" s="826"/>
      <c r="S3" s="102"/>
    </row>
    <row r="4" spans="1:19" ht="23.1" customHeight="1" x14ac:dyDescent="0.25">
      <c r="A4" s="827" t="s">
        <v>1735</v>
      </c>
      <c r="B4" s="828"/>
      <c r="C4" s="828"/>
      <c r="D4" s="828"/>
      <c r="E4" s="828"/>
      <c r="F4" s="828"/>
      <c r="G4" s="828"/>
      <c r="H4" s="828"/>
      <c r="I4" s="829"/>
      <c r="J4" s="104" t="s">
        <v>228</v>
      </c>
      <c r="K4" s="104" t="s">
        <v>229</v>
      </c>
      <c r="L4" s="104"/>
      <c r="M4" s="94" t="s">
        <v>228</v>
      </c>
      <c r="N4" s="94" t="s">
        <v>229</v>
      </c>
      <c r="O4" s="94" t="s">
        <v>230</v>
      </c>
      <c r="P4" s="94"/>
      <c r="Q4" s="101" t="s">
        <v>228</v>
      </c>
      <c r="R4" s="101" t="s">
        <v>229</v>
      </c>
      <c r="S4" s="100" t="s">
        <v>230</v>
      </c>
    </row>
    <row r="5" spans="1:19" ht="36" x14ac:dyDescent="0.4">
      <c r="A5" s="38">
        <v>2</v>
      </c>
      <c r="B5" s="38">
        <v>0</v>
      </c>
      <c r="C5" s="38">
        <v>4</v>
      </c>
      <c r="D5" s="38">
        <v>1</v>
      </c>
      <c r="E5" s="38">
        <v>25</v>
      </c>
      <c r="F5" s="38" t="s">
        <v>147</v>
      </c>
      <c r="G5" s="38">
        <v>10</v>
      </c>
      <c r="H5" s="25" t="s">
        <v>88</v>
      </c>
      <c r="I5" s="36" t="s">
        <v>186</v>
      </c>
      <c r="J5" s="105"/>
      <c r="K5" s="105"/>
      <c r="L5" s="684"/>
      <c r="M5" s="681"/>
      <c r="N5" s="681"/>
      <c r="O5" s="680"/>
      <c r="P5" s="680"/>
      <c r="Q5" s="679"/>
      <c r="R5" s="679">
        <v>0</v>
      </c>
      <c r="S5" s="683"/>
    </row>
    <row r="6" spans="1:19" ht="15" x14ac:dyDescent="0.25">
      <c r="G6" s="682"/>
      <c r="J6"/>
    </row>
    <row r="7" spans="1:19" ht="36.6" customHeight="1" x14ac:dyDescent="0.25">
      <c r="A7" s="819" t="s">
        <v>2001</v>
      </c>
      <c r="B7" s="820"/>
      <c r="C7" s="820"/>
      <c r="D7" s="820"/>
      <c r="E7" s="820"/>
      <c r="F7" s="820"/>
      <c r="G7" s="820"/>
      <c r="H7" s="820"/>
      <c r="I7" s="821"/>
      <c r="J7" s="720" t="s">
        <v>228</v>
      </c>
      <c r="K7" s="720" t="s">
        <v>229</v>
      </c>
      <c r="M7" s="581"/>
      <c r="N7" s="581"/>
      <c r="O7" s="581"/>
      <c r="Q7" s="711" t="s">
        <v>228</v>
      </c>
      <c r="R7" s="711" t="s">
        <v>229</v>
      </c>
      <c r="S7" s="581"/>
    </row>
    <row r="8" spans="1:19" ht="28.5" customHeight="1" x14ac:dyDescent="0.45">
      <c r="A8" s="740" t="s">
        <v>114</v>
      </c>
      <c r="B8" s="741"/>
      <c r="C8" s="741"/>
      <c r="D8" s="741"/>
      <c r="E8" s="741"/>
      <c r="F8" s="741"/>
      <c r="G8" s="741"/>
      <c r="H8" s="741"/>
      <c r="I8" s="742"/>
      <c r="J8" s="697"/>
      <c r="K8" s="697"/>
      <c r="M8" s="712"/>
      <c r="N8" s="712"/>
      <c r="O8" s="712"/>
      <c r="P8" s="713"/>
      <c r="Q8" s="712"/>
      <c r="R8" s="712"/>
      <c r="S8" s="712"/>
    </row>
    <row r="9" spans="1:19" ht="36" x14ac:dyDescent="0.45">
      <c r="A9" s="252">
        <v>2</v>
      </c>
      <c r="B9" s="252">
        <v>0</v>
      </c>
      <c r="C9" s="252">
        <v>4</v>
      </c>
      <c r="D9" s="252">
        <v>1</v>
      </c>
      <c r="E9" s="252">
        <v>6</v>
      </c>
      <c r="F9" s="38" t="s">
        <v>147</v>
      </c>
      <c r="G9" s="25">
        <v>10</v>
      </c>
      <c r="H9" s="25" t="s">
        <v>88</v>
      </c>
      <c r="I9" s="36" t="s">
        <v>360</v>
      </c>
      <c r="J9" s="697">
        <v>94000000</v>
      </c>
      <c r="K9" s="697"/>
      <c r="M9" s="712"/>
      <c r="N9" s="712"/>
      <c r="O9" s="712"/>
      <c r="P9" s="713"/>
      <c r="Q9" s="712">
        <v>94000000</v>
      </c>
      <c r="R9" s="712"/>
      <c r="S9" s="712"/>
    </row>
    <row r="10" spans="1:19" ht="28.5" customHeight="1" x14ac:dyDescent="0.45">
      <c r="A10" s="740" t="s">
        <v>127</v>
      </c>
      <c r="B10" s="741"/>
      <c r="C10" s="741"/>
      <c r="D10" s="741"/>
      <c r="E10" s="741"/>
      <c r="F10" s="741"/>
      <c r="G10" s="741"/>
      <c r="H10" s="741"/>
      <c r="I10" s="742"/>
      <c r="J10" s="697"/>
      <c r="K10" s="697"/>
      <c r="M10" s="712"/>
      <c r="N10" s="712"/>
      <c r="O10" s="712"/>
      <c r="P10" s="713"/>
      <c r="Q10" s="712"/>
      <c r="R10" s="712"/>
      <c r="S10" s="712"/>
    </row>
    <row r="11" spans="1:19" ht="36" x14ac:dyDescent="0.45">
      <c r="A11" s="38">
        <v>2</v>
      </c>
      <c r="B11" s="38">
        <v>0</v>
      </c>
      <c r="C11" s="38">
        <v>4</v>
      </c>
      <c r="D11" s="38">
        <v>4</v>
      </c>
      <c r="E11" s="38">
        <v>6</v>
      </c>
      <c r="F11" s="38" t="s">
        <v>147</v>
      </c>
      <c r="G11" s="25">
        <v>10</v>
      </c>
      <c r="H11" s="25" t="s">
        <v>88</v>
      </c>
      <c r="I11" s="42" t="s">
        <v>367</v>
      </c>
      <c r="J11" s="697"/>
      <c r="K11" s="697">
        <v>4000000</v>
      </c>
      <c r="M11" s="712"/>
      <c r="N11" s="712">
        <v>984432</v>
      </c>
      <c r="O11" s="712"/>
      <c r="P11" s="713"/>
      <c r="Q11" s="712"/>
      <c r="R11" s="712">
        <f>SUM(K11-N11)</f>
        <v>3015568</v>
      </c>
      <c r="S11" s="712"/>
    </row>
    <row r="12" spans="1:19" ht="36" x14ac:dyDescent="0.45">
      <c r="A12" s="38">
        <v>2</v>
      </c>
      <c r="B12" s="38">
        <v>0</v>
      </c>
      <c r="C12" s="38">
        <v>4</v>
      </c>
      <c r="D12" s="38">
        <v>4</v>
      </c>
      <c r="E12" s="38">
        <v>15</v>
      </c>
      <c r="F12" s="38" t="s">
        <v>147</v>
      </c>
      <c r="G12" s="25">
        <v>10</v>
      </c>
      <c r="H12" s="25" t="s">
        <v>88</v>
      </c>
      <c r="I12" s="42" t="s">
        <v>155</v>
      </c>
      <c r="J12" s="294">
        <v>1635000</v>
      </c>
      <c r="K12" s="164"/>
      <c r="M12" s="712">
        <v>1635000</v>
      </c>
      <c r="N12" s="712"/>
      <c r="O12" s="712"/>
      <c r="P12" s="713"/>
      <c r="Q12" s="712"/>
      <c r="R12" s="712"/>
      <c r="S12" s="712"/>
    </row>
    <row r="13" spans="1:19" ht="36" x14ac:dyDescent="0.45">
      <c r="A13" s="38">
        <v>2</v>
      </c>
      <c r="B13" s="38">
        <v>0</v>
      </c>
      <c r="C13" s="38">
        <v>4</v>
      </c>
      <c r="D13" s="38">
        <v>4</v>
      </c>
      <c r="E13" s="38">
        <v>17</v>
      </c>
      <c r="F13" s="38" t="s">
        <v>147</v>
      </c>
      <c r="G13" s="25">
        <v>10</v>
      </c>
      <c r="H13" s="25" t="s">
        <v>88</v>
      </c>
      <c r="I13" s="42" t="s">
        <v>128</v>
      </c>
      <c r="J13" s="77">
        <v>94000</v>
      </c>
      <c r="K13" s="164"/>
      <c r="M13" s="712">
        <v>94000</v>
      </c>
      <c r="N13" s="712"/>
      <c r="O13" s="712"/>
      <c r="P13" s="713"/>
      <c r="Q13" s="712"/>
      <c r="R13" s="712"/>
      <c r="S13" s="712"/>
    </row>
    <row r="14" spans="1:19" ht="36" x14ac:dyDescent="0.45">
      <c r="A14" s="38">
        <v>2</v>
      </c>
      <c r="B14" s="38">
        <v>0</v>
      </c>
      <c r="C14" s="38">
        <v>4</v>
      </c>
      <c r="D14" s="38">
        <v>4</v>
      </c>
      <c r="E14" s="38">
        <v>20</v>
      </c>
      <c r="F14" s="38" t="s">
        <v>147</v>
      </c>
      <c r="G14" s="25">
        <v>10</v>
      </c>
      <c r="H14" s="25" t="s">
        <v>88</v>
      </c>
      <c r="I14" s="42" t="s">
        <v>176</v>
      </c>
      <c r="J14" s="77"/>
      <c r="K14" s="164">
        <v>44568</v>
      </c>
      <c r="M14" s="712"/>
      <c r="N14" s="712">
        <v>44568</v>
      </c>
      <c r="O14" s="712"/>
      <c r="P14" s="713"/>
      <c r="Q14" s="712"/>
      <c r="R14" s="712"/>
      <c r="S14" s="712"/>
    </row>
    <row r="15" spans="1:19" ht="36" x14ac:dyDescent="0.45">
      <c r="A15" s="38">
        <v>2</v>
      </c>
      <c r="B15" s="38">
        <v>0</v>
      </c>
      <c r="C15" s="38">
        <v>4</v>
      </c>
      <c r="D15" s="38">
        <v>4</v>
      </c>
      <c r="E15" s="38">
        <v>23</v>
      </c>
      <c r="F15" s="38" t="s">
        <v>147</v>
      </c>
      <c r="G15" s="25">
        <v>10</v>
      </c>
      <c r="H15" s="25" t="s">
        <v>88</v>
      </c>
      <c r="I15" s="36" t="s">
        <v>130</v>
      </c>
      <c r="J15" s="77"/>
      <c r="K15" s="164">
        <v>700000</v>
      </c>
      <c r="M15" s="712"/>
      <c r="N15" s="712">
        <v>700000</v>
      </c>
      <c r="O15" s="712"/>
      <c r="P15" s="713"/>
      <c r="Q15" s="712"/>
      <c r="R15" s="712"/>
      <c r="S15" s="712"/>
    </row>
    <row r="16" spans="1:19" ht="28.5" customHeight="1" x14ac:dyDescent="0.45">
      <c r="A16" s="740" t="s">
        <v>124</v>
      </c>
      <c r="B16" s="741"/>
      <c r="C16" s="741"/>
      <c r="D16" s="741"/>
      <c r="E16" s="741"/>
      <c r="F16" s="741"/>
      <c r="G16" s="741"/>
      <c r="H16" s="741"/>
      <c r="I16" s="742"/>
      <c r="J16" s="709"/>
      <c r="K16" s="581"/>
      <c r="M16" s="712"/>
      <c r="N16" s="712"/>
      <c r="O16" s="712"/>
      <c r="P16" s="713"/>
      <c r="Q16" s="712"/>
      <c r="R16" s="712"/>
      <c r="S16" s="712"/>
    </row>
    <row r="17" spans="1:19" ht="36" x14ac:dyDescent="0.45">
      <c r="A17" s="38">
        <v>2</v>
      </c>
      <c r="B17" s="38">
        <v>0</v>
      </c>
      <c r="C17" s="38">
        <v>4</v>
      </c>
      <c r="D17" s="38">
        <v>6</v>
      </c>
      <c r="E17" s="38">
        <v>5</v>
      </c>
      <c r="F17" s="38" t="s">
        <v>147</v>
      </c>
      <c r="G17" s="25">
        <v>10</v>
      </c>
      <c r="H17" s="25" t="s">
        <v>88</v>
      </c>
      <c r="I17" s="42" t="s">
        <v>120</v>
      </c>
      <c r="J17" s="77"/>
      <c r="K17" s="164">
        <v>90117432</v>
      </c>
      <c r="M17" s="712"/>
      <c r="N17" s="712"/>
      <c r="O17" s="712"/>
      <c r="P17" s="713"/>
      <c r="Q17" s="712"/>
      <c r="R17" s="712">
        <f>SUM(K17)</f>
        <v>90117432</v>
      </c>
      <c r="S17" s="712"/>
    </row>
    <row r="18" spans="1:19" ht="36" x14ac:dyDescent="0.45">
      <c r="A18" s="38">
        <v>2</v>
      </c>
      <c r="B18" s="38">
        <v>0</v>
      </c>
      <c r="C18" s="38">
        <v>4</v>
      </c>
      <c r="D18" s="38">
        <v>6</v>
      </c>
      <c r="E18" s="38">
        <v>8</v>
      </c>
      <c r="F18" s="38" t="s">
        <v>147</v>
      </c>
      <c r="G18" s="25">
        <v>10</v>
      </c>
      <c r="H18" s="25" t="s">
        <v>88</v>
      </c>
      <c r="I18" s="42" t="s">
        <v>370</v>
      </c>
      <c r="J18" s="77"/>
      <c r="K18" s="164">
        <v>1617000</v>
      </c>
      <c r="M18" s="712"/>
      <c r="N18" s="712"/>
      <c r="O18" s="712"/>
      <c r="P18" s="713"/>
      <c r="Q18" s="712"/>
      <c r="R18" s="712">
        <f>SUM(K18)</f>
        <v>1617000</v>
      </c>
      <c r="S18" s="712"/>
    </row>
    <row r="19" spans="1:19" ht="28.5" customHeight="1" x14ac:dyDescent="0.45">
      <c r="A19" s="740" t="s">
        <v>122</v>
      </c>
      <c r="B19" s="741"/>
      <c r="C19" s="741"/>
      <c r="D19" s="741"/>
      <c r="E19" s="741"/>
      <c r="F19" s="741"/>
      <c r="G19" s="741"/>
      <c r="H19" s="741"/>
      <c r="I19" s="742" t="s">
        <v>122</v>
      </c>
      <c r="J19" s="709"/>
      <c r="K19" s="581"/>
      <c r="M19" s="712"/>
      <c r="N19" s="712"/>
      <c r="O19" s="712"/>
      <c r="P19" s="713"/>
      <c r="Q19" s="712"/>
      <c r="R19" s="712"/>
      <c r="S19" s="712"/>
    </row>
    <row r="20" spans="1:19" ht="36" x14ac:dyDescent="0.45">
      <c r="A20" s="38">
        <v>2</v>
      </c>
      <c r="B20" s="38">
        <v>0</v>
      </c>
      <c r="C20" s="38">
        <v>4</v>
      </c>
      <c r="D20" s="38">
        <v>7</v>
      </c>
      <c r="E20" s="38">
        <v>6</v>
      </c>
      <c r="F20" s="38" t="s">
        <v>147</v>
      </c>
      <c r="G20" s="25">
        <v>10</v>
      </c>
      <c r="H20" s="25" t="s">
        <v>88</v>
      </c>
      <c r="I20" s="42" t="s">
        <v>212</v>
      </c>
      <c r="J20" s="77">
        <v>750000</v>
      </c>
      <c r="K20" s="581"/>
      <c r="M20" s="712"/>
      <c r="N20" s="712"/>
      <c r="O20" s="712"/>
      <c r="P20" s="713"/>
      <c r="Q20" s="712">
        <v>750000</v>
      </c>
      <c r="R20" s="712"/>
      <c r="S20" s="712"/>
    </row>
    <row r="21" spans="1:19" ht="49.5" customHeight="1" x14ac:dyDescent="0.55000000000000004">
      <c r="A21" s="830" t="s">
        <v>606</v>
      </c>
      <c r="B21" s="831"/>
      <c r="C21" s="831"/>
      <c r="D21" s="831"/>
      <c r="E21" s="831"/>
      <c r="F21" s="831"/>
      <c r="G21" s="831"/>
      <c r="H21" s="831"/>
      <c r="I21" s="832"/>
      <c r="J21" s="710">
        <f>SUM(J8:J20)</f>
        <v>96479000</v>
      </c>
      <c r="K21" s="710">
        <f>SUM(K8:K20)</f>
        <v>96479000</v>
      </c>
      <c r="M21" s="712">
        <f>SUM(M8:M20)</f>
        <v>1729000</v>
      </c>
      <c r="N21" s="712">
        <f>SUM(N8:N20)</f>
        <v>1729000</v>
      </c>
      <c r="O21" s="712"/>
      <c r="P21" s="713"/>
      <c r="Q21" s="712">
        <f>SUM(Q9:Q20)</f>
        <v>94750000</v>
      </c>
      <c r="R21" s="712">
        <f>SUM(R9:R20)</f>
        <v>94750000</v>
      </c>
      <c r="S21" s="712"/>
    </row>
    <row r="23" spans="1:19" ht="49.5" customHeight="1" x14ac:dyDescent="0.4">
      <c r="M23" s="714">
        <f>SUM(M21+Q21)</f>
        <v>96479000</v>
      </c>
      <c r="N23" s="714">
        <f>SUM(N21+R21)</f>
        <v>96479000</v>
      </c>
    </row>
    <row r="25" spans="1:19" x14ac:dyDescent="0.3">
      <c r="M25" s="833" t="s">
        <v>2009</v>
      </c>
      <c r="N25" s="833"/>
      <c r="O25" s="833"/>
      <c r="Q25" s="834" t="s">
        <v>2010</v>
      </c>
      <c r="R25" s="835"/>
      <c r="S25" s="836"/>
    </row>
    <row r="26" spans="1:19" ht="33.6" customHeight="1" x14ac:dyDescent="0.25">
      <c r="A26" s="819" t="s">
        <v>2008</v>
      </c>
      <c r="B26" s="820"/>
      <c r="C26" s="820"/>
      <c r="D26" s="820"/>
      <c r="E26" s="820"/>
      <c r="F26" s="820"/>
      <c r="G26" s="820"/>
      <c r="H26" s="820"/>
      <c r="I26" s="821"/>
      <c r="J26" s="720" t="s">
        <v>228</v>
      </c>
      <c r="K26" s="720" t="s">
        <v>229</v>
      </c>
      <c r="M26" s="581" t="s">
        <v>228</v>
      </c>
      <c r="N26" s="581" t="s">
        <v>229</v>
      </c>
      <c r="O26" s="581"/>
      <c r="Q26" s="711" t="s">
        <v>228</v>
      </c>
      <c r="R26" s="711" t="s">
        <v>229</v>
      </c>
      <c r="S26" s="581"/>
    </row>
    <row r="27" spans="1:19" ht="28.5" customHeight="1" x14ac:dyDescent="0.45">
      <c r="A27" s="740" t="s">
        <v>114</v>
      </c>
      <c r="B27" s="741"/>
      <c r="C27" s="741"/>
      <c r="D27" s="741"/>
      <c r="E27" s="741"/>
      <c r="F27" s="741"/>
      <c r="G27" s="741"/>
      <c r="H27" s="741"/>
      <c r="I27" s="742"/>
      <c r="J27" s="697"/>
      <c r="K27" s="697"/>
      <c r="M27" s="712"/>
      <c r="N27" s="712"/>
      <c r="O27" s="712"/>
      <c r="P27" s="713"/>
      <c r="Q27" s="712"/>
      <c r="R27" s="712"/>
      <c r="S27" s="712"/>
    </row>
    <row r="28" spans="1:19" ht="36" x14ac:dyDescent="0.45">
      <c r="A28" s="252">
        <v>2</v>
      </c>
      <c r="B28" s="252">
        <v>0</v>
      </c>
      <c r="C28" s="252">
        <v>4</v>
      </c>
      <c r="D28" s="252">
        <v>1</v>
      </c>
      <c r="E28" s="252">
        <v>6</v>
      </c>
      <c r="F28" s="38" t="s">
        <v>147</v>
      </c>
      <c r="G28" s="25">
        <v>10</v>
      </c>
      <c r="H28" s="25" t="s">
        <v>88</v>
      </c>
      <c r="I28" s="36" t="s">
        <v>360</v>
      </c>
      <c r="J28" s="697">
        <v>99627750</v>
      </c>
      <c r="K28" s="697"/>
      <c r="M28" s="712"/>
      <c r="N28" s="712"/>
      <c r="O28" s="712"/>
      <c r="P28" s="713"/>
      <c r="Q28" s="712">
        <v>99627750</v>
      </c>
      <c r="R28" s="712">
        <v>0</v>
      </c>
      <c r="S28" s="712"/>
    </row>
    <row r="29" spans="1:19" ht="36" x14ac:dyDescent="0.45">
      <c r="A29" s="38">
        <v>2</v>
      </c>
      <c r="B29" s="38">
        <v>0</v>
      </c>
      <c r="C29" s="38">
        <v>4</v>
      </c>
      <c r="D29" s="38">
        <v>1</v>
      </c>
      <c r="E29" s="38">
        <v>25</v>
      </c>
      <c r="F29" s="38" t="s">
        <v>147</v>
      </c>
      <c r="G29" s="25">
        <v>10</v>
      </c>
      <c r="H29" s="25" t="s">
        <v>88</v>
      </c>
      <c r="I29" s="36" t="s">
        <v>186</v>
      </c>
      <c r="J29" s="697">
        <v>10572840</v>
      </c>
      <c r="K29" s="697"/>
      <c r="M29" s="712"/>
      <c r="N29" s="712"/>
      <c r="O29" s="712"/>
      <c r="P29" s="713"/>
      <c r="Q29" s="712">
        <v>10572840</v>
      </c>
      <c r="R29" s="712">
        <v>0</v>
      </c>
      <c r="S29" s="712"/>
    </row>
    <row r="30" spans="1:19" ht="28.5" customHeight="1" x14ac:dyDescent="0.45">
      <c r="A30" s="740" t="s">
        <v>127</v>
      </c>
      <c r="B30" s="741"/>
      <c r="C30" s="741"/>
      <c r="D30" s="741"/>
      <c r="E30" s="741"/>
      <c r="F30" s="741"/>
      <c r="G30" s="741"/>
      <c r="H30" s="741"/>
      <c r="I30" s="742"/>
      <c r="J30" s="697"/>
      <c r="K30" s="697"/>
      <c r="M30" s="712"/>
      <c r="N30" s="712"/>
      <c r="O30" s="712"/>
      <c r="P30" s="713"/>
      <c r="Q30" s="712">
        <v>0</v>
      </c>
      <c r="R30" s="712">
        <v>0</v>
      </c>
      <c r="S30" s="712"/>
    </row>
    <row r="31" spans="1:19" ht="36" x14ac:dyDescent="0.45">
      <c r="A31" s="38">
        <v>2</v>
      </c>
      <c r="B31" s="38">
        <v>0</v>
      </c>
      <c r="C31" s="38">
        <v>4</v>
      </c>
      <c r="D31" s="38">
        <v>4</v>
      </c>
      <c r="E31" s="38">
        <v>1</v>
      </c>
      <c r="F31" s="38" t="s">
        <v>147</v>
      </c>
      <c r="G31" s="25">
        <v>10</v>
      </c>
      <c r="H31" s="25" t="s">
        <v>88</v>
      </c>
      <c r="I31" s="42" t="s">
        <v>365</v>
      </c>
      <c r="J31" s="697"/>
      <c r="K31" s="164">
        <v>6196479</v>
      </c>
      <c r="M31" s="712"/>
      <c r="N31" s="712"/>
      <c r="O31" s="712"/>
      <c r="P31" s="713"/>
      <c r="Q31" s="712">
        <v>0</v>
      </c>
      <c r="R31" s="712">
        <v>6196479</v>
      </c>
      <c r="S31" s="712"/>
    </row>
    <row r="32" spans="1:19" ht="36" x14ac:dyDescent="0.45">
      <c r="A32" s="38">
        <v>2</v>
      </c>
      <c r="B32" s="38">
        <v>0</v>
      </c>
      <c r="C32" s="38">
        <v>4</v>
      </c>
      <c r="D32" s="38">
        <v>4</v>
      </c>
      <c r="E32" s="38">
        <v>2</v>
      </c>
      <c r="F32" s="38" t="s">
        <v>147</v>
      </c>
      <c r="G32" s="25">
        <v>10</v>
      </c>
      <c r="H32" s="25" t="s">
        <v>88</v>
      </c>
      <c r="I32" s="42" t="s">
        <v>366</v>
      </c>
      <c r="J32" s="697"/>
      <c r="K32" s="164">
        <v>9278945</v>
      </c>
      <c r="M32" s="712"/>
      <c r="N32" s="712">
        <v>1309266</v>
      </c>
      <c r="O32" s="712"/>
      <c r="P32" s="713"/>
      <c r="Q32" s="712">
        <v>0</v>
      </c>
      <c r="R32" s="712">
        <v>7969679</v>
      </c>
      <c r="S32" s="712"/>
    </row>
    <row r="33" spans="1:19" ht="36" x14ac:dyDescent="0.45">
      <c r="A33" s="38">
        <v>2</v>
      </c>
      <c r="B33" s="38">
        <v>0</v>
      </c>
      <c r="C33" s="38">
        <v>4</v>
      </c>
      <c r="D33" s="38">
        <v>4</v>
      </c>
      <c r="E33" s="38">
        <v>6</v>
      </c>
      <c r="F33" s="38" t="s">
        <v>147</v>
      </c>
      <c r="G33" s="25">
        <v>10</v>
      </c>
      <c r="H33" s="25" t="s">
        <v>88</v>
      </c>
      <c r="I33" s="42" t="s">
        <v>367</v>
      </c>
      <c r="J33" s="697"/>
      <c r="K33" s="164">
        <v>4000000</v>
      </c>
      <c r="M33" s="712"/>
      <c r="N33" s="712" t="s">
        <v>2012</v>
      </c>
      <c r="O33" s="712"/>
      <c r="P33" s="713"/>
      <c r="Q33" s="712">
        <v>0</v>
      </c>
      <c r="R33" s="712">
        <v>0</v>
      </c>
      <c r="S33" s="712"/>
    </row>
    <row r="34" spans="1:19" ht="36" x14ac:dyDescent="0.45">
      <c r="A34" s="38">
        <v>2</v>
      </c>
      <c r="B34" s="38">
        <v>0</v>
      </c>
      <c r="C34" s="38">
        <v>4</v>
      </c>
      <c r="D34" s="38">
        <v>4</v>
      </c>
      <c r="E34" s="38">
        <v>15</v>
      </c>
      <c r="F34" s="38" t="s">
        <v>147</v>
      </c>
      <c r="G34" s="25">
        <v>10</v>
      </c>
      <c r="H34" s="25" t="s">
        <v>88</v>
      </c>
      <c r="I34" s="42" t="s">
        <v>155</v>
      </c>
      <c r="J34" s="294" t="s">
        <v>2011</v>
      </c>
      <c r="K34" s="164"/>
      <c r="M34" s="724">
        <v>5215266</v>
      </c>
      <c r="N34" s="712"/>
      <c r="O34" s="712"/>
      <c r="P34" s="713"/>
      <c r="Q34" s="712">
        <v>0</v>
      </c>
      <c r="R34" s="712">
        <v>0</v>
      </c>
      <c r="S34" s="712"/>
    </row>
    <row r="35" spans="1:19" ht="36" x14ac:dyDescent="0.45">
      <c r="A35" s="38">
        <v>2</v>
      </c>
      <c r="B35" s="38">
        <v>0</v>
      </c>
      <c r="C35" s="38">
        <v>4</v>
      </c>
      <c r="D35" s="38">
        <v>4</v>
      </c>
      <c r="E35" s="38">
        <v>17</v>
      </c>
      <c r="F35" s="38" t="s">
        <v>147</v>
      </c>
      <c r="G35" s="25">
        <v>10</v>
      </c>
      <c r="H35" s="25" t="s">
        <v>88</v>
      </c>
      <c r="I35" s="42" t="s">
        <v>128</v>
      </c>
      <c r="J35" s="725">
        <v>94000</v>
      </c>
      <c r="K35" s="164"/>
      <c r="M35" s="712">
        <v>94000</v>
      </c>
      <c r="N35" s="712"/>
      <c r="O35" s="712"/>
      <c r="P35" s="713"/>
      <c r="Q35" s="712">
        <v>0</v>
      </c>
      <c r="R35" s="712">
        <v>0</v>
      </c>
      <c r="S35" s="712"/>
    </row>
    <row r="36" spans="1:19" ht="36" x14ac:dyDescent="0.45">
      <c r="A36" s="38">
        <v>2</v>
      </c>
      <c r="B36" s="38">
        <v>0</v>
      </c>
      <c r="C36" s="38">
        <v>4</v>
      </c>
      <c r="D36" s="38">
        <v>4</v>
      </c>
      <c r="E36" s="38">
        <v>18</v>
      </c>
      <c r="F36" s="38" t="s">
        <v>147</v>
      </c>
      <c r="G36" s="25">
        <v>10</v>
      </c>
      <c r="H36" s="25" t="s">
        <v>88</v>
      </c>
      <c r="I36" s="42" t="s">
        <v>129</v>
      </c>
      <c r="J36" s="77"/>
      <c r="K36" s="164">
        <v>4300000</v>
      </c>
      <c r="M36" s="712"/>
      <c r="N36" s="712"/>
      <c r="O36" s="712"/>
      <c r="P36" s="713"/>
      <c r="Q36" s="712">
        <v>0</v>
      </c>
      <c r="R36" s="712">
        <v>4300000</v>
      </c>
      <c r="S36" s="712"/>
    </row>
    <row r="37" spans="1:19" ht="36" x14ac:dyDescent="0.45">
      <c r="A37" s="38">
        <v>2</v>
      </c>
      <c r="B37" s="38">
        <v>0</v>
      </c>
      <c r="C37" s="38">
        <v>4</v>
      </c>
      <c r="D37" s="38">
        <v>4</v>
      </c>
      <c r="E37" s="38">
        <v>20</v>
      </c>
      <c r="F37" s="38" t="s">
        <v>147</v>
      </c>
      <c r="G37" s="25">
        <v>10</v>
      </c>
      <c r="H37" s="25" t="s">
        <v>88</v>
      </c>
      <c r="I37" s="42" t="s">
        <v>176</v>
      </c>
      <c r="J37" s="77"/>
      <c r="K37" s="164"/>
      <c r="M37" s="712"/>
      <c r="N37" s="712"/>
      <c r="O37" s="712"/>
      <c r="P37" s="713"/>
      <c r="Q37" s="712">
        <v>0</v>
      </c>
      <c r="R37" s="712">
        <v>0</v>
      </c>
      <c r="S37" s="712"/>
    </row>
    <row r="38" spans="1:19" ht="36" x14ac:dyDescent="0.45">
      <c r="A38" s="38">
        <v>2</v>
      </c>
      <c r="B38" s="38">
        <v>0</v>
      </c>
      <c r="C38" s="38">
        <v>4</v>
      </c>
      <c r="D38" s="38">
        <v>4</v>
      </c>
      <c r="E38" s="38">
        <v>23</v>
      </c>
      <c r="F38" s="38" t="s">
        <v>147</v>
      </c>
      <c r="G38" s="25">
        <v>10</v>
      </c>
      <c r="H38" s="25" t="s">
        <v>88</v>
      </c>
      <c r="I38" s="36" t="s">
        <v>130</v>
      </c>
      <c r="J38" s="77"/>
      <c r="K38" s="164">
        <v>750000</v>
      </c>
      <c r="M38" s="712"/>
      <c r="N38" s="712"/>
      <c r="O38" s="712"/>
      <c r="P38" s="713"/>
      <c r="Q38" s="712">
        <v>0</v>
      </c>
      <c r="R38" s="712">
        <v>750000</v>
      </c>
      <c r="S38" s="712"/>
    </row>
    <row r="39" spans="1:19" ht="28.5" customHeight="1" x14ac:dyDescent="0.45">
      <c r="A39" s="740" t="s">
        <v>124</v>
      </c>
      <c r="B39" s="741"/>
      <c r="C39" s="741"/>
      <c r="D39" s="741"/>
      <c r="E39" s="741"/>
      <c r="F39" s="741"/>
      <c r="G39" s="741"/>
      <c r="H39" s="741"/>
      <c r="I39" s="742"/>
      <c r="J39" s="709"/>
      <c r="K39" s="581"/>
      <c r="M39" s="712"/>
      <c r="N39" s="712"/>
      <c r="O39" s="712"/>
      <c r="P39" s="713"/>
      <c r="Q39" s="712">
        <v>0</v>
      </c>
      <c r="R39" s="712">
        <v>0</v>
      </c>
      <c r="S39" s="712"/>
    </row>
    <row r="40" spans="1:19" ht="36" x14ac:dyDescent="0.45">
      <c r="A40" s="38">
        <v>2</v>
      </c>
      <c r="B40" s="38">
        <v>0</v>
      </c>
      <c r="C40" s="38">
        <v>4</v>
      </c>
      <c r="D40" s="38">
        <v>6</v>
      </c>
      <c r="E40" s="38">
        <v>5</v>
      </c>
      <c r="F40" s="38" t="s">
        <v>147</v>
      </c>
      <c r="G40" s="25">
        <v>10</v>
      </c>
      <c r="H40" s="25" t="s">
        <v>88</v>
      </c>
      <c r="I40" s="42" t="s">
        <v>120</v>
      </c>
      <c r="J40" s="77"/>
      <c r="K40" s="164">
        <v>90117432</v>
      </c>
      <c r="M40" s="712"/>
      <c r="N40" s="712"/>
      <c r="O40" s="712"/>
      <c r="P40" s="713"/>
      <c r="Q40" s="712">
        <v>0</v>
      </c>
      <c r="R40" s="712">
        <v>90117432</v>
      </c>
      <c r="S40" s="712"/>
    </row>
    <row r="41" spans="1:19" ht="36" x14ac:dyDescent="0.45">
      <c r="A41" s="38">
        <v>2</v>
      </c>
      <c r="B41" s="38">
        <v>0</v>
      </c>
      <c r="C41" s="38">
        <v>4</v>
      </c>
      <c r="D41" s="38">
        <v>6</v>
      </c>
      <c r="E41" s="38">
        <v>8</v>
      </c>
      <c r="F41" s="38" t="s">
        <v>147</v>
      </c>
      <c r="G41" s="25">
        <v>10</v>
      </c>
      <c r="H41" s="25" t="s">
        <v>88</v>
      </c>
      <c r="I41" s="42" t="s">
        <v>370</v>
      </c>
      <c r="J41" s="77"/>
      <c r="K41" s="164">
        <v>1617000</v>
      </c>
      <c r="M41" s="712"/>
      <c r="N41" s="712"/>
      <c r="O41" s="712"/>
      <c r="P41" s="713"/>
      <c r="Q41" s="712">
        <v>0</v>
      </c>
      <c r="R41" s="712">
        <v>1617000</v>
      </c>
      <c r="S41" s="712"/>
    </row>
    <row r="42" spans="1:19" ht="28.5" customHeight="1" x14ac:dyDescent="0.45">
      <c r="A42" s="740" t="s">
        <v>122</v>
      </c>
      <c r="B42" s="741"/>
      <c r="C42" s="741"/>
      <c r="D42" s="741"/>
      <c r="E42" s="741"/>
      <c r="F42" s="741"/>
      <c r="G42" s="741"/>
      <c r="H42" s="741"/>
      <c r="I42" s="742" t="s">
        <v>122</v>
      </c>
      <c r="J42" s="709"/>
      <c r="K42" s="581"/>
      <c r="M42" s="712"/>
      <c r="N42" s="712"/>
      <c r="O42" s="712"/>
      <c r="P42" s="713"/>
      <c r="Q42" s="712">
        <v>0</v>
      </c>
      <c r="R42" s="712">
        <v>0</v>
      </c>
      <c r="S42" s="712"/>
    </row>
    <row r="43" spans="1:19" ht="36" x14ac:dyDescent="0.45">
      <c r="A43" s="38">
        <v>2</v>
      </c>
      <c r="B43" s="38">
        <v>0</v>
      </c>
      <c r="C43" s="38">
        <v>4</v>
      </c>
      <c r="D43" s="38">
        <v>7</v>
      </c>
      <c r="E43" s="38">
        <v>6</v>
      </c>
      <c r="F43" s="38" t="s">
        <v>147</v>
      </c>
      <c r="G43" s="25">
        <v>10</v>
      </c>
      <c r="H43" s="25" t="s">
        <v>88</v>
      </c>
      <c r="I43" s="42" t="s">
        <v>212</v>
      </c>
      <c r="J43" s="77">
        <v>750000</v>
      </c>
      <c r="K43" s="581"/>
      <c r="M43" s="712"/>
      <c r="N43" s="712"/>
      <c r="O43" s="712"/>
      <c r="P43" s="713"/>
      <c r="Q43" s="712">
        <v>750000</v>
      </c>
      <c r="R43" s="712">
        <v>0</v>
      </c>
      <c r="S43" s="712"/>
    </row>
    <row r="44" spans="1:19" ht="36" x14ac:dyDescent="0.55000000000000004">
      <c r="A44" s="830" t="s">
        <v>606</v>
      </c>
      <c r="B44" s="831"/>
      <c r="C44" s="831"/>
      <c r="D44" s="831"/>
      <c r="E44" s="831"/>
      <c r="F44" s="831"/>
      <c r="G44" s="831"/>
      <c r="H44" s="831"/>
      <c r="I44" s="832"/>
      <c r="J44" s="710">
        <v>116259856</v>
      </c>
      <c r="K44" s="710">
        <v>116259856</v>
      </c>
      <c r="M44" s="712">
        <v>5309266</v>
      </c>
      <c r="N44" s="712">
        <v>5309266</v>
      </c>
      <c r="O44" s="712"/>
      <c r="P44" s="713"/>
      <c r="Q44" s="712">
        <v>110950590</v>
      </c>
      <c r="R44" s="712">
        <v>110950590</v>
      </c>
      <c r="S44" s="712"/>
    </row>
    <row r="46" spans="1:19" ht="26.25" x14ac:dyDescent="0.4">
      <c r="M46" s="714">
        <f>SUM(M44+Q44)</f>
        <v>116259856</v>
      </c>
      <c r="N46" s="714">
        <f>SUM(N44+R44)</f>
        <v>116259856</v>
      </c>
    </row>
  </sheetData>
  <mergeCells count="19">
    <mergeCell ref="Q25:S25"/>
    <mergeCell ref="A27:I27"/>
    <mergeCell ref="A30:I30"/>
    <mergeCell ref="A39:I39"/>
    <mergeCell ref="A42:I42"/>
    <mergeCell ref="A44:I44"/>
    <mergeCell ref="M25:O25"/>
    <mergeCell ref="A8:I8"/>
    <mergeCell ref="A10:I10"/>
    <mergeCell ref="A16:I16"/>
    <mergeCell ref="A19:I19"/>
    <mergeCell ref="A21:I21"/>
    <mergeCell ref="A26:I26"/>
    <mergeCell ref="A7:I7"/>
    <mergeCell ref="A3:I3"/>
    <mergeCell ref="J3:L3"/>
    <mergeCell ref="M3:O3"/>
    <mergeCell ref="Q3:R3"/>
    <mergeCell ref="A4:I4"/>
  </mergeCells>
  <pageMargins left="0.70866141732283472" right="0.70866141732283472" top="0.74803149606299213" bottom="0.74803149606299213" header="0.31496062992125984" footer="0.31496062992125984"/>
  <pageSetup paperSize="14" scale="30" orientation="landscape"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00"/>
  <sheetViews>
    <sheetView tabSelected="1" topLeftCell="A18" zoomScale="46" zoomScaleNormal="46" zoomScaleSheetLayoutView="12" workbookViewId="0">
      <pane xSplit="1" ySplit="3" topLeftCell="B21" activePane="bottomRight" state="frozen"/>
      <selection activeCell="A18" sqref="A18"/>
      <selection pane="topRight" activeCell="B18" sqref="B18"/>
      <selection pane="bottomLeft" activeCell="A21" sqref="A21"/>
      <selection pane="bottomRight" activeCell="A20" sqref="A20"/>
    </sheetView>
  </sheetViews>
  <sheetFormatPr baseColWidth="10" defaultRowHeight="15" x14ac:dyDescent="0.25"/>
  <cols>
    <col min="1" max="1" width="29.7109375" customWidth="1"/>
    <col min="2" max="2" width="46.42578125" customWidth="1"/>
    <col min="3" max="3" width="42.285156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85546875" customWidth="1"/>
    <col min="13" max="13" width="63.42578125" customWidth="1"/>
    <col min="14" max="14" width="17.42578125" customWidth="1"/>
    <col min="15" max="15" width="27" customWidth="1"/>
    <col min="16" max="16" width="53.5703125" customWidth="1"/>
    <col min="17" max="17" width="5.7109375" customWidth="1"/>
    <col min="18" max="18" width="20" style="719" customWidth="1"/>
    <col min="19" max="19" width="45.28515625" hidden="1" customWidth="1"/>
    <col min="20" max="20" width="38.7109375" hidden="1" customWidth="1"/>
    <col min="21" max="21" width="66.140625" hidden="1" customWidth="1"/>
    <col min="22" max="22" width="37.28515625" hidden="1" customWidth="1"/>
    <col min="23" max="23" width="56.85546875" customWidth="1"/>
    <col min="24" max="24" width="51.85546875" customWidth="1"/>
    <col min="25" max="25" width="64.85546875" customWidth="1"/>
    <col min="26" max="27" width="58.85546875" customWidth="1"/>
    <col min="28" max="28" width="83.140625" customWidth="1"/>
    <col min="29" max="29" width="45.7109375" customWidth="1"/>
    <col min="30" max="30" width="47.7109375" customWidth="1"/>
    <col min="31" max="31" width="24.5703125" customWidth="1"/>
    <col min="32" max="32" width="25.42578125" customWidth="1"/>
    <col min="33" max="33" width="36.5703125" customWidth="1"/>
    <col min="34" max="34" width="44" customWidth="1"/>
  </cols>
  <sheetData>
    <row r="1" spans="1:34" ht="26.25" x14ac:dyDescent="0.4">
      <c r="A1" s="91"/>
      <c r="B1" s="662"/>
      <c r="C1" s="2"/>
      <c r="D1" s="17"/>
      <c r="E1" s="2"/>
      <c r="F1" s="2"/>
      <c r="G1" s="2"/>
      <c r="H1" s="2"/>
      <c r="I1" s="2"/>
      <c r="J1" s="76"/>
      <c r="K1" s="2"/>
      <c r="L1" s="72"/>
      <c r="M1" s="8"/>
      <c r="N1" s="2"/>
      <c r="O1" s="2"/>
      <c r="P1" s="2"/>
      <c r="Q1" s="95"/>
      <c r="R1" s="715"/>
      <c r="S1" s="90"/>
      <c r="T1" s="4"/>
      <c r="U1" s="3"/>
      <c r="V1" s="3"/>
      <c r="W1" s="3"/>
      <c r="X1" s="54"/>
      <c r="Y1" s="3"/>
      <c r="Z1" s="51"/>
      <c r="AA1" s="51"/>
      <c r="AB1" s="3"/>
      <c r="AC1" s="3"/>
      <c r="AD1" s="3"/>
      <c r="AE1" s="3"/>
      <c r="AF1" s="3"/>
      <c r="AG1" s="3"/>
      <c r="AH1" s="18"/>
    </row>
    <row r="2" spans="1:34" ht="46.5" x14ac:dyDescent="0.4">
      <c r="A2" s="92"/>
      <c r="B2" s="837" t="s">
        <v>611</v>
      </c>
      <c r="C2" s="837"/>
      <c r="D2" s="837"/>
      <c r="E2" s="837"/>
      <c r="F2" s="837"/>
      <c r="G2" s="837"/>
      <c r="H2" s="837"/>
      <c r="I2" s="837"/>
      <c r="J2" s="837"/>
      <c r="K2" s="837"/>
      <c r="L2" s="837"/>
      <c r="M2" s="837"/>
      <c r="N2" s="837"/>
      <c r="O2" s="837"/>
      <c r="P2" s="837"/>
      <c r="Q2" s="96"/>
      <c r="R2" s="715"/>
      <c r="S2" s="90"/>
      <c r="T2" s="4"/>
      <c r="U2" s="3"/>
      <c r="V2" s="3"/>
      <c r="W2" s="3"/>
      <c r="X2" s="54"/>
      <c r="Y2" s="3"/>
      <c r="Z2" s="51"/>
      <c r="AA2" s="51"/>
      <c r="AB2" s="3"/>
      <c r="AC2" s="3"/>
      <c r="AD2" s="3"/>
      <c r="AE2" s="3"/>
      <c r="AF2" s="3"/>
      <c r="AG2" s="3"/>
      <c r="AH2" s="18"/>
    </row>
    <row r="3" spans="1:34" ht="26.25" x14ac:dyDescent="0.4">
      <c r="A3" s="91"/>
      <c r="B3" s="662"/>
      <c r="C3" s="40"/>
      <c r="D3" s="19"/>
      <c r="E3" s="2"/>
      <c r="F3" s="2"/>
      <c r="G3" s="2"/>
      <c r="H3" s="2"/>
      <c r="I3" s="2"/>
      <c r="J3" s="76"/>
      <c r="K3" s="2"/>
      <c r="L3" s="72"/>
      <c r="M3" s="8"/>
      <c r="N3" s="2"/>
      <c r="O3" s="2"/>
      <c r="P3" s="2"/>
      <c r="Q3" s="95"/>
      <c r="R3" s="715"/>
      <c r="S3" s="90"/>
      <c r="T3" s="4"/>
      <c r="U3" s="3"/>
      <c r="V3" s="3"/>
      <c r="W3" s="3"/>
      <c r="X3" s="54"/>
      <c r="Y3" s="3"/>
      <c r="Z3" s="51"/>
      <c r="AA3" s="51"/>
      <c r="AB3" s="3"/>
      <c r="AC3" s="3"/>
      <c r="AD3" s="3"/>
      <c r="AE3" s="3"/>
      <c r="AF3" s="3"/>
      <c r="AG3" s="3"/>
      <c r="AH3" s="18"/>
    </row>
    <row r="4" spans="1:34" ht="26.25" x14ac:dyDescent="0.4">
      <c r="A4" s="91"/>
      <c r="B4" s="662"/>
      <c r="C4" s="748" t="s">
        <v>0</v>
      </c>
      <c r="D4" s="748"/>
      <c r="E4" s="2"/>
      <c r="F4" s="2"/>
      <c r="G4" s="2"/>
      <c r="H4" s="2"/>
      <c r="I4" s="2"/>
      <c r="J4" s="76"/>
      <c r="K4" s="2"/>
      <c r="L4" s="72"/>
      <c r="M4" s="8"/>
      <c r="N4" s="2"/>
      <c r="O4" s="2"/>
      <c r="P4" s="2"/>
      <c r="Q4" s="95"/>
      <c r="R4" s="715"/>
      <c r="S4" s="90"/>
      <c r="T4" s="4"/>
      <c r="U4" s="3"/>
      <c r="V4" s="3"/>
      <c r="W4" s="3"/>
      <c r="X4" s="54"/>
      <c r="Y4" s="3"/>
      <c r="Z4" s="51"/>
      <c r="AA4" s="51"/>
      <c r="AB4" s="3"/>
      <c r="AC4" s="3"/>
      <c r="AD4" s="3"/>
      <c r="AE4" s="3"/>
      <c r="AF4" s="3"/>
      <c r="AG4" s="3"/>
      <c r="AH4" s="18"/>
    </row>
    <row r="5" spans="1:34" ht="26.25" x14ac:dyDescent="0.4">
      <c r="A5" s="93"/>
      <c r="B5" s="658"/>
      <c r="C5" s="661" t="s">
        <v>1</v>
      </c>
      <c r="D5" s="749" t="s">
        <v>2</v>
      </c>
      <c r="E5" s="749"/>
      <c r="F5" s="2"/>
      <c r="G5" s="5"/>
      <c r="H5" s="5"/>
      <c r="I5" s="750" t="s">
        <v>274</v>
      </c>
      <c r="J5" s="750"/>
      <c r="K5" s="750"/>
      <c r="L5" s="750"/>
      <c r="M5" s="750"/>
      <c r="N5" s="5"/>
      <c r="O5" s="5"/>
      <c r="P5" s="5"/>
      <c r="Q5" s="97"/>
      <c r="R5" s="715"/>
      <c r="S5" s="90"/>
      <c r="T5" s="4"/>
      <c r="U5" s="3"/>
      <c r="V5" s="3"/>
      <c r="W5" s="3"/>
      <c r="X5" s="54"/>
      <c r="Y5" s="3"/>
      <c r="Z5" s="51"/>
      <c r="AA5" s="51"/>
      <c r="AB5" s="3"/>
      <c r="AC5" s="3"/>
      <c r="AD5" s="3"/>
      <c r="AE5" s="3"/>
      <c r="AF5" s="3"/>
      <c r="AG5" s="3"/>
      <c r="AH5" s="18"/>
    </row>
    <row r="6" spans="1:34" ht="26.25" x14ac:dyDescent="0.4">
      <c r="A6" s="93"/>
      <c r="B6" s="658"/>
      <c r="C6" s="660" t="s">
        <v>3</v>
      </c>
      <c r="D6" s="749" t="s">
        <v>4</v>
      </c>
      <c r="E6" s="749"/>
      <c r="F6" s="2"/>
      <c r="G6" s="5"/>
      <c r="H6" s="5"/>
      <c r="I6" s="750"/>
      <c r="J6" s="750"/>
      <c r="K6" s="750"/>
      <c r="L6" s="750"/>
      <c r="M6" s="750"/>
      <c r="N6" s="5"/>
      <c r="O6" s="5"/>
      <c r="P6" s="5"/>
      <c r="Q6" s="97"/>
      <c r="R6" s="715"/>
      <c r="S6" s="90"/>
      <c r="T6" s="4"/>
      <c r="U6" s="3"/>
      <c r="V6" s="3"/>
      <c r="W6" s="3"/>
      <c r="X6" s="54"/>
      <c r="Y6" s="3"/>
      <c r="Z6" s="51"/>
      <c r="AA6" s="51"/>
      <c r="AB6" s="3"/>
      <c r="AC6" s="3"/>
      <c r="AD6" s="3"/>
      <c r="AE6" s="3"/>
      <c r="AF6" s="3"/>
      <c r="AG6" s="3"/>
      <c r="AH6" s="18"/>
    </row>
    <row r="7" spans="1:34" ht="26.25" x14ac:dyDescent="0.4">
      <c r="A7" s="93"/>
      <c r="B7" s="658"/>
      <c r="C7" s="660" t="s">
        <v>5</v>
      </c>
      <c r="D7" s="751">
        <v>7395656</v>
      </c>
      <c r="E7" s="751"/>
      <c r="F7" s="11"/>
      <c r="G7" s="5"/>
      <c r="H7" s="5"/>
      <c r="I7" s="750"/>
      <c r="J7" s="750"/>
      <c r="K7" s="750"/>
      <c r="L7" s="750"/>
      <c r="M7" s="750"/>
      <c r="N7" s="5"/>
      <c r="O7" s="5"/>
      <c r="P7" s="5"/>
      <c r="Q7" s="97"/>
      <c r="R7" s="715"/>
      <c r="S7" s="90"/>
      <c r="T7" s="4" t="s">
        <v>148</v>
      </c>
      <c r="U7" s="3"/>
      <c r="V7" s="3"/>
      <c r="W7" s="3"/>
      <c r="X7" s="54"/>
      <c r="Y7" s="3"/>
      <c r="Z7" s="51"/>
      <c r="AA7" s="51"/>
      <c r="AB7" s="3"/>
      <c r="AC7" s="3"/>
      <c r="AD7" s="3"/>
      <c r="AE7" s="3"/>
      <c r="AF7" s="3"/>
      <c r="AG7" s="3"/>
      <c r="AH7" s="18"/>
    </row>
    <row r="8" spans="1:34" ht="39" customHeight="1" x14ac:dyDescent="0.4">
      <c r="A8" s="93"/>
      <c r="B8" s="658"/>
      <c r="C8" s="660" t="s">
        <v>6</v>
      </c>
      <c r="D8" s="752" t="s">
        <v>47</v>
      </c>
      <c r="E8" s="752"/>
      <c r="F8" s="12"/>
      <c r="G8" s="5"/>
      <c r="H8" s="5"/>
      <c r="I8" s="750"/>
      <c r="J8" s="750"/>
      <c r="K8" s="750"/>
      <c r="L8" s="750"/>
      <c r="M8" s="750"/>
      <c r="N8" s="5"/>
      <c r="O8" s="5"/>
      <c r="P8" s="5"/>
      <c r="Q8" s="97"/>
      <c r="R8" s="715"/>
      <c r="S8" s="90"/>
      <c r="T8" s="4"/>
      <c r="U8" s="3"/>
      <c r="V8" s="3"/>
      <c r="W8" s="3"/>
      <c r="X8" s="54"/>
      <c r="Y8" s="3"/>
      <c r="Z8" s="51"/>
      <c r="AA8" s="51"/>
      <c r="AB8" s="3"/>
      <c r="AC8" s="3"/>
      <c r="AD8" s="3"/>
      <c r="AE8" s="3"/>
      <c r="AF8" s="3"/>
      <c r="AG8" s="3"/>
      <c r="AH8" s="18"/>
    </row>
    <row r="9" spans="1:34" ht="138.75" customHeight="1" x14ac:dyDescent="0.25">
      <c r="A9" s="93"/>
      <c r="B9" s="658"/>
      <c r="C9" s="660" t="s">
        <v>7</v>
      </c>
      <c r="D9" s="749" t="s">
        <v>587</v>
      </c>
      <c r="E9" s="749"/>
      <c r="F9" s="2"/>
      <c r="G9" s="5"/>
      <c r="H9" s="5"/>
      <c r="I9" s="750"/>
      <c r="J9" s="750"/>
      <c r="K9" s="750"/>
      <c r="L9" s="750"/>
      <c r="M9" s="750"/>
      <c r="N9" s="5"/>
      <c r="O9" s="5"/>
      <c r="P9" s="5"/>
      <c r="Q9" s="97"/>
      <c r="R9" s="627" t="s">
        <v>622</v>
      </c>
      <c r="S9" s="628" t="s">
        <v>618</v>
      </c>
      <c r="T9" s="627" t="s">
        <v>619</v>
      </c>
      <c r="U9" s="627" t="s">
        <v>620</v>
      </c>
      <c r="V9" s="3"/>
      <c r="W9" s="3"/>
      <c r="X9" s="54"/>
      <c r="Y9" s="3"/>
      <c r="Z9" s="51"/>
      <c r="AA9" s="51"/>
      <c r="AB9" s="3"/>
      <c r="AC9" s="3"/>
      <c r="AD9" s="3"/>
      <c r="AE9" s="3"/>
      <c r="AF9" s="3"/>
      <c r="AG9" s="3"/>
      <c r="AH9" s="18"/>
    </row>
    <row r="10" spans="1:34" ht="84.6" customHeight="1" x14ac:dyDescent="0.45">
      <c r="A10" s="93"/>
      <c r="B10" s="658"/>
      <c r="C10" s="660" t="s">
        <v>8</v>
      </c>
      <c r="D10" s="757" t="s">
        <v>588</v>
      </c>
      <c r="E10" s="757"/>
      <c r="F10" s="1"/>
      <c r="G10" s="5"/>
      <c r="H10" s="5"/>
      <c r="I10" s="6"/>
      <c r="J10" s="6"/>
      <c r="K10" s="6"/>
      <c r="L10" s="73"/>
      <c r="M10" s="9"/>
      <c r="N10" s="5"/>
      <c r="O10" s="5"/>
      <c r="P10" s="5"/>
      <c r="Q10" s="97"/>
      <c r="R10" s="716" t="s">
        <v>617</v>
      </c>
      <c r="S10" s="629" t="e">
        <f>SUM(#REF!)</f>
        <v>#REF!</v>
      </c>
      <c r="T10" s="631" t="e">
        <f>SUM(#REF!)</f>
        <v>#REF!</v>
      </c>
      <c r="U10" s="631" t="e">
        <f>SUM(#REF!)</f>
        <v>#REF!</v>
      </c>
      <c r="V10" s="3"/>
      <c r="W10" s="3"/>
      <c r="X10" s="54"/>
      <c r="Y10" s="3"/>
      <c r="Z10" s="51"/>
      <c r="AA10" s="51"/>
      <c r="AB10" s="3"/>
      <c r="AC10" s="3"/>
      <c r="AD10" s="3"/>
      <c r="AE10" s="3"/>
      <c r="AF10" s="3"/>
      <c r="AG10" s="3"/>
      <c r="AH10" s="18"/>
    </row>
    <row r="11" spans="1:34" ht="48" customHeight="1" x14ac:dyDescent="0.45">
      <c r="A11" s="93"/>
      <c r="B11" s="658"/>
      <c r="C11" s="660" t="s">
        <v>10</v>
      </c>
      <c r="D11" s="758" t="s">
        <v>1476</v>
      </c>
      <c r="E11" s="759"/>
      <c r="F11" s="2"/>
      <c r="G11" s="5"/>
      <c r="H11" s="5"/>
      <c r="I11" s="760" t="s">
        <v>11</v>
      </c>
      <c r="J11" s="761"/>
      <c r="K11" s="761"/>
      <c r="L11" s="761"/>
      <c r="M11" s="762"/>
      <c r="N11" s="5"/>
      <c r="O11" s="5"/>
      <c r="P11" s="5"/>
      <c r="Q11" s="97"/>
      <c r="R11" s="716" t="s">
        <v>616</v>
      </c>
      <c r="S11" s="629" t="e">
        <f>SUM(#REF!)</f>
        <v>#REF!</v>
      </c>
      <c r="T11" s="631" t="e">
        <f>SUM(#REF!)</f>
        <v>#REF!</v>
      </c>
      <c r="U11" s="631" t="e">
        <f>SUM(#REF!)</f>
        <v>#REF!</v>
      </c>
      <c r="V11" s="3"/>
      <c r="W11" s="3"/>
      <c r="X11" s="54"/>
      <c r="Y11" s="3"/>
      <c r="Z11" s="51"/>
      <c r="AA11" s="51"/>
      <c r="AB11" s="3"/>
      <c r="AC11" s="3"/>
      <c r="AD11" s="3"/>
      <c r="AE11" s="3"/>
      <c r="AF11" s="3"/>
      <c r="AG11" s="3"/>
      <c r="AH11" s="18"/>
    </row>
    <row r="12" spans="1:34" ht="50.45" customHeight="1" x14ac:dyDescent="0.45">
      <c r="A12" s="93"/>
      <c r="B12" s="658"/>
      <c r="C12" s="660" t="s">
        <v>12</v>
      </c>
      <c r="D12" s="840" t="s">
        <v>600</v>
      </c>
      <c r="E12" s="841"/>
      <c r="F12" s="13"/>
      <c r="G12" s="5"/>
      <c r="H12" s="5"/>
      <c r="I12" s="763"/>
      <c r="J12" s="764"/>
      <c r="K12" s="764"/>
      <c r="L12" s="764"/>
      <c r="M12" s="765"/>
      <c r="N12" s="5"/>
      <c r="O12" s="5"/>
      <c r="P12" s="5"/>
      <c r="Q12" s="97"/>
      <c r="R12" s="717" t="s">
        <v>606</v>
      </c>
      <c r="S12" s="630" t="e">
        <f>SUM(S10:S11)</f>
        <v>#REF!</v>
      </c>
      <c r="T12" s="630" t="e">
        <f>SUM(T10:T11)</f>
        <v>#REF!</v>
      </c>
      <c r="U12" s="630" t="e">
        <f>SUM(U10:U11)</f>
        <v>#REF!</v>
      </c>
      <c r="V12" s="3"/>
      <c r="W12" s="3"/>
      <c r="X12" s="54"/>
      <c r="Y12" s="3"/>
      <c r="Z12" s="51"/>
      <c r="AA12" s="51"/>
      <c r="AB12" s="3"/>
      <c r="AC12" s="3"/>
      <c r="AD12" s="3"/>
      <c r="AE12" s="3"/>
      <c r="AF12" s="3"/>
      <c r="AG12" s="3"/>
      <c r="AH12" s="18"/>
    </row>
    <row r="13" spans="1:34" ht="37.5" x14ac:dyDescent="0.4">
      <c r="A13" s="93"/>
      <c r="B13" s="658"/>
      <c r="C13" s="660" t="s">
        <v>13</v>
      </c>
      <c r="D13" s="771" t="s">
        <v>582</v>
      </c>
      <c r="E13" s="771"/>
      <c r="F13" s="88"/>
      <c r="G13" s="5"/>
      <c r="H13" s="5"/>
      <c r="I13" s="763"/>
      <c r="J13" s="764"/>
      <c r="K13" s="764"/>
      <c r="L13" s="764"/>
      <c r="M13" s="765"/>
      <c r="N13" s="5"/>
      <c r="O13" s="5"/>
      <c r="P13" s="76"/>
      <c r="Q13" s="97"/>
      <c r="R13" s="718"/>
      <c r="S13" s="626"/>
      <c r="T13" s="626" t="s">
        <v>621</v>
      </c>
      <c r="U13" s="726" t="e">
        <f>SUM(S10-T10)</f>
        <v>#REF!</v>
      </c>
      <c r="V13" s="3"/>
      <c r="W13" s="3"/>
      <c r="X13" s="54"/>
      <c r="Y13" s="3"/>
      <c r="Z13" s="51"/>
      <c r="AA13" s="51"/>
      <c r="AB13" s="3"/>
      <c r="AC13" s="3"/>
      <c r="AD13" s="3"/>
      <c r="AE13" s="3"/>
      <c r="AF13" s="3"/>
      <c r="AG13" s="3"/>
      <c r="AH13" s="18"/>
    </row>
    <row r="14" spans="1:34" ht="37.5" x14ac:dyDescent="0.4">
      <c r="A14" s="93"/>
      <c r="B14" s="658"/>
      <c r="C14" s="660" t="s">
        <v>14</v>
      </c>
      <c r="D14" s="772" t="s">
        <v>583</v>
      </c>
      <c r="E14" s="772"/>
      <c r="F14" s="88"/>
      <c r="G14" s="5"/>
      <c r="H14" s="5"/>
      <c r="I14" s="763"/>
      <c r="J14" s="764"/>
      <c r="K14" s="764"/>
      <c r="L14" s="764"/>
      <c r="M14" s="765"/>
      <c r="N14" s="5"/>
      <c r="O14" s="5"/>
      <c r="P14" s="5"/>
      <c r="Q14" s="97"/>
      <c r="R14" s="718"/>
      <c r="S14" s="626"/>
      <c r="T14" s="626" t="s">
        <v>621</v>
      </c>
      <c r="U14" s="726" t="e">
        <f>SUM(S11-T11)</f>
        <v>#REF!</v>
      </c>
      <c r="V14" s="3"/>
      <c r="W14" s="667"/>
      <c r="X14" s="54"/>
      <c r="Y14" s="3"/>
      <c r="Z14" s="51"/>
      <c r="AA14" s="51"/>
      <c r="AB14" s="3"/>
      <c r="AC14" s="3"/>
      <c r="AD14" s="3"/>
      <c r="AE14" s="3"/>
      <c r="AF14" s="3"/>
      <c r="AG14" s="3"/>
      <c r="AH14" s="18"/>
    </row>
    <row r="15" spans="1:34" ht="38.25" thickBot="1" x14ac:dyDescent="0.45">
      <c r="A15" s="93"/>
      <c r="B15" s="658"/>
      <c r="C15" s="659" t="s">
        <v>15</v>
      </c>
      <c r="D15" s="773">
        <v>43411</v>
      </c>
      <c r="E15" s="774"/>
      <c r="F15" s="89"/>
      <c r="G15" s="5"/>
      <c r="H15" s="5"/>
      <c r="I15" s="766"/>
      <c r="J15" s="767"/>
      <c r="K15" s="767"/>
      <c r="L15" s="767"/>
      <c r="M15" s="768"/>
      <c r="N15" s="5"/>
      <c r="O15" s="668"/>
      <c r="P15" s="5"/>
      <c r="Q15" s="97"/>
      <c r="R15" s="718"/>
      <c r="S15" s="626"/>
      <c r="T15" s="626" t="s">
        <v>621</v>
      </c>
      <c r="U15" s="726" t="e">
        <f>SUM(S12-T12)</f>
        <v>#REF!</v>
      </c>
      <c r="V15" s="3"/>
      <c r="W15" s="3"/>
      <c r="X15" s="54"/>
      <c r="Y15" s="3"/>
      <c r="Z15" s="51"/>
      <c r="AA15" s="51"/>
      <c r="AB15" s="3"/>
      <c r="AC15" s="3"/>
      <c r="AD15" s="3"/>
      <c r="AE15" s="3"/>
      <c r="AF15" s="3"/>
      <c r="AG15" s="3"/>
      <c r="AH15" s="18"/>
    </row>
    <row r="16" spans="1:34" ht="26.25" x14ac:dyDescent="0.4">
      <c r="A16" s="93"/>
      <c r="B16" s="658"/>
      <c r="C16" s="2"/>
      <c r="D16" s="20"/>
      <c r="E16" s="7"/>
      <c r="F16" s="7"/>
      <c r="G16" s="5"/>
      <c r="H16" s="5"/>
      <c r="I16" s="76"/>
      <c r="J16" s="14"/>
      <c r="L16" s="74"/>
      <c r="M16" s="41"/>
      <c r="N16" s="5"/>
      <c r="O16" s="5"/>
      <c r="P16" s="79"/>
      <c r="Q16" s="98"/>
      <c r="R16" s="715"/>
      <c r="S16" s="90"/>
      <c r="T16" s="4"/>
      <c r="U16" s="3"/>
      <c r="V16" s="3"/>
      <c r="W16" s="82"/>
      <c r="X16" s="54"/>
      <c r="Y16" s="3"/>
      <c r="Z16" s="51"/>
      <c r="AA16" s="51"/>
      <c r="AB16" s="3"/>
      <c r="AC16" s="3"/>
      <c r="AD16" s="3"/>
      <c r="AE16" s="3"/>
      <c r="AF16" s="3"/>
      <c r="AG16" s="3"/>
      <c r="AH16" s="18"/>
    </row>
    <row r="17" spans="1:34" ht="62.25" thickBot="1" x14ac:dyDescent="0.45">
      <c r="A17" s="93"/>
      <c r="B17" s="658"/>
      <c r="C17" s="753" t="s">
        <v>16</v>
      </c>
      <c r="D17" s="753"/>
      <c r="E17" s="5"/>
      <c r="F17" s="727"/>
      <c r="G17" s="838"/>
      <c r="H17" s="838"/>
      <c r="I17" s="5"/>
      <c r="J17" s="727"/>
      <c r="K17" s="728"/>
      <c r="L17" s="83" t="s">
        <v>100</v>
      </c>
      <c r="M17" s="84" t="s">
        <v>285</v>
      </c>
      <c r="N17" s="5"/>
      <c r="O17" s="5"/>
      <c r="P17" s="16"/>
      <c r="Q17" s="99"/>
      <c r="R17" s="715"/>
      <c r="S17" s="669"/>
      <c r="T17" s="4"/>
      <c r="U17" s="3"/>
      <c r="V17" s="3"/>
      <c r="W17" s="15"/>
      <c r="X17" s="55"/>
      <c r="Y17" s="15"/>
      <c r="Z17" s="86" t="s">
        <v>92</v>
      </c>
      <c r="AA17" s="86"/>
      <c r="AB17" s="3"/>
      <c r="AC17" s="3"/>
      <c r="AD17" s="3"/>
      <c r="AE17" s="3"/>
      <c r="AF17" s="3"/>
      <c r="AG17" s="3"/>
      <c r="AH17" s="18"/>
    </row>
    <row r="18" spans="1:34" ht="36" x14ac:dyDescent="0.4">
      <c r="A18" s="93"/>
      <c r="B18" s="658"/>
      <c r="C18" s="40"/>
      <c r="D18" s="21"/>
      <c r="E18" s="5"/>
      <c r="F18" s="729"/>
      <c r="G18" s="839"/>
      <c r="H18" s="839"/>
      <c r="I18" s="5"/>
      <c r="J18" s="729"/>
      <c r="K18" s="730"/>
      <c r="L18" s="582">
        <f>SUBTOTAL(9,L20:L399)</f>
        <v>14128218753.5</v>
      </c>
      <c r="M18" s="582">
        <f>SUBTOTAL(9,M20:M399)</f>
        <v>11953638253.5</v>
      </c>
      <c r="N18" s="582"/>
      <c r="O18" s="5"/>
      <c r="P18" s="5"/>
      <c r="Q18" s="97"/>
      <c r="R18" s="715"/>
      <c r="S18" s="90"/>
      <c r="T18" s="4"/>
      <c r="U18" s="3"/>
      <c r="V18" s="3"/>
      <c r="W18" s="582">
        <f t="shared" ref="W18:X18" si="0">SUBTOTAL(9,W20:W397)</f>
        <v>9942377092.6200008</v>
      </c>
      <c r="X18" s="582">
        <f t="shared" si="0"/>
        <v>794255172.16999996</v>
      </c>
      <c r="Y18" s="582">
        <f>SUBTOTAL(9,Y20:Y397)</f>
        <v>10578994468.790001</v>
      </c>
      <c r="Z18" s="582">
        <f>SUBTOTAL(9,Z20:Z397)</f>
        <v>10601175096.790001</v>
      </c>
      <c r="AA18" s="582"/>
      <c r="AB18" s="75"/>
      <c r="AC18" s="75"/>
      <c r="AD18" s="3"/>
      <c r="AE18" s="3"/>
      <c r="AF18" s="3"/>
      <c r="AG18" s="3"/>
      <c r="AH18" s="18"/>
    </row>
    <row r="19" spans="1:34" ht="126" customHeight="1" x14ac:dyDescent="0.25">
      <c r="A19" s="565" t="s">
        <v>297</v>
      </c>
      <c r="B19" s="565" t="s">
        <v>298</v>
      </c>
      <c r="C19" s="565" t="s">
        <v>17</v>
      </c>
      <c r="D19" s="665" t="s">
        <v>175</v>
      </c>
      <c r="E19" s="665" t="s">
        <v>160</v>
      </c>
      <c r="F19" s="665" t="s">
        <v>159</v>
      </c>
      <c r="G19" s="665" t="s">
        <v>18</v>
      </c>
      <c r="H19" s="665" t="s">
        <v>138</v>
      </c>
      <c r="I19" s="665" t="s">
        <v>19</v>
      </c>
      <c r="J19" s="665" t="s">
        <v>20</v>
      </c>
      <c r="K19" s="665" t="s">
        <v>189</v>
      </c>
      <c r="L19" s="666" t="s">
        <v>190</v>
      </c>
      <c r="M19" s="584" t="s">
        <v>191</v>
      </c>
      <c r="N19" s="565" t="s">
        <v>192</v>
      </c>
      <c r="O19" s="565" t="s">
        <v>21</v>
      </c>
      <c r="P19" s="565" t="s">
        <v>22</v>
      </c>
      <c r="Q19" s="566"/>
      <c r="R19" s="567" t="s">
        <v>23</v>
      </c>
      <c r="S19" s="567" t="s">
        <v>164</v>
      </c>
      <c r="T19" s="568" t="s">
        <v>24</v>
      </c>
      <c r="U19" s="567" t="s">
        <v>25</v>
      </c>
      <c r="V19" s="567" t="s">
        <v>26</v>
      </c>
      <c r="W19" s="569" t="s">
        <v>269</v>
      </c>
      <c r="X19" s="569" t="s">
        <v>182</v>
      </c>
      <c r="Y19" s="569" t="s">
        <v>163</v>
      </c>
      <c r="Z19" s="570" t="s">
        <v>1234</v>
      </c>
      <c r="AA19" s="570"/>
      <c r="AB19" s="567" t="s">
        <v>27</v>
      </c>
      <c r="AC19" s="567" t="s">
        <v>1233</v>
      </c>
      <c r="AD19" s="567" t="s">
        <v>31</v>
      </c>
      <c r="AE19" s="567" t="s">
        <v>32</v>
      </c>
      <c r="AF19" s="567" t="s">
        <v>33</v>
      </c>
      <c r="AG19" s="567" t="s">
        <v>86</v>
      </c>
      <c r="AH19" s="571" t="s">
        <v>34</v>
      </c>
    </row>
    <row r="20" spans="1:34" ht="152.1" customHeight="1" x14ac:dyDescent="0.25">
      <c r="A20" s="638">
        <v>1</v>
      </c>
      <c r="B20" s="632" t="s">
        <v>262</v>
      </c>
      <c r="C20" s="633">
        <v>78181701</v>
      </c>
      <c r="D20" s="634" t="s">
        <v>219</v>
      </c>
      <c r="E20" s="632" t="s">
        <v>48</v>
      </c>
      <c r="F20" s="632">
        <v>1</v>
      </c>
      <c r="G20" s="844" t="s">
        <v>73</v>
      </c>
      <c r="H20" s="845" t="s">
        <v>586</v>
      </c>
      <c r="I20" s="632" t="s">
        <v>50</v>
      </c>
      <c r="J20" s="632" t="s">
        <v>35</v>
      </c>
      <c r="K20" s="632" t="s">
        <v>158</v>
      </c>
      <c r="L20" s="635">
        <v>40000000</v>
      </c>
      <c r="M20" s="636">
        <v>40000000</v>
      </c>
      <c r="N20" s="632" t="s">
        <v>51</v>
      </c>
      <c r="O20" s="632" t="s">
        <v>36</v>
      </c>
      <c r="P20" s="632" t="s">
        <v>317</v>
      </c>
      <c r="Q20" s="649"/>
      <c r="R20" s="637" t="s">
        <v>641</v>
      </c>
      <c r="S20" s="637" t="s">
        <v>642</v>
      </c>
      <c r="T20" s="653">
        <v>43109</v>
      </c>
      <c r="U20" s="637" t="s">
        <v>643</v>
      </c>
      <c r="V20" s="637" t="s">
        <v>644</v>
      </c>
      <c r="W20" s="654">
        <v>40000000</v>
      </c>
      <c r="X20" s="654">
        <v>-13289237</v>
      </c>
      <c r="Y20" s="654">
        <v>26710763</v>
      </c>
      <c r="Z20" s="654">
        <v>26710763</v>
      </c>
      <c r="AA20" s="654"/>
      <c r="AB20" s="637" t="s">
        <v>645</v>
      </c>
      <c r="AC20" s="637" t="s">
        <v>1246</v>
      </c>
      <c r="AD20" s="637" t="s">
        <v>646</v>
      </c>
      <c r="AE20" s="653">
        <v>43109</v>
      </c>
      <c r="AF20" s="653">
        <v>43434</v>
      </c>
      <c r="AG20" s="637" t="s">
        <v>647</v>
      </c>
      <c r="AH20" s="637" t="s">
        <v>648</v>
      </c>
    </row>
    <row r="21" spans="1:34" ht="92.1" customHeight="1" x14ac:dyDescent="0.25">
      <c r="A21" s="638">
        <f>1+A20</f>
        <v>2</v>
      </c>
      <c r="B21" s="632" t="s">
        <v>262</v>
      </c>
      <c r="C21" s="633">
        <v>25172504</v>
      </c>
      <c r="D21" s="634" t="s">
        <v>52</v>
      </c>
      <c r="E21" s="632" t="s">
        <v>48</v>
      </c>
      <c r="F21" s="632">
        <v>1</v>
      </c>
      <c r="G21" s="844" t="s">
        <v>180</v>
      </c>
      <c r="H21" s="845" t="s">
        <v>156</v>
      </c>
      <c r="I21" s="632" t="s">
        <v>53</v>
      </c>
      <c r="J21" s="632" t="s">
        <v>35</v>
      </c>
      <c r="K21" s="632" t="s">
        <v>54</v>
      </c>
      <c r="L21" s="635">
        <v>4000000</v>
      </c>
      <c r="M21" s="636">
        <v>4000000</v>
      </c>
      <c r="N21" s="632" t="s">
        <v>51</v>
      </c>
      <c r="O21" s="632" t="s">
        <v>36</v>
      </c>
      <c r="P21" s="632" t="s">
        <v>317</v>
      </c>
      <c r="Q21" s="649"/>
      <c r="R21" s="637" t="s">
        <v>148</v>
      </c>
      <c r="S21" s="637" t="s">
        <v>148</v>
      </c>
      <c r="T21" s="653" t="s">
        <v>148</v>
      </c>
      <c r="U21" s="637" t="s">
        <v>148</v>
      </c>
      <c r="V21" s="637" t="s">
        <v>148</v>
      </c>
      <c r="W21" s="654">
        <v>0</v>
      </c>
      <c r="X21" s="637">
        <v>0</v>
      </c>
      <c r="Y21" s="654">
        <v>0</v>
      </c>
      <c r="Z21" s="654">
        <v>0</v>
      </c>
      <c r="AA21" s="654"/>
      <c r="AB21" s="637" t="s">
        <v>148</v>
      </c>
      <c r="AC21" s="637" t="s">
        <v>148</v>
      </c>
      <c r="AD21" s="637" t="s">
        <v>148</v>
      </c>
      <c r="AE21" s="653" t="s">
        <v>148</v>
      </c>
      <c r="AF21" s="653" t="s">
        <v>148</v>
      </c>
      <c r="AG21" s="637" t="s">
        <v>148</v>
      </c>
      <c r="AH21" s="637" t="s">
        <v>148</v>
      </c>
    </row>
    <row r="22" spans="1:34" ht="255" customHeight="1" x14ac:dyDescent="0.25">
      <c r="A22" s="638">
        <f t="shared" ref="A22:A34" si="1">SUM(A21+1)</f>
        <v>3</v>
      </c>
      <c r="B22" s="632" t="s">
        <v>262</v>
      </c>
      <c r="C22" s="633" t="s">
        <v>67</v>
      </c>
      <c r="D22" s="634" t="s">
        <v>40</v>
      </c>
      <c r="E22" s="632" t="s">
        <v>48</v>
      </c>
      <c r="F22" s="632">
        <v>1</v>
      </c>
      <c r="G22" s="844" t="s">
        <v>78</v>
      </c>
      <c r="H22" s="845">
        <v>2</v>
      </c>
      <c r="I22" s="632" t="s">
        <v>173</v>
      </c>
      <c r="J22" s="632" t="s">
        <v>35</v>
      </c>
      <c r="K22" s="632" t="s">
        <v>41</v>
      </c>
      <c r="L22" s="635">
        <v>40000000</v>
      </c>
      <c r="M22" s="636">
        <v>40000000</v>
      </c>
      <c r="N22" s="632" t="s">
        <v>51</v>
      </c>
      <c r="O22" s="632" t="s">
        <v>36</v>
      </c>
      <c r="P22" s="632" t="s">
        <v>317</v>
      </c>
      <c r="Q22" s="649"/>
      <c r="R22" s="637" t="s">
        <v>1461</v>
      </c>
      <c r="S22" s="637" t="s">
        <v>1462</v>
      </c>
      <c r="T22" s="653">
        <v>43227</v>
      </c>
      <c r="U22" s="637" t="s">
        <v>1463</v>
      </c>
      <c r="V22" s="637" t="s">
        <v>652</v>
      </c>
      <c r="W22" s="654">
        <v>23494598.399999999</v>
      </c>
      <c r="X22" s="637">
        <v>0</v>
      </c>
      <c r="Y22" s="654">
        <v>23494598.399999999</v>
      </c>
      <c r="Z22" s="654">
        <v>23494598.399999999</v>
      </c>
      <c r="AA22" s="654"/>
      <c r="AB22" s="637" t="s">
        <v>1464</v>
      </c>
      <c r="AC22" s="637">
        <v>21218</v>
      </c>
      <c r="AD22" s="637" t="s">
        <v>1465</v>
      </c>
      <c r="AE22" s="653">
        <v>43227</v>
      </c>
      <c r="AF22" s="653">
        <v>43257</v>
      </c>
      <c r="AG22" s="637" t="s">
        <v>655</v>
      </c>
      <c r="AH22" s="637" t="s">
        <v>648</v>
      </c>
    </row>
    <row r="23" spans="1:34" ht="152.1" customHeight="1" x14ac:dyDescent="0.25">
      <c r="A23" s="846">
        <f>SUM(A22+1)</f>
        <v>4</v>
      </c>
      <c r="B23" s="847" t="s">
        <v>262</v>
      </c>
      <c r="C23" s="848">
        <v>44103103</v>
      </c>
      <c r="D23" s="847" t="s">
        <v>201</v>
      </c>
      <c r="E23" s="847" t="s">
        <v>48</v>
      </c>
      <c r="F23" s="847">
        <v>1</v>
      </c>
      <c r="G23" s="849" t="s">
        <v>78</v>
      </c>
      <c r="H23" s="850" t="s">
        <v>157</v>
      </c>
      <c r="I23" s="847" t="s">
        <v>173</v>
      </c>
      <c r="J23" s="848" t="s">
        <v>35</v>
      </c>
      <c r="K23" s="848" t="s">
        <v>41</v>
      </c>
      <c r="L23" s="851">
        <v>37850000</v>
      </c>
      <c r="M23" s="852">
        <v>37850000</v>
      </c>
      <c r="N23" s="847" t="s">
        <v>51</v>
      </c>
      <c r="O23" s="847" t="s">
        <v>36</v>
      </c>
      <c r="P23" s="847" t="s">
        <v>317</v>
      </c>
      <c r="Q23" s="649"/>
      <c r="R23" s="637" t="s">
        <v>1505</v>
      </c>
      <c r="S23" s="637" t="s">
        <v>1506</v>
      </c>
      <c r="T23" s="653">
        <v>43245</v>
      </c>
      <c r="U23" s="637" t="s">
        <v>1507</v>
      </c>
      <c r="V23" s="637" t="s">
        <v>652</v>
      </c>
      <c r="W23" s="654">
        <v>44210996.380000003</v>
      </c>
      <c r="X23" s="654">
        <v>0</v>
      </c>
      <c r="Y23" s="654">
        <v>44210996.380000003</v>
      </c>
      <c r="Z23" s="654">
        <v>44210996.380000003</v>
      </c>
      <c r="AA23" s="654"/>
      <c r="AB23" s="637" t="s">
        <v>1508</v>
      </c>
      <c r="AC23" s="881">
        <v>21418</v>
      </c>
      <c r="AD23" s="637" t="s">
        <v>1509</v>
      </c>
      <c r="AE23" s="653">
        <v>43245</v>
      </c>
      <c r="AF23" s="653">
        <v>43305</v>
      </c>
      <c r="AG23" s="637" t="s">
        <v>655</v>
      </c>
      <c r="AH23" s="637" t="s">
        <v>648</v>
      </c>
    </row>
    <row r="24" spans="1:34" ht="152.1" customHeight="1" x14ac:dyDescent="0.25">
      <c r="A24" s="842"/>
      <c r="B24" s="847" t="s">
        <v>262</v>
      </c>
      <c r="C24" s="848">
        <v>44103103</v>
      </c>
      <c r="D24" s="847" t="s">
        <v>201</v>
      </c>
      <c r="E24" s="847" t="s">
        <v>48</v>
      </c>
      <c r="F24" s="847">
        <v>1</v>
      </c>
      <c r="G24" s="849" t="s">
        <v>78</v>
      </c>
      <c r="H24" s="850" t="s">
        <v>157</v>
      </c>
      <c r="I24" s="847" t="s">
        <v>173</v>
      </c>
      <c r="J24" s="848" t="s">
        <v>35</v>
      </c>
      <c r="K24" s="848" t="s">
        <v>41</v>
      </c>
      <c r="L24" s="851">
        <v>37850000</v>
      </c>
      <c r="M24" s="852">
        <v>37850000</v>
      </c>
      <c r="N24" s="847" t="s">
        <v>51</v>
      </c>
      <c r="O24" s="847" t="s">
        <v>36</v>
      </c>
      <c r="P24" s="847" t="s">
        <v>317</v>
      </c>
      <c r="Q24" s="649"/>
      <c r="R24" s="637" t="s">
        <v>1505</v>
      </c>
      <c r="S24" s="637" t="s">
        <v>1506</v>
      </c>
      <c r="T24" s="653">
        <v>43245</v>
      </c>
      <c r="U24" s="637" t="s">
        <v>1507</v>
      </c>
      <c r="V24" s="637" t="s">
        <v>652</v>
      </c>
      <c r="W24" s="654">
        <v>16357259.24</v>
      </c>
      <c r="X24" s="654">
        <v>0</v>
      </c>
      <c r="Y24" s="654">
        <v>16357259.24</v>
      </c>
      <c r="Z24" s="654">
        <v>16357259.24</v>
      </c>
      <c r="AA24" s="654"/>
      <c r="AB24" s="637" t="s">
        <v>1508</v>
      </c>
      <c r="AC24" s="882"/>
      <c r="AD24" s="637" t="s">
        <v>1509</v>
      </c>
      <c r="AE24" s="653">
        <v>43245</v>
      </c>
      <c r="AF24" s="653">
        <v>43305</v>
      </c>
      <c r="AG24" s="637" t="s">
        <v>655</v>
      </c>
      <c r="AH24" s="637" t="s">
        <v>648</v>
      </c>
    </row>
    <row r="25" spans="1:34" ht="152.1" customHeight="1" x14ac:dyDescent="0.25">
      <c r="A25" s="638">
        <f>SUM(A23+1)</f>
        <v>5</v>
      </c>
      <c r="B25" s="632" t="s">
        <v>262</v>
      </c>
      <c r="C25" s="633">
        <v>44103104</v>
      </c>
      <c r="D25" s="634" t="s">
        <v>201</v>
      </c>
      <c r="E25" s="632" t="s">
        <v>48</v>
      </c>
      <c r="F25" s="632">
        <v>1</v>
      </c>
      <c r="G25" s="844" t="s">
        <v>78</v>
      </c>
      <c r="H25" s="845" t="s">
        <v>157</v>
      </c>
      <c r="I25" s="632" t="s">
        <v>53</v>
      </c>
      <c r="J25" s="632" t="s">
        <v>35</v>
      </c>
      <c r="K25" s="632" t="s">
        <v>41</v>
      </c>
      <c r="L25" s="635">
        <v>21800000</v>
      </c>
      <c r="M25" s="635">
        <v>21800000</v>
      </c>
      <c r="N25" s="632" t="s">
        <v>51</v>
      </c>
      <c r="O25" s="632" t="s">
        <v>36</v>
      </c>
      <c r="P25" s="632" t="s">
        <v>317</v>
      </c>
      <c r="Q25" s="649"/>
      <c r="R25" s="637" t="s">
        <v>1460</v>
      </c>
      <c r="S25" s="637" t="s">
        <v>1447</v>
      </c>
      <c r="T25" s="653">
        <v>43208</v>
      </c>
      <c r="U25" s="637" t="s">
        <v>1459</v>
      </c>
      <c r="V25" s="637" t="s">
        <v>652</v>
      </c>
      <c r="W25" s="654">
        <v>21786639</v>
      </c>
      <c r="X25" s="654">
        <v>0</v>
      </c>
      <c r="Y25" s="654">
        <v>21786639</v>
      </c>
      <c r="Z25" s="654">
        <v>21786639</v>
      </c>
      <c r="AA25" s="654"/>
      <c r="AB25" s="637" t="s">
        <v>1458</v>
      </c>
      <c r="AC25" s="637">
        <v>21318</v>
      </c>
      <c r="AD25" s="637" t="s">
        <v>1453</v>
      </c>
      <c r="AE25" s="653">
        <v>43208</v>
      </c>
      <c r="AF25" s="653">
        <v>43237</v>
      </c>
      <c r="AG25" s="637" t="s">
        <v>655</v>
      </c>
      <c r="AH25" s="637" t="s">
        <v>648</v>
      </c>
    </row>
    <row r="26" spans="1:34" ht="165" customHeight="1" x14ac:dyDescent="0.25">
      <c r="A26" s="638">
        <f t="shared" si="1"/>
        <v>6</v>
      </c>
      <c r="B26" s="640" t="s">
        <v>262</v>
      </c>
      <c r="C26" s="641">
        <v>72101506</v>
      </c>
      <c r="D26" s="642" t="s">
        <v>302</v>
      </c>
      <c r="E26" s="640" t="s">
        <v>48</v>
      </c>
      <c r="F26" s="640">
        <v>1</v>
      </c>
      <c r="G26" s="643" t="s">
        <v>75</v>
      </c>
      <c r="H26" s="644" t="s">
        <v>282</v>
      </c>
      <c r="I26" s="640" t="s">
        <v>55</v>
      </c>
      <c r="J26" s="640" t="s">
        <v>35</v>
      </c>
      <c r="K26" s="640" t="s">
        <v>46</v>
      </c>
      <c r="L26" s="645"/>
      <c r="M26" s="646"/>
      <c r="N26" s="640" t="s">
        <v>51</v>
      </c>
      <c r="O26" s="640" t="s">
        <v>36</v>
      </c>
      <c r="P26" s="640" t="s">
        <v>317</v>
      </c>
      <c r="Q26" s="649"/>
      <c r="R26" s="637" t="s">
        <v>148</v>
      </c>
      <c r="S26" s="637" t="s">
        <v>148</v>
      </c>
      <c r="T26" s="653" t="s">
        <v>148</v>
      </c>
      <c r="U26" s="637" t="s">
        <v>148</v>
      </c>
      <c r="V26" s="637" t="s">
        <v>148</v>
      </c>
      <c r="W26" s="654">
        <v>0</v>
      </c>
      <c r="X26" s="637">
        <v>0</v>
      </c>
      <c r="Y26" s="654">
        <v>0</v>
      </c>
      <c r="Z26" s="654">
        <v>0</v>
      </c>
      <c r="AA26" s="654"/>
      <c r="AB26" s="637" t="s">
        <v>148</v>
      </c>
      <c r="AC26" s="637" t="s">
        <v>148</v>
      </c>
      <c r="AD26" s="637" t="s">
        <v>148</v>
      </c>
      <c r="AE26" s="653" t="s">
        <v>148</v>
      </c>
      <c r="AF26" s="653" t="s">
        <v>148</v>
      </c>
      <c r="AG26" s="637" t="s">
        <v>148</v>
      </c>
      <c r="AH26" s="637" t="s">
        <v>148</v>
      </c>
    </row>
    <row r="27" spans="1:34" ht="92.1" customHeight="1" x14ac:dyDescent="0.25">
      <c r="A27" s="638">
        <f t="shared" si="1"/>
        <v>7</v>
      </c>
      <c r="B27" s="640" t="s">
        <v>262</v>
      </c>
      <c r="C27" s="641" t="s">
        <v>457</v>
      </c>
      <c r="D27" s="642" t="s">
        <v>458</v>
      </c>
      <c r="E27" s="640" t="s">
        <v>48</v>
      </c>
      <c r="F27" s="640">
        <v>1</v>
      </c>
      <c r="G27" s="643" t="s">
        <v>80</v>
      </c>
      <c r="H27" s="644">
        <v>8</v>
      </c>
      <c r="I27" s="640" t="s">
        <v>55</v>
      </c>
      <c r="J27" s="640" t="s">
        <v>35</v>
      </c>
      <c r="K27" s="640" t="s">
        <v>46</v>
      </c>
      <c r="L27" s="645"/>
      <c r="M27" s="646"/>
      <c r="N27" s="640" t="s">
        <v>51</v>
      </c>
      <c r="O27" s="640" t="s">
        <v>36</v>
      </c>
      <c r="P27" s="640" t="s">
        <v>317</v>
      </c>
      <c r="Q27" s="649"/>
      <c r="R27" s="637" t="s">
        <v>148</v>
      </c>
      <c r="S27" s="637" t="s">
        <v>148</v>
      </c>
      <c r="T27" s="653" t="s">
        <v>148</v>
      </c>
      <c r="U27" s="637" t="s">
        <v>148</v>
      </c>
      <c r="V27" s="637" t="s">
        <v>148</v>
      </c>
      <c r="W27" s="654">
        <v>0</v>
      </c>
      <c r="X27" s="637">
        <v>0</v>
      </c>
      <c r="Y27" s="654">
        <v>0</v>
      </c>
      <c r="Z27" s="654">
        <v>0</v>
      </c>
      <c r="AA27" s="654"/>
      <c r="AB27" s="637" t="s">
        <v>148</v>
      </c>
      <c r="AC27" s="637" t="s">
        <v>148</v>
      </c>
      <c r="AD27" s="637" t="s">
        <v>148</v>
      </c>
      <c r="AE27" s="653" t="s">
        <v>148</v>
      </c>
      <c r="AF27" s="653" t="s">
        <v>148</v>
      </c>
      <c r="AG27" s="637" t="s">
        <v>148</v>
      </c>
      <c r="AH27" s="637" t="s">
        <v>148</v>
      </c>
    </row>
    <row r="28" spans="1:34" s="721" customFormat="1" ht="136.15" customHeight="1" x14ac:dyDescent="0.25">
      <c r="A28" s="639">
        <f t="shared" si="1"/>
        <v>8</v>
      </c>
      <c r="B28" s="640" t="s">
        <v>467</v>
      </c>
      <c r="C28" s="641">
        <v>72101506</v>
      </c>
      <c r="D28" s="642" t="s">
        <v>215</v>
      </c>
      <c r="E28" s="640" t="s">
        <v>48</v>
      </c>
      <c r="F28" s="640">
        <v>1</v>
      </c>
      <c r="G28" s="643" t="s">
        <v>180</v>
      </c>
      <c r="H28" s="644" t="s">
        <v>157</v>
      </c>
      <c r="I28" s="640" t="s">
        <v>55</v>
      </c>
      <c r="J28" s="640" t="s">
        <v>35</v>
      </c>
      <c r="K28" s="640" t="s">
        <v>46</v>
      </c>
      <c r="L28" s="645"/>
      <c r="M28" s="646"/>
      <c r="N28" s="640" t="s">
        <v>51</v>
      </c>
      <c r="O28" s="640" t="s">
        <v>36</v>
      </c>
      <c r="P28" s="640" t="s">
        <v>466</v>
      </c>
      <c r="Q28" s="883"/>
      <c r="R28" s="700" t="s">
        <v>148</v>
      </c>
      <c r="S28" s="700" t="s">
        <v>148</v>
      </c>
      <c r="T28" s="701" t="s">
        <v>148</v>
      </c>
      <c r="U28" s="700" t="s">
        <v>148</v>
      </c>
      <c r="V28" s="700" t="s">
        <v>148</v>
      </c>
      <c r="W28" s="702">
        <v>0</v>
      </c>
      <c r="X28" s="700">
        <v>0</v>
      </c>
      <c r="Y28" s="702">
        <v>0</v>
      </c>
      <c r="Z28" s="702">
        <v>0</v>
      </c>
      <c r="AA28" s="702"/>
      <c r="AB28" s="700" t="s">
        <v>148</v>
      </c>
      <c r="AC28" s="700" t="s">
        <v>148</v>
      </c>
      <c r="AD28" s="700" t="s">
        <v>148</v>
      </c>
      <c r="AE28" s="701" t="s">
        <v>148</v>
      </c>
      <c r="AF28" s="701" t="s">
        <v>148</v>
      </c>
      <c r="AG28" s="700" t="s">
        <v>148</v>
      </c>
      <c r="AH28" s="700" t="s">
        <v>148</v>
      </c>
    </row>
    <row r="29" spans="1:34" s="657" customFormat="1" ht="92.1" customHeight="1" x14ac:dyDescent="0.25">
      <c r="A29" s="638">
        <f t="shared" si="1"/>
        <v>9</v>
      </c>
      <c r="B29" s="632" t="s">
        <v>262</v>
      </c>
      <c r="C29" s="633">
        <v>72102900</v>
      </c>
      <c r="D29" s="634" t="s">
        <v>56</v>
      </c>
      <c r="E29" s="632" t="s">
        <v>48</v>
      </c>
      <c r="F29" s="632">
        <v>1</v>
      </c>
      <c r="G29" s="844" t="s">
        <v>180</v>
      </c>
      <c r="H29" s="845" t="s">
        <v>1243</v>
      </c>
      <c r="I29" s="632" t="s">
        <v>50</v>
      </c>
      <c r="J29" s="632" t="s">
        <v>35</v>
      </c>
      <c r="K29" s="632" t="s">
        <v>57</v>
      </c>
      <c r="L29" s="635">
        <v>490000000</v>
      </c>
      <c r="M29" s="636">
        <v>12000000</v>
      </c>
      <c r="N29" s="632" t="s">
        <v>49</v>
      </c>
      <c r="O29" s="632" t="s">
        <v>436</v>
      </c>
      <c r="P29" s="632" t="s">
        <v>317</v>
      </c>
      <c r="Q29" s="649"/>
      <c r="R29" s="637" t="s">
        <v>148</v>
      </c>
      <c r="S29" s="637" t="s">
        <v>148</v>
      </c>
      <c r="T29" s="653" t="s">
        <v>148</v>
      </c>
      <c r="U29" s="637" t="s">
        <v>148</v>
      </c>
      <c r="V29" s="637" t="s">
        <v>148</v>
      </c>
      <c r="W29" s="654">
        <v>0</v>
      </c>
      <c r="X29" s="637">
        <v>0</v>
      </c>
      <c r="Y29" s="654">
        <v>0</v>
      </c>
      <c r="Z29" s="654">
        <v>0</v>
      </c>
      <c r="AA29" s="654"/>
      <c r="AB29" s="637" t="s">
        <v>148</v>
      </c>
      <c r="AC29" s="637" t="s">
        <v>148</v>
      </c>
      <c r="AD29" s="637" t="s">
        <v>148</v>
      </c>
      <c r="AE29" s="653" t="s">
        <v>148</v>
      </c>
      <c r="AF29" s="653" t="s">
        <v>148</v>
      </c>
      <c r="AG29" s="637" t="s">
        <v>148</v>
      </c>
      <c r="AH29" s="637" t="s">
        <v>148</v>
      </c>
    </row>
    <row r="30" spans="1:34" ht="152.1" customHeight="1" x14ac:dyDescent="0.25">
      <c r="A30" s="638">
        <f t="shared" si="1"/>
        <v>10</v>
      </c>
      <c r="B30" s="632" t="s">
        <v>262</v>
      </c>
      <c r="C30" s="633">
        <v>84131603</v>
      </c>
      <c r="D30" s="634" t="s">
        <v>62</v>
      </c>
      <c r="E30" s="632" t="s">
        <v>48</v>
      </c>
      <c r="F30" s="632">
        <v>1</v>
      </c>
      <c r="G30" s="844" t="s">
        <v>73</v>
      </c>
      <c r="H30" s="845" t="s">
        <v>156</v>
      </c>
      <c r="I30" s="632" t="s">
        <v>50</v>
      </c>
      <c r="J30" s="632" t="s">
        <v>35</v>
      </c>
      <c r="K30" s="632" t="s">
        <v>39</v>
      </c>
      <c r="L30" s="635">
        <v>6210182</v>
      </c>
      <c r="M30" s="636">
        <v>6210182</v>
      </c>
      <c r="N30" s="632" t="s">
        <v>51</v>
      </c>
      <c r="O30" s="632" t="s">
        <v>36</v>
      </c>
      <c r="P30" s="632" t="s">
        <v>317</v>
      </c>
      <c r="Q30" s="649"/>
      <c r="R30" s="637" t="s">
        <v>1223</v>
      </c>
      <c r="S30" s="637" t="s">
        <v>1224</v>
      </c>
      <c r="T30" s="653">
        <v>43132</v>
      </c>
      <c r="U30" s="637" t="s">
        <v>1225</v>
      </c>
      <c r="V30" s="637" t="s">
        <v>1210</v>
      </c>
      <c r="W30" s="654">
        <v>4130593</v>
      </c>
      <c r="X30" s="637">
        <v>0</v>
      </c>
      <c r="Y30" s="654">
        <v>4130593</v>
      </c>
      <c r="Z30" s="654">
        <v>4130593</v>
      </c>
      <c r="AA30" s="654"/>
      <c r="AB30" s="637" t="s">
        <v>1226</v>
      </c>
      <c r="AC30" s="637" t="s">
        <v>1247</v>
      </c>
      <c r="AD30" s="637" t="s">
        <v>1227</v>
      </c>
      <c r="AE30" s="653">
        <v>43132</v>
      </c>
      <c r="AF30" s="653">
        <v>43465</v>
      </c>
      <c r="AG30" s="637" t="s">
        <v>647</v>
      </c>
      <c r="AH30" s="637" t="s">
        <v>648</v>
      </c>
    </row>
    <row r="31" spans="1:34" ht="92.1" customHeight="1" x14ac:dyDescent="0.25">
      <c r="A31" s="638">
        <f t="shared" si="1"/>
        <v>11</v>
      </c>
      <c r="B31" s="632" t="s">
        <v>262</v>
      </c>
      <c r="C31" s="633">
        <v>20102302</v>
      </c>
      <c r="D31" s="634" t="s">
        <v>204</v>
      </c>
      <c r="E31" s="632" t="s">
        <v>48</v>
      </c>
      <c r="F31" s="632">
        <v>1</v>
      </c>
      <c r="G31" s="844" t="s">
        <v>180</v>
      </c>
      <c r="H31" s="845" t="s">
        <v>156</v>
      </c>
      <c r="I31" s="632" t="s">
        <v>55</v>
      </c>
      <c r="J31" s="632" t="s">
        <v>35</v>
      </c>
      <c r="K31" s="632" t="s">
        <v>218</v>
      </c>
      <c r="L31" s="635">
        <v>2400000</v>
      </c>
      <c r="M31" s="636">
        <v>2400000</v>
      </c>
      <c r="N31" s="632" t="s">
        <v>51</v>
      </c>
      <c r="O31" s="632" t="s">
        <v>36</v>
      </c>
      <c r="P31" s="632" t="s">
        <v>317</v>
      </c>
      <c r="Q31" s="649"/>
      <c r="R31" s="637" t="s">
        <v>148</v>
      </c>
      <c r="S31" s="637" t="s">
        <v>148</v>
      </c>
      <c r="T31" s="653" t="s">
        <v>148</v>
      </c>
      <c r="U31" s="637" t="s">
        <v>148</v>
      </c>
      <c r="V31" s="637" t="s">
        <v>148</v>
      </c>
      <c r="W31" s="654">
        <v>0</v>
      </c>
      <c r="X31" s="637">
        <v>0</v>
      </c>
      <c r="Y31" s="654">
        <v>0</v>
      </c>
      <c r="Z31" s="654">
        <v>0</v>
      </c>
      <c r="AA31" s="654"/>
      <c r="AB31" s="637" t="s">
        <v>148</v>
      </c>
      <c r="AC31" s="637" t="s">
        <v>148</v>
      </c>
      <c r="AD31" s="637" t="s">
        <v>148</v>
      </c>
      <c r="AE31" s="653" t="s">
        <v>148</v>
      </c>
      <c r="AF31" s="653" t="s">
        <v>148</v>
      </c>
      <c r="AG31" s="637" t="s">
        <v>148</v>
      </c>
      <c r="AH31" s="637" t="s">
        <v>148</v>
      </c>
    </row>
    <row r="32" spans="1:34" ht="92.1" customHeight="1" x14ac:dyDescent="0.25">
      <c r="A32" s="638">
        <f t="shared" si="1"/>
        <v>12</v>
      </c>
      <c r="B32" s="640" t="s">
        <v>262</v>
      </c>
      <c r="C32" s="641" t="s">
        <v>1570</v>
      </c>
      <c r="D32" s="642" t="s">
        <v>1571</v>
      </c>
      <c r="E32" s="640" t="s">
        <v>48</v>
      </c>
      <c r="F32" s="640">
        <v>1</v>
      </c>
      <c r="G32" s="643" t="s">
        <v>166</v>
      </c>
      <c r="H32" s="644" t="s">
        <v>639</v>
      </c>
      <c r="I32" s="640" t="s">
        <v>55</v>
      </c>
      <c r="J32" s="640" t="s">
        <v>35</v>
      </c>
      <c r="K32" s="640" t="s">
        <v>193</v>
      </c>
      <c r="L32" s="645"/>
      <c r="M32" s="646"/>
      <c r="N32" s="640" t="s">
        <v>51</v>
      </c>
      <c r="O32" s="640" t="s">
        <v>36</v>
      </c>
      <c r="P32" s="640" t="s">
        <v>317</v>
      </c>
      <c r="Q32" s="649"/>
      <c r="R32" s="637" t="s">
        <v>148</v>
      </c>
      <c r="S32" s="637" t="s">
        <v>148</v>
      </c>
      <c r="T32" s="653" t="s">
        <v>148</v>
      </c>
      <c r="U32" s="637" t="s">
        <v>148</v>
      </c>
      <c r="V32" s="637" t="s">
        <v>148</v>
      </c>
      <c r="W32" s="654">
        <v>0</v>
      </c>
      <c r="X32" s="637">
        <v>0</v>
      </c>
      <c r="Y32" s="654">
        <v>0</v>
      </c>
      <c r="Z32" s="654">
        <v>0</v>
      </c>
      <c r="AA32" s="654"/>
      <c r="AB32" s="637" t="s">
        <v>148</v>
      </c>
      <c r="AC32" s="637" t="s">
        <v>148</v>
      </c>
      <c r="AD32" s="637" t="s">
        <v>148</v>
      </c>
      <c r="AE32" s="653" t="s">
        <v>148</v>
      </c>
      <c r="AF32" s="653" t="s">
        <v>148</v>
      </c>
      <c r="AG32" s="637" t="s">
        <v>148</v>
      </c>
      <c r="AH32" s="637" t="s">
        <v>148</v>
      </c>
    </row>
    <row r="33" spans="1:34" ht="92.1" customHeight="1" x14ac:dyDescent="0.25">
      <c r="A33" s="638">
        <f t="shared" si="1"/>
        <v>13</v>
      </c>
      <c r="B33" s="632" t="s">
        <v>262</v>
      </c>
      <c r="C33" s="633">
        <v>72101516</v>
      </c>
      <c r="D33" s="634" t="s">
        <v>437</v>
      </c>
      <c r="E33" s="632" t="s">
        <v>48</v>
      </c>
      <c r="F33" s="632">
        <v>1</v>
      </c>
      <c r="G33" s="844" t="s">
        <v>81</v>
      </c>
      <c r="H33" s="845" t="s">
        <v>157</v>
      </c>
      <c r="I33" s="632" t="s">
        <v>55</v>
      </c>
      <c r="J33" s="632" t="s">
        <v>35</v>
      </c>
      <c r="K33" s="632" t="s">
        <v>37</v>
      </c>
      <c r="L33" s="635">
        <v>2800000</v>
      </c>
      <c r="M33" s="636">
        <v>2800000</v>
      </c>
      <c r="N33" s="632" t="s">
        <v>51</v>
      </c>
      <c r="O33" s="632" t="s">
        <v>36</v>
      </c>
      <c r="P33" s="632" t="s">
        <v>317</v>
      </c>
      <c r="Q33" s="649"/>
      <c r="R33" s="637" t="s">
        <v>1736</v>
      </c>
      <c r="S33" s="637" t="s">
        <v>1737</v>
      </c>
      <c r="T33" s="653">
        <v>43326</v>
      </c>
      <c r="U33" s="637" t="s">
        <v>1738</v>
      </c>
      <c r="V33" s="637" t="s">
        <v>644</v>
      </c>
      <c r="W33" s="654">
        <v>2256280</v>
      </c>
      <c r="X33" s="637">
        <v>-1414280</v>
      </c>
      <c r="Y33" s="654">
        <v>842000</v>
      </c>
      <c r="Z33" s="654">
        <v>842000</v>
      </c>
      <c r="AA33" s="654"/>
      <c r="AB33" s="637" t="s">
        <v>1739</v>
      </c>
      <c r="AC33" s="637">
        <v>25118</v>
      </c>
      <c r="AD33" s="637" t="s">
        <v>1740</v>
      </c>
      <c r="AE33" s="653">
        <v>43326</v>
      </c>
      <c r="AF33" s="653">
        <v>43356</v>
      </c>
      <c r="AG33" s="637" t="s">
        <v>1741</v>
      </c>
      <c r="AH33" s="637" t="s">
        <v>648</v>
      </c>
    </row>
    <row r="34" spans="1:34" s="649" customFormat="1" ht="114" customHeight="1" x14ac:dyDescent="0.25">
      <c r="A34" s="846">
        <f t="shared" si="1"/>
        <v>14</v>
      </c>
      <c r="B34" s="632" t="s">
        <v>262</v>
      </c>
      <c r="C34" s="633" t="s">
        <v>205</v>
      </c>
      <c r="D34" s="634" t="s">
        <v>438</v>
      </c>
      <c r="E34" s="632" t="s">
        <v>48</v>
      </c>
      <c r="F34" s="632">
        <v>1</v>
      </c>
      <c r="G34" s="844" t="s">
        <v>80</v>
      </c>
      <c r="H34" s="845" t="s">
        <v>249</v>
      </c>
      <c r="I34" s="632" t="s">
        <v>55</v>
      </c>
      <c r="J34" s="632" t="s">
        <v>35</v>
      </c>
      <c r="K34" s="632" t="s">
        <v>46</v>
      </c>
      <c r="L34" s="635">
        <v>8000000</v>
      </c>
      <c r="M34" s="636">
        <v>8000000</v>
      </c>
      <c r="N34" s="632" t="s">
        <v>51</v>
      </c>
      <c r="O34" s="632" t="s">
        <v>36</v>
      </c>
      <c r="P34" s="632" t="s">
        <v>317</v>
      </c>
      <c r="R34" s="637" t="s">
        <v>1391</v>
      </c>
      <c r="S34" s="637" t="s">
        <v>1392</v>
      </c>
      <c r="T34" s="653">
        <v>43171</v>
      </c>
      <c r="U34" s="637" t="s">
        <v>1393</v>
      </c>
      <c r="V34" s="637" t="s">
        <v>652</v>
      </c>
      <c r="W34" s="654">
        <v>2960000</v>
      </c>
      <c r="X34" s="637"/>
      <c r="Y34" s="654">
        <v>2960000</v>
      </c>
      <c r="Z34" s="654">
        <v>2960000</v>
      </c>
      <c r="AA34" s="654"/>
      <c r="AB34" s="637" t="s">
        <v>1394</v>
      </c>
      <c r="AC34" s="637">
        <v>17518</v>
      </c>
      <c r="AD34" s="637" t="s">
        <v>1395</v>
      </c>
      <c r="AE34" s="653">
        <v>43174</v>
      </c>
      <c r="AF34" s="653">
        <v>43418</v>
      </c>
      <c r="AG34" s="637" t="s">
        <v>1396</v>
      </c>
      <c r="AH34" s="637" t="s">
        <v>648</v>
      </c>
    </row>
    <row r="35" spans="1:34" s="649" customFormat="1" ht="114" customHeight="1" x14ac:dyDescent="0.25">
      <c r="A35" s="842"/>
      <c r="B35" s="632" t="s">
        <v>262</v>
      </c>
      <c r="C35" s="633" t="s">
        <v>205</v>
      </c>
      <c r="D35" s="634" t="s">
        <v>577</v>
      </c>
      <c r="E35" s="632" t="s">
        <v>48</v>
      </c>
      <c r="F35" s="632">
        <v>1</v>
      </c>
      <c r="G35" s="844" t="s">
        <v>80</v>
      </c>
      <c r="H35" s="845" t="s">
        <v>249</v>
      </c>
      <c r="I35" s="632" t="s">
        <v>55</v>
      </c>
      <c r="J35" s="632" t="s">
        <v>35</v>
      </c>
      <c r="K35" s="632" t="s">
        <v>44</v>
      </c>
      <c r="L35" s="635">
        <v>2000000</v>
      </c>
      <c r="M35" s="636">
        <v>2000000</v>
      </c>
      <c r="N35" s="632" t="s">
        <v>51</v>
      </c>
      <c r="O35" s="632" t="s">
        <v>36</v>
      </c>
      <c r="P35" s="632" t="s">
        <v>317</v>
      </c>
      <c r="R35" s="637" t="s">
        <v>1391</v>
      </c>
      <c r="S35" s="637" t="s">
        <v>1392</v>
      </c>
      <c r="T35" s="653">
        <v>43171</v>
      </c>
      <c r="U35" s="637" t="s">
        <v>1393</v>
      </c>
      <c r="V35" s="637" t="s">
        <v>652</v>
      </c>
      <c r="W35" s="654">
        <v>2000000</v>
      </c>
      <c r="X35" s="637"/>
      <c r="Y35" s="654">
        <v>2000000</v>
      </c>
      <c r="Z35" s="654">
        <v>2000000</v>
      </c>
      <c r="AA35" s="654"/>
      <c r="AB35" s="637" t="s">
        <v>1394</v>
      </c>
      <c r="AC35" s="637">
        <v>17518</v>
      </c>
      <c r="AD35" s="637" t="s">
        <v>1395</v>
      </c>
      <c r="AE35" s="653">
        <v>43174</v>
      </c>
      <c r="AF35" s="653">
        <v>43418</v>
      </c>
      <c r="AG35" s="637" t="s">
        <v>1457</v>
      </c>
      <c r="AH35" s="637" t="s">
        <v>648</v>
      </c>
    </row>
    <row r="36" spans="1:34" s="731" customFormat="1" ht="92.1" customHeight="1" x14ac:dyDescent="0.25">
      <c r="A36" s="638">
        <v>15</v>
      </c>
      <c r="B36" s="632" t="s">
        <v>313</v>
      </c>
      <c r="C36" s="633">
        <v>72102900</v>
      </c>
      <c r="D36" s="634" t="s">
        <v>1742</v>
      </c>
      <c r="E36" s="632" t="s">
        <v>48</v>
      </c>
      <c r="F36" s="632">
        <v>1</v>
      </c>
      <c r="G36" s="844" t="s">
        <v>74</v>
      </c>
      <c r="H36" s="845" t="s">
        <v>156</v>
      </c>
      <c r="I36" s="632" t="s">
        <v>55</v>
      </c>
      <c r="J36" s="632" t="s">
        <v>35</v>
      </c>
      <c r="K36" s="632" t="s">
        <v>46</v>
      </c>
      <c r="L36" s="635">
        <v>21800000</v>
      </c>
      <c r="M36" s="636">
        <v>21800000</v>
      </c>
      <c r="N36" s="632" t="s">
        <v>51</v>
      </c>
      <c r="O36" s="632" t="s">
        <v>36</v>
      </c>
      <c r="P36" s="632" t="s">
        <v>317</v>
      </c>
      <c r="Q36" s="649"/>
      <c r="R36" s="637" t="s">
        <v>148</v>
      </c>
      <c r="S36" s="637" t="s">
        <v>148</v>
      </c>
      <c r="T36" s="653" t="s">
        <v>148</v>
      </c>
      <c r="U36" s="637" t="s">
        <v>148</v>
      </c>
      <c r="V36" s="637" t="s">
        <v>148</v>
      </c>
      <c r="W36" s="654">
        <v>0</v>
      </c>
      <c r="X36" s="637">
        <v>0</v>
      </c>
      <c r="Y36" s="654">
        <v>0</v>
      </c>
      <c r="Z36" s="654">
        <v>0</v>
      </c>
      <c r="AA36" s="654"/>
      <c r="AB36" s="637" t="s">
        <v>148</v>
      </c>
      <c r="AC36" s="637" t="s">
        <v>148</v>
      </c>
      <c r="AD36" s="637" t="s">
        <v>148</v>
      </c>
      <c r="AE36" s="653" t="s">
        <v>148</v>
      </c>
      <c r="AF36" s="653" t="s">
        <v>148</v>
      </c>
      <c r="AG36" s="637" t="s">
        <v>148</v>
      </c>
      <c r="AH36" s="637" t="s">
        <v>148</v>
      </c>
    </row>
    <row r="37" spans="1:34" ht="345" customHeight="1" x14ac:dyDescent="0.25">
      <c r="A37" s="638">
        <f t="shared" ref="A37:A44" si="2">SUM(A36+1)</f>
        <v>16</v>
      </c>
      <c r="B37" s="632" t="s">
        <v>262</v>
      </c>
      <c r="C37" s="633" t="s">
        <v>1390</v>
      </c>
      <c r="D37" s="634" t="s">
        <v>181</v>
      </c>
      <c r="E37" s="632" t="s">
        <v>48</v>
      </c>
      <c r="F37" s="632">
        <v>1</v>
      </c>
      <c r="G37" s="844" t="s">
        <v>76</v>
      </c>
      <c r="H37" s="845" t="s">
        <v>156</v>
      </c>
      <c r="I37" s="632" t="s">
        <v>55</v>
      </c>
      <c r="J37" s="632" t="s">
        <v>35</v>
      </c>
      <c r="K37" s="632" t="s">
        <v>44</v>
      </c>
      <c r="L37" s="635">
        <v>10000000</v>
      </c>
      <c r="M37" s="636">
        <v>10000000</v>
      </c>
      <c r="N37" s="632" t="s">
        <v>51</v>
      </c>
      <c r="O37" s="632" t="s">
        <v>36</v>
      </c>
      <c r="P37" s="632" t="s">
        <v>317</v>
      </c>
      <c r="Q37" s="649"/>
      <c r="R37" s="637" t="s">
        <v>1510</v>
      </c>
      <c r="S37" s="637" t="s">
        <v>1511</v>
      </c>
      <c r="T37" s="653">
        <v>43264</v>
      </c>
      <c r="U37" s="637" t="s">
        <v>1512</v>
      </c>
      <c r="V37" s="637" t="s">
        <v>652</v>
      </c>
      <c r="W37" s="654">
        <v>6670000</v>
      </c>
      <c r="X37" s="637">
        <v>0</v>
      </c>
      <c r="Y37" s="654">
        <v>6670000</v>
      </c>
      <c r="Z37" s="654">
        <v>6670000</v>
      </c>
      <c r="AA37" s="654"/>
      <c r="AB37" s="637" t="s">
        <v>1513</v>
      </c>
      <c r="AC37" s="637">
        <v>19618</v>
      </c>
      <c r="AD37" s="637" t="s">
        <v>1514</v>
      </c>
      <c r="AE37" s="653">
        <v>43265</v>
      </c>
      <c r="AF37" s="653">
        <v>43294</v>
      </c>
      <c r="AG37" s="637" t="s">
        <v>1457</v>
      </c>
      <c r="AH37" s="637" t="s">
        <v>648</v>
      </c>
    </row>
    <row r="38" spans="1:34" ht="105" customHeight="1" x14ac:dyDescent="0.25">
      <c r="A38" s="638">
        <f t="shared" si="2"/>
        <v>17</v>
      </c>
      <c r="B38" s="632" t="s">
        <v>262</v>
      </c>
      <c r="C38" s="633">
        <v>84131512</v>
      </c>
      <c r="D38" s="634" t="s">
        <v>183</v>
      </c>
      <c r="E38" s="632" t="s">
        <v>48</v>
      </c>
      <c r="F38" s="632">
        <v>1</v>
      </c>
      <c r="G38" s="844" t="s">
        <v>77</v>
      </c>
      <c r="H38" s="845">
        <v>12</v>
      </c>
      <c r="I38" s="632" t="s">
        <v>173</v>
      </c>
      <c r="J38" s="632" t="s">
        <v>35</v>
      </c>
      <c r="K38" s="632" t="s">
        <v>39</v>
      </c>
      <c r="L38" s="635">
        <v>7840000</v>
      </c>
      <c r="M38" s="636">
        <v>7840000</v>
      </c>
      <c r="N38" s="632" t="s">
        <v>51</v>
      </c>
      <c r="O38" s="632" t="s">
        <v>36</v>
      </c>
      <c r="P38" s="632" t="s">
        <v>317</v>
      </c>
      <c r="Q38" s="649"/>
      <c r="R38" s="637" t="s">
        <v>1946</v>
      </c>
      <c r="S38" s="637" t="s">
        <v>1224</v>
      </c>
      <c r="T38" s="653">
        <v>43389</v>
      </c>
      <c r="U38" s="637" t="s">
        <v>1947</v>
      </c>
      <c r="V38" s="637" t="s">
        <v>652</v>
      </c>
      <c r="W38" s="654">
        <v>7805169</v>
      </c>
      <c r="X38" s="637">
        <v>0</v>
      </c>
      <c r="Y38" s="654">
        <v>7805169</v>
      </c>
      <c r="Z38" s="654">
        <v>7805169</v>
      </c>
      <c r="AA38" s="654"/>
      <c r="AB38" s="637" t="s">
        <v>1948</v>
      </c>
      <c r="AC38" s="637">
        <v>33018</v>
      </c>
      <c r="AD38" s="637" t="s">
        <v>1949</v>
      </c>
      <c r="AE38" s="653">
        <v>43390</v>
      </c>
      <c r="AF38" s="653">
        <v>43754</v>
      </c>
      <c r="AG38" s="637" t="s">
        <v>647</v>
      </c>
      <c r="AH38" s="637" t="s">
        <v>648</v>
      </c>
    </row>
    <row r="39" spans="1:34" ht="180" customHeight="1" x14ac:dyDescent="0.25">
      <c r="A39" s="638">
        <f t="shared" si="2"/>
        <v>18</v>
      </c>
      <c r="B39" s="632" t="s">
        <v>262</v>
      </c>
      <c r="C39" s="633">
        <v>44101501</v>
      </c>
      <c r="D39" s="634" t="s">
        <v>453</v>
      </c>
      <c r="E39" s="632" t="s">
        <v>48</v>
      </c>
      <c r="F39" s="632">
        <v>1</v>
      </c>
      <c r="G39" s="844" t="s">
        <v>76</v>
      </c>
      <c r="H39" s="845">
        <v>2</v>
      </c>
      <c r="I39" s="632" t="s">
        <v>55</v>
      </c>
      <c r="J39" s="632" t="s">
        <v>35</v>
      </c>
      <c r="K39" s="632" t="s">
        <v>195</v>
      </c>
      <c r="L39" s="635">
        <v>20000000</v>
      </c>
      <c r="M39" s="635">
        <v>20000000</v>
      </c>
      <c r="N39" s="632" t="s">
        <v>51</v>
      </c>
      <c r="O39" s="632" t="s">
        <v>36</v>
      </c>
      <c r="P39" s="632" t="s">
        <v>317</v>
      </c>
      <c r="Q39" s="649"/>
      <c r="R39" s="637" t="s">
        <v>1456</v>
      </c>
      <c r="S39" s="637" t="s">
        <v>1447</v>
      </c>
      <c r="T39" s="653">
        <v>43208</v>
      </c>
      <c r="U39" s="637" t="s">
        <v>1455</v>
      </c>
      <c r="V39" s="637" t="s">
        <v>652</v>
      </c>
      <c r="W39" s="654">
        <v>12197500</v>
      </c>
      <c r="X39" s="637">
        <v>0</v>
      </c>
      <c r="Y39" s="654">
        <v>12197500</v>
      </c>
      <c r="Z39" s="654">
        <v>12197500</v>
      </c>
      <c r="AA39" s="654"/>
      <c r="AB39" s="637" t="s">
        <v>1454</v>
      </c>
      <c r="AC39" s="637">
        <v>22118</v>
      </c>
      <c r="AD39" s="637" t="s">
        <v>1453</v>
      </c>
      <c r="AE39" s="653">
        <v>43209</v>
      </c>
      <c r="AF39" s="653">
        <v>43238</v>
      </c>
      <c r="AG39" s="637" t="s">
        <v>655</v>
      </c>
      <c r="AH39" s="637" t="s">
        <v>648</v>
      </c>
    </row>
    <row r="40" spans="1:34" ht="121.15" customHeight="1" x14ac:dyDescent="0.25">
      <c r="A40" s="846">
        <f t="shared" si="2"/>
        <v>19</v>
      </c>
      <c r="B40" s="632" t="s">
        <v>313</v>
      </c>
      <c r="C40" s="633">
        <v>78181500</v>
      </c>
      <c r="D40" s="634" t="s">
        <v>581</v>
      </c>
      <c r="E40" s="632" t="s">
        <v>48</v>
      </c>
      <c r="F40" s="632">
        <v>1</v>
      </c>
      <c r="G40" s="844" t="s">
        <v>81</v>
      </c>
      <c r="H40" s="853" t="s">
        <v>1475</v>
      </c>
      <c r="I40" s="632" t="s">
        <v>55</v>
      </c>
      <c r="J40" s="632" t="s">
        <v>35</v>
      </c>
      <c r="K40" s="632" t="s">
        <v>450</v>
      </c>
      <c r="L40" s="635">
        <v>7000000</v>
      </c>
      <c r="M40" s="635">
        <v>7000000</v>
      </c>
      <c r="N40" s="632" t="s">
        <v>51</v>
      </c>
      <c r="O40" s="632" t="s">
        <v>36</v>
      </c>
      <c r="P40" s="632" t="s">
        <v>317</v>
      </c>
      <c r="Q40" s="649"/>
      <c r="R40" s="637" t="s">
        <v>1743</v>
      </c>
      <c r="S40" s="884" t="s">
        <v>1744</v>
      </c>
      <c r="T40" s="885">
        <v>43333</v>
      </c>
      <c r="U40" s="884" t="s">
        <v>1745</v>
      </c>
      <c r="V40" s="884" t="s">
        <v>644</v>
      </c>
      <c r="W40" s="654">
        <v>1395000</v>
      </c>
      <c r="X40" s="637">
        <v>0</v>
      </c>
      <c r="Y40" s="654">
        <v>1395000</v>
      </c>
      <c r="Z40" s="654">
        <v>1395000</v>
      </c>
      <c r="AA40" s="886"/>
      <c r="AB40" s="884" t="s">
        <v>1746</v>
      </c>
      <c r="AC40" s="884">
        <v>33118</v>
      </c>
      <c r="AD40" s="884" t="s">
        <v>1747</v>
      </c>
      <c r="AE40" s="885">
        <v>43334</v>
      </c>
      <c r="AF40" s="885" t="s">
        <v>1748</v>
      </c>
      <c r="AG40" s="884" t="s">
        <v>1749</v>
      </c>
      <c r="AH40" s="884" t="s">
        <v>1750</v>
      </c>
    </row>
    <row r="41" spans="1:34" ht="121.15" customHeight="1" x14ac:dyDescent="0.25">
      <c r="A41" s="842"/>
      <c r="B41" s="632" t="s">
        <v>313</v>
      </c>
      <c r="C41" s="633">
        <v>78181501</v>
      </c>
      <c r="D41" s="634" t="s">
        <v>581</v>
      </c>
      <c r="E41" s="632" t="s">
        <v>48</v>
      </c>
      <c r="F41" s="632">
        <v>2</v>
      </c>
      <c r="G41" s="844" t="s">
        <v>81</v>
      </c>
      <c r="H41" s="853" t="s">
        <v>1475</v>
      </c>
      <c r="I41" s="632" t="s">
        <v>55</v>
      </c>
      <c r="J41" s="632" t="s">
        <v>35</v>
      </c>
      <c r="K41" s="632" t="s">
        <v>44</v>
      </c>
      <c r="L41" s="635">
        <v>12000000</v>
      </c>
      <c r="M41" s="635">
        <v>12000000</v>
      </c>
      <c r="N41" s="632" t="s">
        <v>51</v>
      </c>
      <c r="O41" s="632" t="s">
        <v>36</v>
      </c>
      <c r="P41" s="632" t="s">
        <v>317</v>
      </c>
      <c r="Q41" s="649"/>
      <c r="R41" s="637" t="s">
        <v>1743</v>
      </c>
      <c r="S41" s="843"/>
      <c r="T41" s="887"/>
      <c r="U41" s="843"/>
      <c r="V41" s="843"/>
      <c r="W41" s="654">
        <v>3255000</v>
      </c>
      <c r="X41" s="637"/>
      <c r="Y41" s="654">
        <v>3255000</v>
      </c>
      <c r="Z41" s="654">
        <v>3255000</v>
      </c>
      <c r="AA41" s="888"/>
      <c r="AB41" s="843"/>
      <c r="AC41" s="843"/>
      <c r="AD41" s="843"/>
      <c r="AE41" s="887"/>
      <c r="AF41" s="887"/>
      <c r="AG41" s="843"/>
      <c r="AH41" s="843"/>
    </row>
    <row r="42" spans="1:34" s="703" customFormat="1" ht="92.1" customHeight="1" x14ac:dyDescent="0.25">
      <c r="A42" s="639">
        <f>SUM(A40+1)</f>
        <v>20</v>
      </c>
      <c r="B42" s="640" t="s">
        <v>313</v>
      </c>
      <c r="C42" s="641">
        <v>92101501</v>
      </c>
      <c r="D42" s="642" t="s">
        <v>451</v>
      </c>
      <c r="E42" s="640" t="s">
        <v>48</v>
      </c>
      <c r="F42" s="640">
        <v>1</v>
      </c>
      <c r="G42" s="643" t="s">
        <v>74</v>
      </c>
      <c r="H42" s="644" t="s">
        <v>1243</v>
      </c>
      <c r="I42" s="640" t="s">
        <v>432</v>
      </c>
      <c r="J42" s="640" t="s">
        <v>35</v>
      </c>
      <c r="K42" s="640" t="s">
        <v>452</v>
      </c>
      <c r="L42" s="646"/>
      <c r="M42" s="646"/>
      <c r="N42" s="640" t="s">
        <v>49</v>
      </c>
      <c r="O42" s="640" t="s">
        <v>436</v>
      </c>
      <c r="P42" s="640" t="s">
        <v>317</v>
      </c>
      <c r="Q42" s="883"/>
      <c r="R42" s="700" t="s">
        <v>148</v>
      </c>
      <c r="S42" s="700" t="s">
        <v>148</v>
      </c>
      <c r="T42" s="701" t="s">
        <v>148</v>
      </c>
      <c r="U42" s="700" t="s">
        <v>148</v>
      </c>
      <c r="V42" s="700" t="s">
        <v>148</v>
      </c>
      <c r="W42" s="702">
        <v>0</v>
      </c>
      <c r="X42" s="700">
        <v>0</v>
      </c>
      <c r="Y42" s="702">
        <v>0</v>
      </c>
      <c r="Z42" s="702">
        <v>0</v>
      </c>
      <c r="AA42" s="702"/>
      <c r="AB42" s="700" t="s">
        <v>148</v>
      </c>
      <c r="AC42" s="700" t="s">
        <v>148</v>
      </c>
      <c r="AD42" s="700" t="s">
        <v>148</v>
      </c>
      <c r="AE42" s="701" t="s">
        <v>148</v>
      </c>
      <c r="AF42" s="701" t="s">
        <v>148</v>
      </c>
      <c r="AG42" s="700" t="s">
        <v>148</v>
      </c>
      <c r="AH42" s="700" t="s">
        <v>148</v>
      </c>
    </row>
    <row r="43" spans="1:34" ht="92.1" customHeight="1" x14ac:dyDescent="0.25">
      <c r="A43" s="638">
        <f t="shared" si="2"/>
        <v>21</v>
      </c>
      <c r="B43" s="640" t="s">
        <v>262</v>
      </c>
      <c r="C43" s="641">
        <v>44110000</v>
      </c>
      <c r="D43" s="642" t="s">
        <v>227</v>
      </c>
      <c r="E43" s="640" t="s">
        <v>48</v>
      </c>
      <c r="F43" s="640">
        <v>1</v>
      </c>
      <c r="G43" s="643" t="s">
        <v>78</v>
      </c>
      <c r="H43" s="644" t="s">
        <v>156</v>
      </c>
      <c r="I43" s="640" t="s">
        <v>53</v>
      </c>
      <c r="J43" s="640" t="s">
        <v>35</v>
      </c>
      <c r="K43" s="640" t="s">
        <v>41</v>
      </c>
      <c r="L43" s="645"/>
      <c r="M43" s="646"/>
      <c r="N43" s="632" t="s">
        <v>51</v>
      </c>
      <c r="O43" s="632" t="s">
        <v>36</v>
      </c>
      <c r="P43" s="632" t="s">
        <v>317</v>
      </c>
      <c r="Q43" s="649"/>
      <c r="R43" s="637" t="s">
        <v>148</v>
      </c>
      <c r="S43" s="637" t="s">
        <v>148</v>
      </c>
      <c r="T43" s="653" t="s">
        <v>148</v>
      </c>
      <c r="U43" s="637" t="s">
        <v>148</v>
      </c>
      <c r="V43" s="637" t="s">
        <v>148</v>
      </c>
      <c r="W43" s="654">
        <v>0</v>
      </c>
      <c r="X43" s="637">
        <v>0</v>
      </c>
      <c r="Y43" s="654">
        <v>0</v>
      </c>
      <c r="Z43" s="654">
        <v>0</v>
      </c>
      <c r="AA43" s="654"/>
      <c r="AB43" s="637" t="s">
        <v>148</v>
      </c>
      <c r="AC43" s="637" t="s">
        <v>148</v>
      </c>
      <c r="AD43" s="637" t="s">
        <v>148</v>
      </c>
      <c r="AE43" s="653" t="s">
        <v>148</v>
      </c>
      <c r="AF43" s="653" t="s">
        <v>148</v>
      </c>
      <c r="AG43" s="637" t="s">
        <v>148</v>
      </c>
      <c r="AH43" s="637" t="s">
        <v>148</v>
      </c>
    </row>
    <row r="44" spans="1:34" ht="92.1" customHeight="1" x14ac:dyDescent="0.25">
      <c r="A44" s="846">
        <f t="shared" si="2"/>
        <v>22</v>
      </c>
      <c r="B44" s="632" t="s">
        <v>262</v>
      </c>
      <c r="C44" s="633">
        <v>81111820</v>
      </c>
      <c r="D44" s="634" t="s">
        <v>633</v>
      </c>
      <c r="E44" s="632" t="s">
        <v>48</v>
      </c>
      <c r="F44" s="632">
        <v>1</v>
      </c>
      <c r="G44" s="844" t="s">
        <v>75</v>
      </c>
      <c r="H44" s="845" t="s">
        <v>461</v>
      </c>
      <c r="I44" s="632" t="s">
        <v>61</v>
      </c>
      <c r="J44" s="632" t="s">
        <v>35</v>
      </c>
      <c r="K44" s="632" t="s">
        <v>37</v>
      </c>
      <c r="L44" s="635">
        <v>6300000</v>
      </c>
      <c r="M44" s="636">
        <v>6300000</v>
      </c>
      <c r="N44" s="632" t="s">
        <v>51</v>
      </c>
      <c r="O44" s="632" t="s">
        <v>36</v>
      </c>
      <c r="P44" s="632" t="s">
        <v>317</v>
      </c>
      <c r="Q44" s="649"/>
      <c r="R44" s="637" t="s">
        <v>649</v>
      </c>
      <c r="S44" s="637" t="s">
        <v>650</v>
      </c>
      <c r="T44" s="653">
        <v>43126</v>
      </c>
      <c r="U44" s="637" t="s">
        <v>651</v>
      </c>
      <c r="V44" s="637" t="s">
        <v>652</v>
      </c>
      <c r="W44" s="654">
        <v>6064473</v>
      </c>
      <c r="X44" s="637">
        <v>0</v>
      </c>
      <c r="Y44" s="654">
        <v>6064473</v>
      </c>
      <c r="Z44" s="654">
        <v>6064473</v>
      </c>
      <c r="AA44" s="654"/>
      <c r="AB44" s="637" t="s">
        <v>653</v>
      </c>
      <c r="AC44" s="637" t="s">
        <v>1248</v>
      </c>
      <c r="AD44" s="637" t="s">
        <v>654</v>
      </c>
      <c r="AE44" s="653">
        <v>43133</v>
      </c>
      <c r="AF44" s="653">
        <v>43497</v>
      </c>
      <c r="AG44" s="637" t="s">
        <v>655</v>
      </c>
      <c r="AH44" s="637" t="s">
        <v>648</v>
      </c>
    </row>
    <row r="45" spans="1:34" ht="91.9" customHeight="1" x14ac:dyDescent="0.25">
      <c r="A45" s="842"/>
      <c r="B45" s="632" t="s">
        <v>262</v>
      </c>
      <c r="C45" s="633" t="s">
        <v>1422</v>
      </c>
      <c r="D45" s="634" t="s">
        <v>601</v>
      </c>
      <c r="E45" s="632" t="s">
        <v>48</v>
      </c>
      <c r="F45" s="632">
        <v>1</v>
      </c>
      <c r="G45" s="844" t="s">
        <v>78</v>
      </c>
      <c r="H45" s="845" t="s">
        <v>156</v>
      </c>
      <c r="I45" s="632" t="s">
        <v>602</v>
      </c>
      <c r="J45" s="632" t="s">
        <v>35</v>
      </c>
      <c r="K45" s="632" t="s">
        <v>195</v>
      </c>
      <c r="L45" s="635">
        <v>7400000</v>
      </c>
      <c r="M45" s="636">
        <v>7400000</v>
      </c>
      <c r="N45" s="632" t="s">
        <v>51</v>
      </c>
      <c r="O45" s="632" t="s">
        <v>36</v>
      </c>
      <c r="P45" s="632" t="s">
        <v>317</v>
      </c>
      <c r="Q45" s="649"/>
      <c r="R45" s="637" t="s">
        <v>1452</v>
      </c>
      <c r="S45" s="637" t="s">
        <v>1451</v>
      </c>
      <c r="T45" s="653">
        <v>43213</v>
      </c>
      <c r="U45" s="637" t="s">
        <v>1450</v>
      </c>
      <c r="V45" s="637" t="s">
        <v>652</v>
      </c>
      <c r="W45" s="654">
        <v>6003550</v>
      </c>
      <c r="X45" s="637">
        <v>0</v>
      </c>
      <c r="Y45" s="654">
        <f>SUM(W45+X45)</f>
        <v>6003550</v>
      </c>
      <c r="Z45" s="654">
        <f>SUM(X45+Y45)</f>
        <v>6003550</v>
      </c>
      <c r="AA45" s="654"/>
      <c r="AB45" s="637" t="s">
        <v>1449</v>
      </c>
      <c r="AC45" s="637">
        <v>20518</v>
      </c>
      <c r="AD45" s="637" t="s">
        <v>1560</v>
      </c>
      <c r="AE45" s="653">
        <v>43215</v>
      </c>
      <c r="AF45" s="653">
        <v>43244</v>
      </c>
      <c r="AG45" s="637" t="s">
        <v>655</v>
      </c>
      <c r="AH45" s="637" t="s">
        <v>648</v>
      </c>
    </row>
    <row r="46" spans="1:34" ht="117" customHeight="1" x14ac:dyDescent="0.25">
      <c r="A46" s="638">
        <f>SUM(A44+1)</f>
        <v>23</v>
      </c>
      <c r="B46" s="632" t="s">
        <v>481</v>
      </c>
      <c r="C46" s="633">
        <v>43211701</v>
      </c>
      <c r="D46" s="634" t="s">
        <v>482</v>
      </c>
      <c r="E46" s="632" t="s">
        <v>48</v>
      </c>
      <c r="F46" s="632">
        <v>1</v>
      </c>
      <c r="G46" s="844" t="s">
        <v>76</v>
      </c>
      <c r="H46" s="845" t="s">
        <v>156</v>
      </c>
      <c r="I46" s="632" t="s">
        <v>53</v>
      </c>
      <c r="J46" s="632" t="s">
        <v>35</v>
      </c>
      <c r="K46" s="632" t="s">
        <v>195</v>
      </c>
      <c r="L46" s="635">
        <v>16400000</v>
      </c>
      <c r="M46" s="636">
        <v>16400000</v>
      </c>
      <c r="N46" s="632" t="s">
        <v>51</v>
      </c>
      <c r="O46" s="632" t="s">
        <v>36</v>
      </c>
      <c r="P46" s="632" t="s">
        <v>306</v>
      </c>
      <c r="Q46" s="649"/>
      <c r="R46" s="884" t="s">
        <v>1448</v>
      </c>
      <c r="S46" s="884" t="s">
        <v>1447</v>
      </c>
      <c r="T46" s="885">
        <v>43214</v>
      </c>
      <c r="U46" s="884" t="s">
        <v>1446</v>
      </c>
      <c r="V46" s="884" t="s">
        <v>652</v>
      </c>
      <c r="W46" s="889">
        <v>16232790</v>
      </c>
      <c r="X46" s="890">
        <v>0</v>
      </c>
      <c r="Y46" s="889">
        <v>16232790</v>
      </c>
      <c r="Z46" s="889">
        <v>16232790</v>
      </c>
      <c r="AA46" s="891"/>
      <c r="AB46" s="884" t="s">
        <v>1445</v>
      </c>
      <c r="AC46" s="884">
        <v>21518</v>
      </c>
      <c r="AD46" s="884" t="s">
        <v>1444</v>
      </c>
      <c r="AE46" s="885">
        <v>43215</v>
      </c>
      <c r="AF46" s="885">
        <v>43244</v>
      </c>
      <c r="AG46" s="884" t="s">
        <v>655</v>
      </c>
      <c r="AH46" s="884" t="s">
        <v>648</v>
      </c>
    </row>
    <row r="47" spans="1:34" ht="92.1" customHeight="1" x14ac:dyDescent="0.25">
      <c r="A47" s="638">
        <f t="shared" ref="A47:A64" si="3">SUM(A46+1)</f>
        <v>24</v>
      </c>
      <c r="B47" s="632" t="s">
        <v>262</v>
      </c>
      <c r="C47" s="633">
        <v>44101706</v>
      </c>
      <c r="D47" s="634" t="s">
        <v>454</v>
      </c>
      <c r="E47" s="632" t="s">
        <v>48</v>
      </c>
      <c r="F47" s="632">
        <v>1</v>
      </c>
      <c r="G47" s="844" t="s">
        <v>76</v>
      </c>
      <c r="H47" s="845">
        <v>2</v>
      </c>
      <c r="I47" s="632" t="s">
        <v>53</v>
      </c>
      <c r="J47" s="632" t="s">
        <v>35</v>
      </c>
      <c r="K47" s="632" t="s">
        <v>44</v>
      </c>
      <c r="L47" s="635">
        <v>3000000</v>
      </c>
      <c r="M47" s="635">
        <v>3000000</v>
      </c>
      <c r="N47" s="632" t="s">
        <v>51</v>
      </c>
      <c r="O47" s="632" t="s">
        <v>36</v>
      </c>
      <c r="P47" s="632" t="s">
        <v>317</v>
      </c>
      <c r="Q47" s="649"/>
      <c r="R47" s="843"/>
      <c r="S47" s="843"/>
      <c r="T47" s="887"/>
      <c r="U47" s="843"/>
      <c r="V47" s="843"/>
      <c r="W47" s="889">
        <v>2945250</v>
      </c>
      <c r="X47" s="889">
        <v>0</v>
      </c>
      <c r="Y47" s="889">
        <v>2945250</v>
      </c>
      <c r="Z47" s="889">
        <v>2945250</v>
      </c>
      <c r="AA47" s="892"/>
      <c r="AB47" s="843"/>
      <c r="AC47" s="843"/>
      <c r="AD47" s="843"/>
      <c r="AE47" s="887"/>
      <c r="AF47" s="887"/>
      <c r="AG47" s="843"/>
      <c r="AH47" s="843"/>
    </row>
    <row r="48" spans="1:34" ht="92.1" customHeight="1" x14ac:dyDescent="0.25">
      <c r="A48" s="638">
        <f t="shared" si="3"/>
        <v>25</v>
      </c>
      <c r="B48" s="640" t="s">
        <v>198</v>
      </c>
      <c r="C48" s="641">
        <v>44121636</v>
      </c>
      <c r="D48" s="642" t="s">
        <v>537</v>
      </c>
      <c r="E48" s="640" t="s">
        <v>48</v>
      </c>
      <c r="F48" s="640">
        <v>1</v>
      </c>
      <c r="G48" s="643" t="s">
        <v>78</v>
      </c>
      <c r="H48" s="644" t="s">
        <v>156</v>
      </c>
      <c r="I48" s="640" t="s">
        <v>53</v>
      </c>
      <c r="J48" s="640" t="s">
        <v>35</v>
      </c>
      <c r="K48" s="640" t="s">
        <v>195</v>
      </c>
      <c r="L48" s="645"/>
      <c r="M48" s="646"/>
      <c r="N48" s="640" t="s">
        <v>51</v>
      </c>
      <c r="O48" s="640" t="s">
        <v>36</v>
      </c>
      <c r="P48" s="640" t="s">
        <v>535</v>
      </c>
      <c r="Q48" s="649"/>
      <c r="R48" s="637" t="s">
        <v>148</v>
      </c>
      <c r="S48" s="637" t="s">
        <v>148</v>
      </c>
      <c r="T48" s="653" t="s">
        <v>148</v>
      </c>
      <c r="U48" s="637" t="s">
        <v>148</v>
      </c>
      <c r="V48" s="637" t="s">
        <v>148</v>
      </c>
      <c r="W48" s="654">
        <v>0</v>
      </c>
      <c r="X48" s="637">
        <v>0</v>
      </c>
      <c r="Y48" s="654">
        <v>0</v>
      </c>
      <c r="Z48" s="654">
        <v>0</v>
      </c>
      <c r="AA48" s="654"/>
      <c r="AB48" s="637" t="s">
        <v>148</v>
      </c>
      <c r="AC48" s="637" t="s">
        <v>148</v>
      </c>
      <c r="AD48" s="637" t="s">
        <v>148</v>
      </c>
      <c r="AE48" s="653" t="s">
        <v>148</v>
      </c>
      <c r="AF48" s="653" t="s">
        <v>148</v>
      </c>
      <c r="AG48" s="637" t="s">
        <v>148</v>
      </c>
      <c r="AH48" s="637" t="s">
        <v>148</v>
      </c>
    </row>
    <row r="49" spans="1:34" ht="92.1" customHeight="1" x14ac:dyDescent="0.25">
      <c r="A49" s="638">
        <f t="shared" si="3"/>
        <v>26</v>
      </c>
      <c r="B49" s="640" t="s">
        <v>313</v>
      </c>
      <c r="C49" s="641">
        <v>72152302</v>
      </c>
      <c r="D49" s="642" t="s">
        <v>456</v>
      </c>
      <c r="E49" s="640" t="s">
        <v>59</v>
      </c>
      <c r="F49" s="640">
        <v>1</v>
      </c>
      <c r="G49" s="643" t="s">
        <v>81</v>
      </c>
      <c r="H49" s="644" t="s">
        <v>156</v>
      </c>
      <c r="I49" s="640" t="s">
        <v>55</v>
      </c>
      <c r="J49" s="640" t="s">
        <v>35</v>
      </c>
      <c r="K49" s="640" t="s">
        <v>37</v>
      </c>
      <c r="L49" s="645"/>
      <c r="M49" s="645"/>
      <c r="N49" s="640" t="s">
        <v>51</v>
      </c>
      <c r="O49" s="640" t="s">
        <v>36</v>
      </c>
      <c r="P49" s="640" t="s">
        <v>317</v>
      </c>
      <c r="Q49" s="649"/>
      <c r="R49" s="637" t="s">
        <v>148</v>
      </c>
      <c r="S49" s="637" t="s">
        <v>148</v>
      </c>
      <c r="T49" s="653" t="s">
        <v>148</v>
      </c>
      <c r="U49" s="637" t="s">
        <v>148</v>
      </c>
      <c r="V49" s="637" t="s">
        <v>148</v>
      </c>
      <c r="W49" s="654">
        <v>0</v>
      </c>
      <c r="X49" s="637">
        <v>0</v>
      </c>
      <c r="Y49" s="654">
        <v>0</v>
      </c>
      <c r="Z49" s="654">
        <v>0</v>
      </c>
      <c r="AA49" s="654"/>
      <c r="AB49" s="637" t="s">
        <v>148</v>
      </c>
      <c r="AC49" s="637" t="s">
        <v>148</v>
      </c>
      <c r="AD49" s="637" t="s">
        <v>148</v>
      </c>
      <c r="AE49" s="653" t="s">
        <v>148</v>
      </c>
      <c r="AF49" s="653" t="s">
        <v>148</v>
      </c>
      <c r="AG49" s="637" t="s">
        <v>148</v>
      </c>
      <c r="AH49" s="637" t="s">
        <v>148</v>
      </c>
    </row>
    <row r="50" spans="1:34" ht="152.1" customHeight="1" x14ac:dyDescent="0.25">
      <c r="A50" s="638">
        <f t="shared" si="3"/>
        <v>27</v>
      </c>
      <c r="B50" s="632" t="s">
        <v>313</v>
      </c>
      <c r="C50" s="633">
        <v>56120000</v>
      </c>
      <c r="D50" s="634" t="s">
        <v>295</v>
      </c>
      <c r="E50" s="632" t="s">
        <v>48</v>
      </c>
      <c r="F50" s="632">
        <v>1</v>
      </c>
      <c r="G50" s="844" t="s">
        <v>166</v>
      </c>
      <c r="H50" s="845" t="s">
        <v>157</v>
      </c>
      <c r="I50" s="632" t="s">
        <v>55</v>
      </c>
      <c r="J50" s="632" t="s">
        <v>35</v>
      </c>
      <c r="K50" s="632" t="s">
        <v>294</v>
      </c>
      <c r="L50" s="635">
        <v>20000000</v>
      </c>
      <c r="M50" s="636">
        <v>20000000</v>
      </c>
      <c r="N50" s="632" t="s">
        <v>51</v>
      </c>
      <c r="O50" s="632" t="s">
        <v>36</v>
      </c>
      <c r="P50" s="632" t="s">
        <v>317</v>
      </c>
      <c r="Q50" s="649"/>
      <c r="R50" s="637" t="s">
        <v>1555</v>
      </c>
      <c r="S50" s="637" t="s">
        <v>1556</v>
      </c>
      <c r="T50" s="653">
        <v>43276</v>
      </c>
      <c r="U50" s="637" t="s">
        <v>1557</v>
      </c>
      <c r="V50" s="637" t="s">
        <v>652</v>
      </c>
      <c r="W50" s="654">
        <v>19784940</v>
      </c>
      <c r="X50" s="637">
        <v>0</v>
      </c>
      <c r="Y50" s="654">
        <v>19784940</v>
      </c>
      <c r="Z50" s="654">
        <v>19784940</v>
      </c>
      <c r="AA50" s="654"/>
      <c r="AB50" s="637" t="s">
        <v>1558</v>
      </c>
      <c r="AC50" s="637">
        <v>25218</v>
      </c>
      <c r="AD50" s="637" t="s">
        <v>1559</v>
      </c>
      <c r="AE50" s="653">
        <v>43277</v>
      </c>
      <c r="AF50" s="653">
        <v>43306</v>
      </c>
      <c r="AG50" s="637" t="s">
        <v>1457</v>
      </c>
      <c r="AH50" s="637" t="s">
        <v>648</v>
      </c>
    </row>
    <row r="51" spans="1:34" s="657" customFormat="1" ht="92.1" customHeight="1" x14ac:dyDescent="0.25">
      <c r="A51" s="638">
        <f t="shared" si="3"/>
        <v>28</v>
      </c>
      <c r="B51" s="640" t="s">
        <v>313</v>
      </c>
      <c r="C51" s="641" t="s">
        <v>459</v>
      </c>
      <c r="D51" s="642" t="s">
        <v>460</v>
      </c>
      <c r="E51" s="640" t="s">
        <v>48</v>
      </c>
      <c r="F51" s="640">
        <v>1</v>
      </c>
      <c r="G51" s="643" t="s">
        <v>74</v>
      </c>
      <c r="H51" s="644" t="s">
        <v>249</v>
      </c>
      <c r="I51" s="640" t="s">
        <v>55</v>
      </c>
      <c r="J51" s="640" t="s">
        <v>35</v>
      </c>
      <c r="K51" s="640" t="s">
        <v>37</v>
      </c>
      <c r="L51" s="645"/>
      <c r="M51" s="646"/>
      <c r="N51" s="640" t="s">
        <v>51</v>
      </c>
      <c r="O51" s="640" t="s">
        <v>36</v>
      </c>
      <c r="P51" s="640" t="s">
        <v>317</v>
      </c>
      <c r="Q51" s="649"/>
      <c r="R51" s="637" t="s">
        <v>148</v>
      </c>
      <c r="S51" s="637" t="s">
        <v>148</v>
      </c>
      <c r="T51" s="653" t="s">
        <v>148</v>
      </c>
      <c r="U51" s="637" t="s">
        <v>148</v>
      </c>
      <c r="V51" s="637" t="s">
        <v>148</v>
      </c>
      <c r="W51" s="654">
        <v>0</v>
      </c>
      <c r="X51" s="637">
        <v>0</v>
      </c>
      <c r="Y51" s="654">
        <v>0</v>
      </c>
      <c r="Z51" s="654">
        <v>0</v>
      </c>
      <c r="AA51" s="654"/>
      <c r="AB51" s="637" t="s">
        <v>148</v>
      </c>
      <c r="AC51" s="637" t="s">
        <v>148</v>
      </c>
      <c r="AD51" s="637" t="s">
        <v>148</v>
      </c>
      <c r="AE51" s="653" t="s">
        <v>148</v>
      </c>
      <c r="AF51" s="653" t="s">
        <v>148</v>
      </c>
      <c r="AG51" s="637" t="s">
        <v>148</v>
      </c>
      <c r="AH51" s="637" t="s">
        <v>148</v>
      </c>
    </row>
    <row r="52" spans="1:34" ht="147.6" customHeight="1" x14ac:dyDescent="0.25">
      <c r="A52" s="846">
        <f t="shared" si="3"/>
        <v>29</v>
      </c>
      <c r="B52" s="632" t="s">
        <v>313</v>
      </c>
      <c r="C52" s="633" t="s">
        <v>1474</v>
      </c>
      <c r="D52" s="634" t="s">
        <v>1473</v>
      </c>
      <c r="E52" s="632" t="s">
        <v>48</v>
      </c>
      <c r="F52" s="632">
        <v>1</v>
      </c>
      <c r="G52" s="844" t="s">
        <v>79</v>
      </c>
      <c r="H52" s="845" t="s">
        <v>156</v>
      </c>
      <c r="I52" s="632" t="s">
        <v>53</v>
      </c>
      <c r="J52" s="632" t="s">
        <v>35</v>
      </c>
      <c r="K52" s="632" t="s">
        <v>41</v>
      </c>
      <c r="L52" s="854">
        <v>5477570</v>
      </c>
      <c r="M52" s="855">
        <v>5477570</v>
      </c>
      <c r="N52" s="632" t="s">
        <v>51</v>
      </c>
      <c r="O52" s="632" t="s">
        <v>36</v>
      </c>
      <c r="P52" s="632" t="s">
        <v>316</v>
      </c>
      <c r="Q52" s="649"/>
      <c r="R52" s="637" t="s">
        <v>1515</v>
      </c>
      <c r="S52" s="637" t="s">
        <v>1447</v>
      </c>
      <c r="T52" s="653">
        <v>43264</v>
      </c>
      <c r="U52" s="637" t="s">
        <v>1516</v>
      </c>
      <c r="V52" s="637" t="s">
        <v>652</v>
      </c>
      <c r="W52" s="654">
        <v>4129657</v>
      </c>
      <c r="X52" s="637">
        <v>0</v>
      </c>
      <c r="Y52" s="654">
        <v>4129657</v>
      </c>
      <c r="Z52" s="654">
        <v>4129657</v>
      </c>
      <c r="AA52" s="654"/>
      <c r="AB52" s="637" t="s">
        <v>1517</v>
      </c>
      <c r="AC52" s="637">
        <v>21118</v>
      </c>
      <c r="AD52" s="637" t="s">
        <v>1518</v>
      </c>
      <c r="AE52" s="653">
        <v>43264</v>
      </c>
      <c r="AF52" s="653">
        <v>43295</v>
      </c>
      <c r="AG52" s="637" t="s">
        <v>655</v>
      </c>
      <c r="AH52" s="637" t="s">
        <v>648</v>
      </c>
    </row>
    <row r="53" spans="1:34" ht="126.6" customHeight="1" x14ac:dyDescent="0.25">
      <c r="A53" s="842"/>
      <c r="B53" s="640" t="s">
        <v>198</v>
      </c>
      <c r="C53" s="641">
        <v>44121636</v>
      </c>
      <c r="D53" s="642" t="s">
        <v>1473</v>
      </c>
      <c r="E53" s="640" t="s">
        <v>48</v>
      </c>
      <c r="F53" s="640">
        <v>1</v>
      </c>
      <c r="G53" s="643" t="s">
        <v>166</v>
      </c>
      <c r="H53" s="644" t="s">
        <v>156</v>
      </c>
      <c r="I53" s="640" t="s">
        <v>53</v>
      </c>
      <c r="J53" s="640" t="s">
        <v>35</v>
      </c>
      <c r="K53" s="640" t="s">
        <v>195</v>
      </c>
      <c r="L53" s="856"/>
      <c r="M53" s="857"/>
      <c r="N53" s="640" t="s">
        <v>51</v>
      </c>
      <c r="O53" s="640" t="s">
        <v>36</v>
      </c>
      <c r="P53" s="640" t="s">
        <v>316</v>
      </c>
      <c r="Q53" s="649"/>
      <c r="R53" s="637"/>
      <c r="S53" s="637"/>
      <c r="T53" s="653"/>
      <c r="U53" s="637"/>
      <c r="V53" s="637"/>
      <c r="W53" s="654"/>
      <c r="X53" s="637"/>
      <c r="Y53" s="654"/>
      <c r="Z53" s="654"/>
      <c r="AA53" s="654"/>
      <c r="AB53" s="637"/>
      <c r="AC53" s="637"/>
      <c r="AD53" s="637"/>
      <c r="AE53" s="653"/>
      <c r="AF53" s="653"/>
      <c r="AG53" s="637"/>
      <c r="AH53" s="637"/>
    </row>
    <row r="54" spans="1:34" ht="71.099999999999994" customHeight="1" x14ac:dyDescent="0.25">
      <c r="A54" s="638">
        <f>SUM(A52+1)</f>
        <v>30</v>
      </c>
      <c r="B54" s="632" t="s">
        <v>313</v>
      </c>
      <c r="C54" s="633" t="s">
        <v>71</v>
      </c>
      <c r="D54" s="634" t="s">
        <v>226</v>
      </c>
      <c r="E54" s="632" t="s">
        <v>48</v>
      </c>
      <c r="F54" s="632">
        <v>1</v>
      </c>
      <c r="G54" s="844" t="s">
        <v>73</v>
      </c>
      <c r="H54" s="845" t="s">
        <v>461</v>
      </c>
      <c r="I54" s="632" t="s">
        <v>50</v>
      </c>
      <c r="J54" s="632" t="s">
        <v>35</v>
      </c>
      <c r="K54" s="632" t="s">
        <v>203</v>
      </c>
      <c r="L54" s="635">
        <v>35000000</v>
      </c>
      <c r="M54" s="636">
        <v>35000000</v>
      </c>
      <c r="N54" s="632" t="s">
        <v>51</v>
      </c>
      <c r="O54" s="632" t="s">
        <v>36</v>
      </c>
      <c r="P54" s="632" t="s">
        <v>317</v>
      </c>
      <c r="Q54" s="649"/>
      <c r="R54" s="637" t="s">
        <v>656</v>
      </c>
      <c r="S54" s="637" t="s">
        <v>657</v>
      </c>
      <c r="T54" s="653">
        <v>43126</v>
      </c>
      <c r="U54" s="637" t="s">
        <v>658</v>
      </c>
      <c r="V54" s="637" t="s">
        <v>1210</v>
      </c>
      <c r="W54" s="654">
        <v>35000000</v>
      </c>
      <c r="X54" s="893">
        <v>10000000</v>
      </c>
      <c r="Y54" s="654">
        <v>45000000</v>
      </c>
      <c r="Z54" s="654">
        <v>45000000</v>
      </c>
      <c r="AA54" s="654"/>
      <c r="AB54" s="637" t="s">
        <v>660</v>
      </c>
      <c r="AC54" s="637" t="s">
        <v>1249</v>
      </c>
      <c r="AD54" s="637" t="s">
        <v>661</v>
      </c>
      <c r="AE54" s="653">
        <v>43126</v>
      </c>
      <c r="AF54" s="653">
        <v>43462</v>
      </c>
      <c r="AG54" s="637" t="s">
        <v>662</v>
      </c>
      <c r="AH54" s="637" t="s">
        <v>648</v>
      </c>
    </row>
    <row r="55" spans="1:34" ht="115.5" customHeight="1" x14ac:dyDescent="0.25">
      <c r="A55" s="638">
        <f t="shared" si="3"/>
        <v>31</v>
      </c>
      <c r="B55" s="632" t="s">
        <v>263</v>
      </c>
      <c r="C55" s="633">
        <v>80101706</v>
      </c>
      <c r="D55" s="634" t="s">
        <v>492</v>
      </c>
      <c r="E55" s="632" t="s">
        <v>48</v>
      </c>
      <c r="F55" s="632">
        <v>1</v>
      </c>
      <c r="G55" s="844" t="s">
        <v>73</v>
      </c>
      <c r="H55" s="845">
        <v>5</v>
      </c>
      <c r="I55" s="632" t="s">
        <v>61</v>
      </c>
      <c r="J55" s="632" t="s">
        <v>66</v>
      </c>
      <c r="K55" s="632" t="s">
        <v>589</v>
      </c>
      <c r="L55" s="635">
        <v>22500000</v>
      </c>
      <c r="M55" s="636">
        <v>22500000</v>
      </c>
      <c r="N55" s="632" t="s">
        <v>51</v>
      </c>
      <c r="O55" s="632" t="s">
        <v>36</v>
      </c>
      <c r="P55" s="632" t="s">
        <v>493</v>
      </c>
      <c r="Q55" s="649"/>
      <c r="R55" s="637" t="s">
        <v>663</v>
      </c>
      <c r="S55" s="637" t="s">
        <v>664</v>
      </c>
      <c r="T55" s="653">
        <v>43125</v>
      </c>
      <c r="U55" s="637" t="s">
        <v>665</v>
      </c>
      <c r="V55" s="637" t="s">
        <v>666</v>
      </c>
      <c r="W55" s="654">
        <v>16000000</v>
      </c>
      <c r="X55" s="637">
        <v>0</v>
      </c>
      <c r="Y55" s="654">
        <v>16000000</v>
      </c>
      <c r="Z55" s="654">
        <v>16000000</v>
      </c>
      <c r="AA55" s="654">
        <f>Z55-Y55</f>
        <v>0</v>
      </c>
      <c r="AB55" s="637" t="s">
        <v>667</v>
      </c>
      <c r="AC55" s="637" t="s">
        <v>1250</v>
      </c>
      <c r="AD55" s="637" t="s">
        <v>668</v>
      </c>
      <c r="AE55" s="653">
        <v>43125</v>
      </c>
      <c r="AF55" s="653">
        <v>43367</v>
      </c>
      <c r="AG55" s="637" t="s">
        <v>1235</v>
      </c>
      <c r="AH55" s="637" t="s">
        <v>669</v>
      </c>
    </row>
    <row r="56" spans="1:34" ht="111" customHeight="1" x14ac:dyDescent="0.25">
      <c r="A56" s="638">
        <f t="shared" si="3"/>
        <v>32</v>
      </c>
      <c r="B56" s="632" t="s">
        <v>465</v>
      </c>
      <c r="C56" s="633" t="s">
        <v>1426</v>
      </c>
      <c r="D56" s="634" t="s">
        <v>1427</v>
      </c>
      <c r="E56" s="632" t="s">
        <v>48</v>
      </c>
      <c r="F56" s="632">
        <v>1</v>
      </c>
      <c r="G56" s="844" t="s">
        <v>76</v>
      </c>
      <c r="H56" s="845" t="s">
        <v>1243</v>
      </c>
      <c r="I56" s="632" t="s">
        <v>55</v>
      </c>
      <c r="J56" s="632" t="s">
        <v>35</v>
      </c>
      <c r="K56" s="632" t="s">
        <v>161</v>
      </c>
      <c r="L56" s="635">
        <v>10000000</v>
      </c>
      <c r="M56" s="636">
        <v>10000000</v>
      </c>
      <c r="N56" s="632" t="s">
        <v>51</v>
      </c>
      <c r="O56" s="632" t="s">
        <v>36</v>
      </c>
      <c r="P56" s="632" t="s">
        <v>466</v>
      </c>
      <c r="Q56" s="649"/>
      <c r="R56" s="637" t="s">
        <v>1528</v>
      </c>
      <c r="S56" s="637" t="s">
        <v>1529</v>
      </c>
      <c r="T56" s="653">
        <v>43249</v>
      </c>
      <c r="U56" s="637" t="s">
        <v>1530</v>
      </c>
      <c r="V56" s="637" t="s">
        <v>1210</v>
      </c>
      <c r="W56" s="654">
        <v>9200000</v>
      </c>
      <c r="X56" s="894">
        <v>0</v>
      </c>
      <c r="Y56" s="654">
        <v>9200000</v>
      </c>
      <c r="Z56" s="654">
        <v>9200000</v>
      </c>
      <c r="AA56" s="654"/>
      <c r="AB56" s="637" t="s">
        <v>1531</v>
      </c>
      <c r="AC56" s="895">
        <v>21018</v>
      </c>
      <c r="AD56" s="637" t="s">
        <v>1532</v>
      </c>
      <c r="AE56" s="653">
        <v>43252</v>
      </c>
      <c r="AF56" s="653">
        <v>43982</v>
      </c>
      <c r="AG56" s="637" t="s">
        <v>782</v>
      </c>
      <c r="AH56" s="637" t="s">
        <v>783</v>
      </c>
    </row>
    <row r="57" spans="1:34" ht="168" customHeight="1" x14ac:dyDescent="0.25">
      <c r="A57" s="638">
        <f t="shared" si="3"/>
        <v>33</v>
      </c>
      <c r="B57" s="632" t="s">
        <v>465</v>
      </c>
      <c r="C57" s="633">
        <v>78102200</v>
      </c>
      <c r="D57" s="634" t="s">
        <v>196</v>
      </c>
      <c r="E57" s="632" t="s">
        <v>48</v>
      </c>
      <c r="F57" s="632">
        <v>1</v>
      </c>
      <c r="G57" s="844" t="s">
        <v>180</v>
      </c>
      <c r="H57" s="845">
        <v>11.5</v>
      </c>
      <c r="I57" s="632" t="s">
        <v>61</v>
      </c>
      <c r="J57" s="632" t="s">
        <v>35</v>
      </c>
      <c r="K57" s="632" t="s">
        <v>58</v>
      </c>
      <c r="L57" s="636">
        <v>131202500</v>
      </c>
      <c r="M57" s="636">
        <v>12300000</v>
      </c>
      <c r="N57" s="632" t="s">
        <v>49</v>
      </c>
      <c r="O57" s="632" t="s">
        <v>436</v>
      </c>
      <c r="P57" s="632" t="s">
        <v>466</v>
      </c>
      <c r="Q57" s="649"/>
      <c r="R57" s="637" t="s">
        <v>148</v>
      </c>
      <c r="S57" s="637" t="s">
        <v>148</v>
      </c>
      <c r="T57" s="653" t="s">
        <v>148</v>
      </c>
      <c r="U57" s="637" t="s">
        <v>148</v>
      </c>
      <c r="V57" s="637" t="s">
        <v>148</v>
      </c>
      <c r="W57" s="654">
        <v>0</v>
      </c>
      <c r="X57" s="637">
        <v>0</v>
      </c>
      <c r="Y57" s="654">
        <v>0</v>
      </c>
      <c r="Z57" s="654">
        <v>0</v>
      </c>
      <c r="AA57" s="654"/>
      <c r="AB57" s="637" t="s">
        <v>148</v>
      </c>
      <c r="AC57" s="637" t="s">
        <v>148</v>
      </c>
      <c r="AD57" s="637" t="s">
        <v>148</v>
      </c>
      <c r="AE57" s="653" t="s">
        <v>148</v>
      </c>
      <c r="AF57" s="653" t="s">
        <v>148</v>
      </c>
      <c r="AG57" s="637" t="s">
        <v>148</v>
      </c>
      <c r="AH57" s="637" t="s">
        <v>148</v>
      </c>
    </row>
    <row r="58" spans="1:34" ht="179.25" customHeight="1" x14ac:dyDescent="0.25">
      <c r="A58" s="638">
        <f t="shared" si="3"/>
        <v>34</v>
      </c>
      <c r="B58" s="632" t="s">
        <v>313</v>
      </c>
      <c r="C58" s="633" t="s">
        <v>1425</v>
      </c>
      <c r="D58" s="634" t="s">
        <v>307</v>
      </c>
      <c r="E58" s="632" t="s">
        <v>48</v>
      </c>
      <c r="F58" s="632">
        <v>1</v>
      </c>
      <c r="G58" s="844" t="s">
        <v>76</v>
      </c>
      <c r="H58" s="845" t="s">
        <v>231</v>
      </c>
      <c r="I58" s="632" t="s">
        <v>55</v>
      </c>
      <c r="J58" s="632" t="s">
        <v>35</v>
      </c>
      <c r="K58" s="632" t="s">
        <v>46</v>
      </c>
      <c r="L58" s="636">
        <v>20000000</v>
      </c>
      <c r="M58" s="636">
        <v>20000000</v>
      </c>
      <c r="N58" s="632" t="s">
        <v>51</v>
      </c>
      <c r="O58" s="632" t="s">
        <v>36</v>
      </c>
      <c r="P58" s="632" t="s">
        <v>317</v>
      </c>
      <c r="Q58" s="649"/>
      <c r="R58" s="637" t="s">
        <v>1466</v>
      </c>
      <c r="S58" s="637" t="s">
        <v>1467</v>
      </c>
      <c r="T58" s="653">
        <v>43241</v>
      </c>
      <c r="U58" s="637" t="s">
        <v>1468</v>
      </c>
      <c r="V58" s="637" t="s">
        <v>644</v>
      </c>
      <c r="W58" s="654">
        <v>14900000</v>
      </c>
      <c r="X58" s="637">
        <v>0</v>
      </c>
      <c r="Y58" s="654">
        <v>14900000</v>
      </c>
      <c r="Z58" s="654">
        <v>14900000</v>
      </c>
      <c r="AA58" s="654"/>
      <c r="AB58" s="637" t="s">
        <v>1469</v>
      </c>
      <c r="AC58" s="637">
        <v>20918</v>
      </c>
      <c r="AD58" s="637" t="s">
        <v>1470</v>
      </c>
      <c r="AE58" s="653">
        <v>43242</v>
      </c>
      <c r="AF58" s="653">
        <v>43272</v>
      </c>
      <c r="AG58" s="637" t="s">
        <v>655</v>
      </c>
      <c r="AH58" s="637" t="s">
        <v>648</v>
      </c>
    </row>
    <row r="59" spans="1:34" ht="129" customHeight="1" x14ac:dyDescent="0.25">
      <c r="A59" s="638">
        <f t="shared" si="3"/>
        <v>35</v>
      </c>
      <c r="B59" s="632" t="s">
        <v>467</v>
      </c>
      <c r="C59" s="633" t="s">
        <v>1472</v>
      </c>
      <c r="D59" s="634" t="s">
        <v>1471</v>
      </c>
      <c r="E59" s="632" t="s">
        <v>48</v>
      </c>
      <c r="F59" s="632">
        <v>1</v>
      </c>
      <c r="G59" s="844" t="s">
        <v>79</v>
      </c>
      <c r="H59" s="845" t="s">
        <v>156</v>
      </c>
      <c r="I59" s="632" t="s">
        <v>53</v>
      </c>
      <c r="J59" s="632" t="s">
        <v>35</v>
      </c>
      <c r="K59" s="632" t="s">
        <v>41</v>
      </c>
      <c r="L59" s="635">
        <v>2809930</v>
      </c>
      <c r="M59" s="636">
        <v>2809930</v>
      </c>
      <c r="N59" s="632" t="s">
        <v>51</v>
      </c>
      <c r="O59" s="632" t="s">
        <v>36</v>
      </c>
      <c r="P59" s="632" t="s">
        <v>466</v>
      </c>
      <c r="Q59" s="649"/>
      <c r="R59" s="637" t="s">
        <v>1515</v>
      </c>
      <c r="S59" s="637" t="s">
        <v>1447</v>
      </c>
      <c r="T59" s="653">
        <v>43264</v>
      </c>
      <c r="U59" s="637" t="s">
        <v>1516</v>
      </c>
      <c r="V59" s="637" t="s">
        <v>652</v>
      </c>
      <c r="W59" s="654">
        <v>4129657</v>
      </c>
      <c r="X59" s="637">
        <v>0</v>
      </c>
      <c r="Y59" s="654">
        <v>4129657</v>
      </c>
      <c r="Z59" s="654">
        <v>4129657</v>
      </c>
      <c r="AA59" s="654"/>
      <c r="AB59" s="637" t="s">
        <v>1517</v>
      </c>
      <c r="AC59" s="637">
        <v>21118</v>
      </c>
      <c r="AD59" s="637" t="s">
        <v>1518</v>
      </c>
      <c r="AE59" s="653">
        <v>43264</v>
      </c>
      <c r="AF59" s="653">
        <v>43295</v>
      </c>
      <c r="AG59" s="637" t="s">
        <v>655</v>
      </c>
      <c r="AH59" s="637" t="s">
        <v>648</v>
      </c>
    </row>
    <row r="60" spans="1:34" ht="92.1" customHeight="1" x14ac:dyDescent="0.25">
      <c r="A60" s="638">
        <f t="shared" si="3"/>
        <v>36</v>
      </c>
      <c r="B60" s="640" t="s">
        <v>467</v>
      </c>
      <c r="C60" s="641">
        <v>44103124</v>
      </c>
      <c r="D60" s="642" t="s">
        <v>469</v>
      </c>
      <c r="E60" s="640" t="s">
        <v>48</v>
      </c>
      <c r="F60" s="640">
        <v>1</v>
      </c>
      <c r="G60" s="643" t="s">
        <v>78</v>
      </c>
      <c r="H60" s="644" t="s">
        <v>156</v>
      </c>
      <c r="I60" s="640" t="s">
        <v>55</v>
      </c>
      <c r="J60" s="640" t="s">
        <v>35</v>
      </c>
      <c r="K60" s="640" t="s">
        <v>41</v>
      </c>
      <c r="L60" s="645"/>
      <c r="M60" s="646"/>
      <c r="N60" s="640" t="s">
        <v>51</v>
      </c>
      <c r="O60" s="640" t="s">
        <v>36</v>
      </c>
      <c r="P60" s="640" t="s">
        <v>466</v>
      </c>
      <c r="Q60" s="649"/>
      <c r="R60" s="637" t="s">
        <v>148</v>
      </c>
      <c r="S60" s="637" t="s">
        <v>148</v>
      </c>
      <c r="T60" s="653" t="s">
        <v>148</v>
      </c>
      <c r="U60" s="637" t="s">
        <v>148</v>
      </c>
      <c r="V60" s="637" t="s">
        <v>148</v>
      </c>
      <c r="W60" s="654">
        <v>0</v>
      </c>
      <c r="X60" s="637">
        <v>0</v>
      </c>
      <c r="Y60" s="654">
        <v>0</v>
      </c>
      <c r="Z60" s="654">
        <v>0</v>
      </c>
      <c r="AA60" s="654"/>
      <c r="AB60" s="637" t="s">
        <v>148</v>
      </c>
      <c r="AC60" s="637" t="s">
        <v>148</v>
      </c>
      <c r="AD60" s="637" t="s">
        <v>148</v>
      </c>
      <c r="AE60" s="653" t="s">
        <v>148</v>
      </c>
      <c r="AF60" s="653" t="s">
        <v>148</v>
      </c>
      <c r="AG60" s="637" t="s">
        <v>148</v>
      </c>
      <c r="AH60" s="637" t="s">
        <v>148</v>
      </c>
    </row>
    <row r="61" spans="1:34" ht="92.1" customHeight="1" x14ac:dyDescent="0.25">
      <c r="A61" s="638">
        <f t="shared" si="3"/>
        <v>37</v>
      </c>
      <c r="B61" s="640" t="s">
        <v>467</v>
      </c>
      <c r="C61" s="641">
        <v>44121634</v>
      </c>
      <c r="D61" s="642" t="s">
        <v>470</v>
      </c>
      <c r="E61" s="640" t="s">
        <v>48</v>
      </c>
      <c r="F61" s="640">
        <v>1</v>
      </c>
      <c r="G61" s="643" t="s">
        <v>78</v>
      </c>
      <c r="H61" s="644" t="s">
        <v>156</v>
      </c>
      <c r="I61" s="640" t="s">
        <v>55</v>
      </c>
      <c r="J61" s="640" t="s">
        <v>35</v>
      </c>
      <c r="K61" s="640" t="s">
        <v>41</v>
      </c>
      <c r="L61" s="645"/>
      <c r="M61" s="646"/>
      <c r="N61" s="640" t="s">
        <v>51</v>
      </c>
      <c r="O61" s="640" t="s">
        <v>36</v>
      </c>
      <c r="P61" s="640" t="s">
        <v>466</v>
      </c>
      <c r="Q61" s="649"/>
      <c r="R61" s="637" t="s">
        <v>148</v>
      </c>
      <c r="S61" s="637" t="s">
        <v>148</v>
      </c>
      <c r="T61" s="653" t="s">
        <v>148</v>
      </c>
      <c r="U61" s="637" t="s">
        <v>148</v>
      </c>
      <c r="V61" s="637" t="s">
        <v>148</v>
      </c>
      <c r="W61" s="654">
        <v>0</v>
      </c>
      <c r="X61" s="637">
        <v>0</v>
      </c>
      <c r="Y61" s="654">
        <v>0</v>
      </c>
      <c r="Z61" s="654">
        <v>0</v>
      </c>
      <c r="AA61" s="654"/>
      <c r="AB61" s="637" t="s">
        <v>148</v>
      </c>
      <c r="AC61" s="637" t="s">
        <v>148</v>
      </c>
      <c r="AD61" s="637" t="s">
        <v>148</v>
      </c>
      <c r="AE61" s="653" t="s">
        <v>148</v>
      </c>
      <c r="AF61" s="653" t="s">
        <v>148</v>
      </c>
      <c r="AG61" s="637" t="s">
        <v>148</v>
      </c>
      <c r="AH61" s="637" t="s">
        <v>148</v>
      </c>
    </row>
    <row r="62" spans="1:34" ht="92.1" customHeight="1" x14ac:dyDescent="0.25">
      <c r="A62" s="638">
        <f t="shared" si="3"/>
        <v>38</v>
      </c>
      <c r="B62" s="640" t="s">
        <v>467</v>
      </c>
      <c r="C62" s="641">
        <v>44122003</v>
      </c>
      <c r="D62" s="642" t="s">
        <v>471</v>
      </c>
      <c r="E62" s="640" t="s">
        <v>48</v>
      </c>
      <c r="F62" s="640">
        <v>1</v>
      </c>
      <c r="G62" s="643" t="s">
        <v>78</v>
      </c>
      <c r="H62" s="644" t="s">
        <v>156</v>
      </c>
      <c r="I62" s="640" t="s">
        <v>53</v>
      </c>
      <c r="J62" s="640" t="s">
        <v>35</v>
      </c>
      <c r="K62" s="640" t="s">
        <v>41</v>
      </c>
      <c r="L62" s="645"/>
      <c r="M62" s="646"/>
      <c r="N62" s="640" t="s">
        <v>51</v>
      </c>
      <c r="O62" s="640" t="s">
        <v>36</v>
      </c>
      <c r="P62" s="640" t="s">
        <v>466</v>
      </c>
      <c r="Q62" s="649"/>
      <c r="R62" s="637" t="s">
        <v>148</v>
      </c>
      <c r="S62" s="637" t="s">
        <v>148</v>
      </c>
      <c r="T62" s="653" t="s">
        <v>148</v>
      </c>
      <c r="U62" s="637" t="s">
        <v>148</v>
      </c>
      <c r="V62" s="637" t="s">
        <v>148</v>
      </c>
      <c r="W62" s="654">
        <v>0</v>
      </c>
      <c r="X62" s="637">
        <v>0</v>
      </c>
      <c r="Y62" s="654">
        <v>0</v>
      </c>
      <c r="Z62" s="654">
        <v>0</v>
      </c>
      <c r="AA62" s="654"/>
      <c r="AB62" s="637" t="s">
        <v>148</v>
      </c>
      <c r="AC62" s="637" t="s">
        <v>148</v>
      </c>
      <c r="AD62" s="637" t="s">
        <v>148</v>
      </c>
      <c r="AE62" s="653" t="s">
        <v>148</v>
      </c>
      <c r="AF62" s="653" t="s">
        <v>148</v>
      </c>
      <c r="AG62" s="637" t="s">
        <v>148</v>
      </c>
      <c r="AH62" s="637" t="s">
        <v>148</v>
      </c>
    </row>
    <row r="63" spans="1:34" ht="92.1" customHeight="1" x14ac:dyDescent="0.25">
      <c r="A63" s="638">
        <f t="shared" si="3"/>
        <v>39</v>
      </c>
      <c r="B63" s="640" t="s">
        <v>467</v>
      </c>
      <c r="C63" s="641">
        <v>44111515</v>
      </c>
      <c r="D63" s="642" t="s">
        <v>472</v>
      </c>
      <c r="E63" s="640" t="s">
        <v>48</v>
      </c>
      <c r="F63" s="640">
        <v>1</v>
      </c>
      <c r="G63" s="643" t="s">
        <v>78</v>
      </c>
      <c r="H63" s="644" t="s">
        <v>156</v>
      </c>
      <c r="I63" s="640" t="s">
        <v>53</v>
      </c>
      <c r="J63" s="640" t="s">
        <v>35</v>
      </c>
      <c r="K63" s="640" t="s">
        <v>41</v>
      </c>
      <c r="L63" s="645"/>
      <c r="M63" s="646"/>
      <c r="N63" s="640" t="s">
        <v>51</v>
      </c>
      <c r="O63" s="640" t="s">
        <v>36</v>
      </c>
      <c r="P63" s="640" t="s">
        <v>466</v>
      </c>
      <c r="Q63" s="649"/>
      <c r="R63" s="637" t="s">
        <v>148</v>
      </c>
      <c r="S63" s="637" t="s">
        <v>148</v>
      </c>
      <c r="T63" s="653" t="s">
        <v>148</v>
      </c>
      <c r="U63" s="637" t="s">
        <v>148</v>
      </c>
      <c r="V63" s="637" t="s">
        <v>148</v>
      </c>
      <c r="W63" s="654">
        <v>0</v>
      </c>
      <c r="X63" s="637">
        <v>0</v>
      </c>
      <c r="Y63" s="654">
        <v>0</v>
      </c>
      <c r="Z63" s="654">
        <v>0</v>
      </c>
      <c r="AA63" s="654"/>
      <c r="AB63" s="637" t="s">
        <v>148</v>
      </c>
      <c r="AC63" s="637" t="s">
        <v>148</v>
      </c>
      <c r="AD63" s="637" t="s">
        <v>148</v>
      </c>
      <c r="AE63" s="653" t="s">
        <v>148</v>
      </c>
      <c r="AF63" s="653" t="s">
        <v>148</v>
      </c>
      <c r="AG63" s="637" t="s">
        <v>148</v>
      </c>
      <c r="AH63" s="637" t="s">
        <v>148</v>
      </c>
    </row>
    <row r="64" spans="1:34" ht="141" customHeight="1" x14ac:dyDescent="0.25">
      <c r="A64" s="846">
        <f t="shared" si="3"/>
        <v>40</v>
      </c>
      <c r="B64" s="858" t="s">
        <v>473</v>
      </c>
      <c r="C64" s="859" t="s">
        <v>1389</v>
      </c>
      <c r="D64" s="858" t="s">
        <v>197</v>
      </c>
      <c r="E64" s="858" t="s">
        <v>48</v>
      </c>
      <c r="F64" s="858">
        <v>1</v>
      </c>
      <c r="G64" s="860" t="s">
        <v>75</v>
      </c>
      <c r="H64" s="861">
        <v>10</v>
      </c>
      <c r="I64" s="858" t="s">
        <v>173</v>
      </c>
      <c r="J64" s="848" t="s">
        <v>35</v>
      </c>
      <c r="K64" s="848" t="s">
        <v>42</v>
      </c>
      <c r="L64" s="854">
        <v>1020000</v>
      </c>
      <c r="M64" s="854">
        <v>1020000</v>
      </c>
      <c r="N64" s="858" t="s">
        <v>51</v>
      </c>
      <c r="O64" s="858" t="s">
        <v>36</v>
      </c>
      <c r="P64" s="858" t="s">
        <v>316</v>
      </c>
      <c r="Q64" s="649"/>
      <c r="R64" s="637" t="s">
        <v>1397</v>
      </c>
      <c r="S64" s="637" t="s">
        <v>1398</v>
      </c>
      <c r="T64" s="653">
        <v>43182</v>
      </c>
      <c r="U64" s="637" t="s">
        <v>1399</v>
      </c>
      <c r="V64" s="637" t="s">
        <v>1210</v>
      </c>
      <c r="W64" s="654">
        <v>1019412.07</v>
      </c>
      <c r="X64" s="637">
        <v>0</v>
      </c>
      <c r="Y64" s="654">
        <v>1019412.07</v>
      </c>
      <c r="Z64" s="654">
        <v>1019412.07</v>
      </c>
      <c r="AA64" s="654"/>
      <c r="AB64" s="637" t="s">
        <v>1400</v>
      </c>
      <c r="AC64" s="637">
        <v>17618</v>
      </c>
      <c r="AD64" s="637" t="s">
        <v>1401</v>
      </c>
      <c r="AE64" s="653">
        <v>43182</v>
      </c>
      <c r="AF64" s="653">
        <v>43465</v>
      </c>
      <c r="AG64" s="637" t="s">
        <v>1402</v>
      </c>
      <c r="AH64" s="637" t="s">
        <v>810</v>
      </c>
    </row>
    <row r="65" spans="1:34" ht="141" customHeight="1" x14ac:dyDescent="0.25">
      <c r="A65" s="862"/>
      <c r="B65" s="863"/>
      <c r="C65" s="859"/>
      <c r="D65" s="863"/>
      <c r="E65" s="863"/>
      <c r="F65" s="863"/>
      <c r="G65" s="864"/>
      <c r="H65" s="865"/>
      <c r="I65" s="863"/>
      <c r="J65" s="848" t="s">
        <v>35</v>
      </c>
      <c r="K65" s="848" t="s">
        <v>42</v>
      </c>
      <c r="L65" s="854">
        <v>3500000</v>
      </c>
      <c r="M65" s="854">
        <v>3500000</v>
      </c>
      <c r="N65" s="863"/>
      <c r="O65" s="863"/>
      <c r="P65" s="863"/>
      <c r="Q65" s="649"/>
      <c r="R65" s="637" t="s">
        <v>1403</v>
      </c>
      <c r="S65" s="637" t="s">
        <v>1404</v>
      </c>
      <c r="T65" s="653">
        <v>43182</v>
      </c>
      <c r="U65" s="637" t="s">
        <v>1399</v>
      </c>
      <c r="V65" s="637" t="s">
        <v>1210</v>
      </c>
      <c r="W65" s="654">
        <v>3409502.09</v>
      </c>
      <c r="X65" s="637">
        <v>0</v>
      </c>
      <c r="Y65" s="654">
        <v>3409502.09</v>
      </c>
      <c r="Z65" s="654">
        <v>3409502.09</v>
      </c>
      <c r="AA65" s="654"/>
      <c r="AB65" s="637" t="s">
        <v>1400</v>
      </c>
      <c r="AC65" s="637">
        <v>17618</v>
      </c>
      <c r="AD65" s="637" t="s">
        <v>1401</v>
      </c>
      <c r="AE65" s="653">
        <v>43182</v>
      </c>
      <c r="AF65" s="653">
        <v>43465</v>
      </c>
      <c r="AG65" s="637" t="s">
        <v>1405</v>
      </c>
      <c r="AH65" s="637" t="s">
        <v>810</v>
      </c>
    </row>
    <row r="66" spans="1:34" ht="141" customHeight="1" x14ac:dyDescent="0.25">
      <c r="A66" s="862"/>
      <c r="B66" s="863"/>
      <c r="C66" s="859"/>
      <c r="D66" s="863"/>
      <c r="E66" s="863"/>
      <c r="F66" s="863"/>
      <c r="G66" s="864"/>
      <c r="H66" s="865"/>
      <c r="I66" s="863"/>
      <c r="J66" s="848" t="s">
        <v>35</v>
      </c>
      <c r="K66" s="848" t="s">
        <v>42</v>
      </c>
      <c r="L66" s="854">
        <v>7100000</v>
      </c>
      <c r="M66" s="854">
        <v>7100000</v>
      </c>
      <c r="N66" s="863"/>
      <c r="O66" s="863"/>
      <c r="P66" s="863"/>
      <c r="Q66" s="649"/>
      <c r="R66" s="637" t="s">
        <v>1406</v>
      </c>
      <c r="S66" s="637" t="s">
        <v>1407</v>
      </c>
      <c r="T66" s="653">
        <v>43182</v>
      </c>
      <c r="U66" s="637" t="s">
        <v>1399</v>
      </c>
      <c r="V66" s="637" t="s">
        <v>1210</v>
      </c>
      <c r="W66" s="654">
        <v>7025760</v>
      </c>
      <c r="X66" s="637">
        <v>0</v>
      </c>
      <c r="Y66" s="654">
        <v>7025760</v>
      </c>
      <c r="Z66" s="654">
        <v>7025760</v>
      </c>
      <c r="AA66" s="654"/>
      <c r="AB66" s="637" t="s">
        <v>1400</v>
      </c>
      <c r="AC66" s="637">
        <v>17618</v>
      </c>
      <c r="AD66" s="637" t="s">
        <v>1401</v>
      </c>
      <c r="AE66" s="653">
        <v>43182</v>
      </c>
      <c r="AF66" s="653">
        <v>43465</v>
      </c>
      <c r="AG66" s="637" t="s">
        <v>1408</v>
      </c>
      <c r="AH66" s="637" t="s">
        <v>810</v>
      </c>
    </row>
    <row r="67" spans="1:34" ht="141" customHeight="1" x14ac:dyDescent="0.25">
      <c r="A67" s="862"/>
      <c r="B67" s="863"/>
      <c r="C67" s="859"/>
      <c r="D67" s="863"/>
      <c r="E67" s="863"/>
      <c r="F67" s="863"/>
      <c r="G67" s="864"/>
      <c r="H67" s="865"/>
      <c r="I67" s="863"/>
      <c r="J67" s="848" t="s">
        <v>35</v>
      </c>
      <c r="K67" s="848" t="s">
        <v>42</v>
      </c>
      <c r="L67" s="854">
        <v>2166666</v>
      </c>
      <c r="M67" s="854">
        <v>2166666</v>
      </c>
      <c r="N67" s="863"/>
      <c r="O67" s="863"/>
      <c r="P67" s="863"/>
      <c r="Q67" s="649"/>
      <c r="R67" s="637" t="s">
        <v>1409</v>
      </c>
      <c r="S67" s="637" t="s">
        <v>1410</v>
      </c>
      <c r="T67" s="653">
        <v>43182</v>
      </c>
      <c r="U67" s="637" t="s">
        <v>1399</v>
      </c>
      <c r="V67" s="637" t="s">
        <v>1210</v>
      </c>
      <c r="W67" s="654">
        <v>2165090.7599999998</v>
      </c>
      <c r="X67" s="637">
        <v>0</v>
      </c>
      <c r="Y67" s="654">
        <v>2165090.7599999998</v>
      </c>
      <c r="Z67" s="654">
        <v>2165090.7599999998</v>
      </c>
      <c r="AA67" s="654"/>
      <c r="AB67" s="637" t="s">
        <v>1400</v>
      </c>
      <c r="AC67" s="637">
        <v>17618</v>
      </c>
      <c r="AD67" s="637" t="s">
        <v>1401</v>
      </c>
      <c r="AE67" s="653">
        <v>43182</v>
      </c>
      <c r="AF67" s="653">
        <v>43465</v>
      </c>
      <c r="AG67" s="637" t="s">
        <v>1408</v>
      </c>
      <c r="AH67" s="637" t="s">
        <v>810</v>
      </c>
    </row>
    <row r="68" spans="1:34" ht="141" customHeight="1" x14ac:dyDescent="0.25">
      <c r="A68" s="862"/>
      <c r="B68" s="863"/>
      <c r="C68" s="859"/>
      <c r="D68" s="863"/>
      <c r="E68" s="863"/>
      <c r="F68" s="863"/>
      <c r="G68" s="864"/>
      <c r="H68" s="865"/>
      <c r="I68" s="863"/>
      <c r="J68" s="848" t="s">
        <v>35</v>
      </c>
      <c r="K68" s="848" t="s">
        <v>42</v>
      </c>
      <c r="L68" s="854">
        <v>652000</v>
      </c>
      <c r="M68" s="854">
        <v>652000</v>
      </c>
      <c r="N68" s="863"/>
      <c r="O68" s="863"/>
      <c r="P68" s="863"/>
      <c r="Q68" s="649"/>
      <c r="R68" s="637" t="s">
        <v>1411</v>
      </c>
      <c r="S68" s="637" t="s">
        <v>1412</v>
      </c>
      <c r="T68" s="653">
        <v>43182</v>
      </c>
      <c r="U68" s="637" t="s">
        <v>1399</v>
      </c>
      <c r="V68" s="637" t="s">
        <v>1210</v>
      </c>
      <c r="W68" s="654">
        <v>651289.38</v>
      </c>
      <c r="X68" s="637">
        <v>0</v>
      </c>
      <c r="Y68" s="654">
        <v>651289.38</v>
      </c>
      <c r="Z68" s="654">
        <v>651289.38</v>
      </c>
      <c r="AA68" s="654"/>
      <c r="AB68" s="637" t="s">
        <v>1400</v>
      </c>
      <c r="AC68" s="637">
        <v>17618</v>
      </c>
      <c r="AD68" s="637" t="s">
        <v>1401</v>
      </c>
      <c r="AE68" s="653">
        <v>43182</v>
      </c>
      <c r="AF68" s="653">
        <v>43465</v>
      </c>
      <c r="AG68" s="637" t="s">
        <v>1408</v>
      </c>
      <c r="AH68" s="637" t="s">
        <v>810</v>
      </c>
    </row>
    <row r="69" spans="1:34" ht="141" customHeight="1" x14ac:dyDescent="0.25">
      <c r="A69" s="862"/>
      <c r="B69" s="863"/>
      <c r="C69" s="858"/>
      <c r="D69" s="863"/>
      <c r="E69" s="863"/>
      <c r="F69" s="863"/>
      <c r="G69" s="864"/>
      <c r="H69" s="865"/>
      <c r="I69" s="863"/>
      <c r="J69" s="848" t="s">
        <v>35</v>
      </c>
      <c r="K69" s="848" t="s">
        <v>42</v>
      </c>
      <c r="L69" s="854">
        <v>451000</v>
      </c>
      <c r="M69" s="854">
        <v>451000</v>
      </c>
      <c r="N69" s="866"/>
      <c r="O69" s="866"/>
      <c r="P69" s="866"/>
      <c r="Q69" s="649"/>
      <c r="R69" s="637" t="s">
        <v>1443</v>
      </c>
      <c r="S69" s="637" t="s">
        <v>1442</v>
      </c>
      <c r="T69" s="653">
        <v>43203</v>
      </c>
      <c r="U69" s="637" t="s">
        <v>1441</v>
      </c>
      <c r="V69" s="637" t="s">
        <v>1210</v>
      </c>
      <c r="W69" s="654">
        <v>450000</v>
      </c>
      <c r="X69" s="637">
        <v>0</v>
      </c>
      <c r="Y69" s="654">
        <v>450000</v>
      </c>
      <c r="Z69" s="654">
        <v>450000</v>
      </c>
      <c r="AA69" s="654"/>
      <c r="AB69" s="637" t="s">
        <v>1440</v>
      </c>
      <c r="AC69" s="637">
        <v>17618</v>
      </c>
      <c r="AD69" s="637" t="s">
        <v>1439</v>
      </c>
      <c r="AE69" s="653">
        <v>43213</v>
      </c>
      <c r="AF69" s="653">
        <v>43462</v>
      </c>
      <c r="AG69" s="637" t="s">
        <v>1438</v>
      </c>
      <c r="AH69" s="637" t="s">
        <v>810</v>
      </c>
    </row>
    <row r="70" spans="1:34" ht="288.95" customHeight="1" x14ac:dyDescent="0.25">
      <c r="A70" s="842"/>
      <c r="B70" s="632" t="s">
        <v>1485</v>
      </c>
      <c r="C70" s="640" t="s">
        <v>1389</v>
      </c>
      <c r="D70" s="642" t="s">
        <v>1486</v>
      </c>
      <c r="E70" s="642" t="s">
        <v>48</v>
      </c>
      <c r="F70" s="642">
        <v>1</v>
      </c>
      <c r="G70" s="643" t="s">
        <v>180</v>
      </c>
      <c r="H70" s="644" t="s">
        <v>292</v>
      </c>
      <c r="I70" s="642" t="s">
        <v>173</v>
      </c>
      <c r="J70" s="640" t="s">
        <v>35</v>
      </c>
      <c r="K70" s="640" t="s">
        <v>42</v>
      </c>
      <c r="L70" s="867"/>
      <c r="M70" s="867"/>
      <c r="N70" s="868" t="s">
        <v>51</v>
      </c>
      <c r="O70" s="868" t="s">
        <v>36</v>
      </c>
      <c r="P70" s="868" t="s">
        <v>1480</v>
      </c>
      <c r="Q70" s="649"/>
      <c r="R70" s="637"/>
      <c r="S70" s="637"/>
      <c r="T70" s="653"/>
      <c r="U70" s="637"/>
      <c r="V70" s="637"/>
      <c r="W70" s="654"/>
      <c r="X70" s="637"/>
      <c r="Y70" s="654"/>
      <c r="Z70" s="654"/>
      <c r="AA70" s="654"/>
      <c r="AB70" s="637"/>
      <c r="AC70" s="637"/>
      <c r="AD70" s="637"/>
      <c r="AE70" s="653"/>
      <c r="AF70" s="653"/>
      <c r="AG70" s="637"/>
      <c r="AH70" s="637"/>
    </row>
    <row r="71" spans="1:34" ht="152.1" customHeight="1" x14ac:dyDescent="0.25">
      <c r="A71" s="638">
        <f>SUM(A64+1)</f>
        <v>41</v>
      </c>
      <c r="B71" s="632" t="s">
        <v>473</v>
      </c>
      <c r="C71" s="633">
        <v>85122201</v>
      </c>
      <c r="D71" s="634" t="s">
        <v>1487</v>
      </c>
      <c r="E71" s="632" t="s">
        <v>48</v>
      </c>
      <c r="F71" s="632">
        <v>1</v>
      </c>
      <c r="G71" s="844" t="s">
        <v>75</v>
      </c>
      <c r="H71" s="845">
        <v>10</v>
      </c>
      <c r="I71" s="632" t="s">
        <v>55</v>
      </c>
      <c r="J71" s="632" t="s">
        <v>35</v>
      </c>
      <c r="K71" s="632" t="s">
        <v>43</v>
      </c>
      <c r="L71" s="635">
        <v>10075000</v>
      </c>
      <c r="M71" s="636">
        <v>10075000</v>
      </c>
      <c r="N71" s="632" t="s">
        <v>51</v>
      </c>
      <c r="O71" s="632" t="s">
        <v>36</v>
      </c>
      <c r="P71" s="632" t="s">
        <v>316</v>
      </c>
      <c r="Q71" s="649"/>
      <c r="R71" s="637" t="s">
        <v>1413</v>
      </c>
      <c r="S71" s="637" t="s">
        <v>1414</v>
      </c>
      <c r="T71" s="653">
        <v>43175</v>
      </c>
      <c r="U71" s="637" t="s">
        <v>1415</v>
      </c>
      <c r="V71" s="637" t="s">
        <v>644</v>
      </c>
      <c r="W71" s="654">
        <v>8427000</v>
      </c>
      <c r="X71" s="637">
        <v>0</v>
      </c>
      <c r="Y71" s="654">
        <v>8427000</v>
      </c>
      <c r="Z71" s="654">
        <v>8427000</v>
      </c>
      <c r="AA71" s="654"/>
      <c r="AB71" s="637" t="s">
        <v>1416</v>
      </c>
      <c r="AC71" s="637">
        <v>19518</v>
      </c>
      <c r="AD71" s="637" t="s">
        <v>1417</v>
      </c>
      <c r="AE71" s="653">
        <v>43182</v>
      </c>
      <c r="AF71" s="653">
        <v>43462</v>
      </c>
      <c r="AG71" s="637" t="s">
        <v>1405</v>
      </c>
      <c r="AH71" s="637" t="s">
        <v>810</v>
      </c>
    </row>
    <row r="72" spans="1:34" ht="107.45" customHeight="1" x14ac:dyDescent="0.25">
      <c r="A72" s="638">
        <f t="shared" ref="A72:A91" si="4">SUM(A71+1)</f>
        <v>42</v>
      </c>
      <c r="B72" s="632" t="s">
        <v>473</v>
      </c>
      <c r="C72" s="633">
        <v>78111803</v>
      </c>
      <c r="D72" s="634" t="s">
        <v>64</v>
      </c>
      <c r="E72" s="632" t="s">
        <v>48</v>
      </c>
      <c r="F72" s="632">
        <v>1</v>
      </c>
      <c r="G72" s="844" t="s">
        <v>180</v>
      </c>
      <c r="H72" s="845" t="s">
        <v>156</v>
      </c>
      <c r="I72" s="632" t="s">
        <v>55</v>
      </c>
      <c r="J72" s="632" t="s">
        <v>35</v>
      </c>
      <c r="K72" s="632" t="s">
        <v>43</v>
      </c>
      <c r="L72" s="635">
        <v>15000000</v>
      </c>
      <c r="M72" s="636">
        <v>15000000</v>
      </c>
      <c r="N72" s="632" t="s">
        <v>51</v>
      </c>
      <c r="O72" s="632" t="s">
        <v>36</v>
      </c>
      <c r="P72" s="632" t="s">
        <v>316</v>
      </c>
      <c r="Q72" s="649"/>
      <c r="R72" s="637" t="s">
        <v>148</v>
      </c>
      <c r="S72" s="637" t="s">
        <v>148</v>
      </c>
      <c r="T72" s="653" t="s">
        <v>148</v>
      </c>
      <c r="U72" s="637" t="s">
        <v>148</v>
      </c>
      <c r="V72" s="637" t="s">
        <v>148</v>
      </c>
      <c r="W72" s="654">
        <v>0</v>
      </c>
      <c r="X72" s="637">
        <v>0</v>
      </c>
      <c r="Y72" s="654">
        <v>0</v>
      </c>
      <c r="Z72" s="654">
        <v>0</v>
      </c>
      <c r="AA72" s="654"/>
      <c r="AB72" s="637" t="s">
        <v>148</v>
      </c>
      <c r="AC72" s="637" t="s">
        <v>148</v>
      </c>
      <c r="AD72" s="637" t="s">
        <v>148</v>
      </c>
      <c r="AE72" s="653" t="s">
        <v>148</v>
      </c>
      <c r="AF72" s="653" t="s">
        <v>148</v>
      </c>
      <c r="AG72" s="637" t="s">
        <v>148</v>
      </c>
      <c r="AH72" s="637" t="s">
        <v>148</v>
      </c>
    </row>
    <row r="73" spans="1:34" ht="69" customHeight="1" x14ac:dyDescent="0.25">
      <c r="A73" s="638">
        <f t="shared" si="4"/>
        <v>43</v>
      </c>
      <c r="B73" s="632" t="s">
        <v>473</v>
      </c>
      <c r="C73" s="633" t="s">
        <v>72</v>
      </c>
      <c r="D73" s="634" t="s">
        <v>65</v>
      </c>
      <c r="E73" s="632" t="s">
        <v>48</v>
      </c>
      <c r="F73" s="632">
        <v>1</v>
      </c>
      <c r="G73" s="844" t="s">
        <v>180</v>
      </c>
      <c r="H73" s="845" t="s">
        <v>156</v>
      </c>
      <c r="I73" s="632" t="s">
        <v>55</v>
      </c>
      <c r="J73" s="632" t="s">
        <v>35</v>
      </c>
      <c r="K73" s="632" t="s">
        <v>45</v>
      </c>
      <c r="L73" s="635">
        <v>17000000</v>
      </c>
      <c r="M73" s="636">
        <v>17000000</v>
      </c>
      <c r="N73" s="632" t="s">
        <v>51</v>
      </c>
      <c r="O73" s="632" t="s">
        <v>36</v>
      </c>
      <c r="P73" s="632" t="s">
        <v>316</v>
      </c>
      <c r="Q73" s="649"/>
      <c r="R73" s="637" t="s">
        <v>148</v>
      </c>
      <c r="S73" s="637" t="s">
        <v>148</v>
      </c>
      <c r="T73" s="653" t="s">
        <v>148</v>
      </c>
      <c r="U73" s="637" t="s">
        <v>148</v>
      </c>
      <c r="V73" s="637" t="s">
        <v>148</v>
      </c>
      <c r="W73" s="654">
        <v>0</v>
      </c>
      <c r="X73" s="637">
        <v>0</v>
      </c>
      <c r="Y73" s="654">
        <v>0</v>
      </c>
      <c r="Z73" s="654">
        <v>0</v>
      </c>
      <c r="AA73" s="654"/>
      <c r="AB73" s="637" t="s">
        <v>148</v>
      </c>
      <c r="AC73" s="637" t="s">
        <v>148</v>
      </c>
      <c r="AD73" s="637" t="s">
        <v>148</v>
      </c>
      <c r="AE73" s="653" t="s">
        <v>148</v>
      </c>
      <c r="AF73" s="653" t="s">
        <v>148</v>
      </c>
      <c r="AG73" s="637" t="s">
        <v>148</v>
      </c>
      <c r="AH73" s="637" t="s">
        <v>148</v>
      </c>
    </row>
    <row r="74" spans="1:34" ht="186.75" customHeight="1" x14ac:dyDescent="0.25">
      <c r="A74" s="638">
        <f t="shared" si="4"/>
        <v>44</v>
      </c>
      <c r="B74" s="632" t="s">
        <v>474</v>
      </c>
      <c r="C74" s="633" t="s">
        <v>67</v>
      </c>
      <c r="D74" s="634" t="s">
        <v>575</v>
      </c>
      <c r="E74" s="632" t="s">
        <v>48</v>
      </c>
      <c r="F74" s="632">
        <v>1</v>
      </c>
      <c r="G74" s="844" t="s">
        <v>180</v>
      </c>
      <c r="H74" s="845" t="s">
        <v>231</v>
      </c>
      <c r="I74" s="632" t="s">
        <v>55</v>
      </c>
      <c r="J74" s="632" t="s">
        <v>35</v>
      </c>
      <c r="K74" s="632" t="s">
        <v>43</v>
      </c>
      <c r="L74" s="635">
        <v>5000000</v>
      </c>
      <c r="M74" s="636">
        <v>5000000</v>
      </c>
      <c r="N74" s="632" t="s">
        <v>51</v>
      </c>
      <c r="O74" s="632" t="s">
        <v>36</v>
      </c>
      <c r="P74" s="632" t="s">
        <v>316</v>
      </c>
      <c r="Q74" s="649"/>
      <c r="R74" s="637" t="s">
        <v>148</v>
      </c>
      <c r="S74" s="637" t="s">
        <v>148</v>
      </c>
      <c r="T74" s="653" t="s">
        <v>148</v>
      </c>
      <c r="U74" s="637" t="s">
        <v>148</v>
      </c>
      <c r="V74" s="637" t="s">
        <v>148</v>
      </c>
      <c r="W74" s="654">
        <v>0</v>
      </c>
      <c r="X74" s="637">
        <v>0</v>
      </c>
      <c r="Y74" s="654">
        <v>0</v>
      </c>
      <c r="Z74" s="654">
        <v>0</v>
      </c>
      <c r="AA74" s="654"/>
      <c r="AB74" s="637" t="s">
        <v>148</v>
      </c>
      <c r="AC74" s="637" t="s">
        <v>148</v>
      </c>
      <c r="AD74" s="637" t="s">
        <v>148</v>
      </c>
      <c r="AE74" s="653" t="s">
        <v>148</v>
      </c>
      <c r="AF74" s="653" t="s">
        <v>148</v>
      </c>
      <c r="AG74" s="637" t="s">
        <v>148</v>
      </c>
      <c r="AH74" s="637" t="s">
        <v>148</v>
      </c>
    </row>
    <row r="75" spans="1:34" ht="171" customHeight="1" x14ac:dyDescent="0.25">
      <c r="A75" s="638">
        <f t="shared" si="4"/>
        <v>45</v>
      </c>
      <c r="B75" s="632" t="s">
        <v>198</v>
      </c>
      <c r="C75" s="633">
        <v>60106600</v>
      </c>
      <c r="D75" s="634" t="s">
        <v>634</v>
      </c>
      <c r="E75" s="632" t="s">
        <v>48</v>
      </c>
      <c r="F75" s="632">
        <v>1</v>
      </c>
      <c r="G75" s="844" t="s">
        <v>81</v>
      </c>
      <c r="H75" s="845" t="s">
        <v>156</v>
      </c>
      <c r="I75" s="632" t="s">
        <v>61</v>
      </c>
      <c r="J75" s="632" t="s">
        <v>66</v>
      </c>
      <c r="K75" s="632" t="s">
        <v>589</v>
      </c>
      <c r="L75" s="635">
        <v>4000000</v>
      </c>
      <c r="M75" s="636">
        <v>4000000</v>
      </c>
      <c r="N75" s="632" t="s">
        <v>51</v>
      </c>
      <c r="O75" s="632" t="s">
        <v>36</v>
      </c>
      <c r="P75" s="632" t="s">
        <v>304</v>
      </c>
      <c r="Q75" s="649"/>
      <c r="R75" s="637" t="s">
        <v>670</v>
      </c>
      <c r="S75" s="637" t="s">
        <v>671</v>
      </c>
      <c r="T75" s="653">
        <v>43125</v>
      </c>
      <c r="U75" s="637" t="s">
        <v>672</v>
      </c>
      <c r="V75" s="637" t="s">
        <v>652</v>
      </c>
      <c r="W75" s="654">
        <v>1120000</v>
      </c>
      <c r="X75" s="637">
        <v>0</v>
      </c>
      <c r="Y75" s="654">
        <v>1120000</v>
      </c>
      <c r="Z75" s="654">
        <v>1120000</v>
      </c>
      <c r="AA75" s="654">
        <f t="shared" ref="AA75:AA76" si="5">Z75-Y75</f>
        <v>0</v>
      </c>
      <c r="AB75" s="637" t="s">
        <v>673</v>
      </c>
      <c r="AC75" s="637" t="s">
        <v>1251</v>
      </c>
      <c r="AD75" s="637" t="s">
        <v>674</v>
      </c>
      <c r="AE75" s="653">
        <v>43126</v>
      </c>
      <c r="AF75" s="653">
        <v>43156</v>
      </c>
      <c r="AG75" s="637" t="s">
        <v>675</v>
      </c>
      <c r="AH75" s="637" t="s">
        <v>676</v>
      </c>
    </row>
    <row r="76" spans="1:34" ht="106.5" customHeight="1" x14ac:dyDescent="0.25">
      <c r="A76" s="638">
        <f t="shared" si="4"/>
        <v>46</v>
      </c>
      <c r="B76" s="632" t="s">
        <v>198</v>
      </c>
      <c r="C76" s="633">
        <v>55101500</v>
      </c>
      <c r="D76" s="634" t="s">
        <v>635</v>
      </c>
      <c r="E76" s="632" t="s">
        <v>48</v>
      </c>
      <c r="F76" s="632">
        <v>1</v>
      </c>
      <c r="G76" s="844" t="s">
        <v>81</v>
      </c>
      <c r="H76" s="845" t="s">
        <v>156</v>
      </c>
      <c r="I76" s="632" t="s">
        <v>61</v>
      </c>
      <c r="J76" s="632" t="s">
        <v>66</v>
      </c>
      <c r="K76" s="632" t="s">
        <v>589</v>
      </c>
      <c r="L76" s="635">
        <v>28800000</v>
      </c>
      <c r="M76" s="636">
        <v>28800000</v>
      </c>
      <c r="N76" s="632" t="s">
        <v>51</v>
      </c>
      <c r="O76" s="632" t="s">
        <v>36</v>
      </c>
      <c r="P76" s="632" t="s">
        <v>304</v>
      </c>
      <c r="Q76" s="649"/>
      <c r="R76" s="637" t="s">
        <v>1751</v>
      </c>
      <c r="S76" s="637" t="s">
        <v>1752</v>
      </c>
      <c r="T76" s="653">
        <v>43334</v>
      </c>
      <c r="U76" s="637" t="s">
        <v>1753</v>
      </c>
      <c r="V76" s="637" t="s">
        <v>1754</v>
      </c>
      <c r="W76" s="654">
        <v>28000000</v>
      </c>
      <c r="X76" s="654">
        <v>800000</v>
      </c>
      <c r="Y76" s="654">
        <v>28800000</v>
      </c>
      <c r="Z76" s="654">
        <v>28800000</v>
      </c>
      <c r="AA76" s="654">
        <f t="shared" si="5"/>
        <v>0</v>
      </c>
      <c r="AB76" s="637" t="s">
        <v>1755</v>
      </c>
      <c r="AC76" s="637">
        <v>17818</v>
      </c>
      <c r="AD76" s="637" t="s">
        <v>1756</v>
      </c>
      <c r="AE76" s="653">
        <v>43336</v>
      </c>
      <c r="AF76" s="653">
        <v>44066</v>
      </c>
      <c r="AG76" s="637" t="s">
        <v>1757</v>
      </c>
      <c r="AH76" s="637" t="s">
        <v>676</v>
      </c>
    </row>
    <row r="77" spans="1:34" ht="84" customHeight="1" x14ac:dyDescent="0.25">
      <c r="A77" s="638">
        <v>47</v>
      </c>
      <c r="B77" s="632" t="s">
        <v>481</v>
      </c>
      <c r="C77" s="633">
        <v>81112502</v>
      </c>
      <c r="D77" s="634" t="s">
        <v>207</v>
      </c>
      <c r="E77" s="632" t="s">
        <v>48</v>
      </c>
      <c r="F77" s="632">
        <v>1</v>
      </c>
      <c r="G77" s="844" t="s">
        <v>74</v>
      </c>
      <c r="H77" s="845" t="s">
        <v>1726</v>
      </c>
      <c r="I77" s="632" t="s">
        <v>173</v>
      </c>
      <c r="J77" s="632" t="s">
        <v>35</v>
      </c>
      <c r="K77" s="632" t="s">
        <v>161</v>
      </c>
      <c r="L77" s="636">
        <v>700843400</v>
      </c>
      <c r="M77" s="636">
        <v>53910400</v>
      </c>
      <c r="N77" s="632" t="s">
        <v>49</v>
      </c>
      <c r="O77" s="632" t="s">
        <v>436</v>
      </c>
      <c r="P77" s="632" t="s">
        <v>1869</v>
      </c>
      <c r="Q77" s="649"/>
      <c r="R77" s="637" t="s">
        <v>148</v>
      </c>
      <c r="S77" s="637" t="s">
        <v>148</v>
      </c>
      <c r="T77" s="653" t="s">
        <v>148</v>
      </c>
      <c r="U77" s="637" t="s">
        <v>148</v>
      </c>
      <c r="V77" s="637" t="s">
        <v>148</v>
      </c>
      <c r="W77" s="654">
        <v>0</v>
      </c>
      <c r="X77" s="654">
        <v>0</v>
      </c>
      <c r="Y77" s="654">
        <v>0</v>
      </c>
      <c r="Z77" s="654">
        <v>0</v>
      </c>
      <c r="AA77" s="654"/>
      <c r="AB77" s="637" t="s">
        <v>148</v>
      </c>
      <c r="AC77" s="637" t="s">
        <v>148</v>
      </c>
      <c r="AD77" s="637" t="s">
        <v>148</v>
      </c>
      <c r="AE77" s="653" t="s">
        <v>148</v>
      </c>
      <c r="AF77" s="653" t="s">
        <v>148</v>
      </c>
      <c r="AG77" s="637" t="s">
        <v>148</v>
      </c>
      <c r="AH77" s="637" t="s">
        <v>148</v>
      </c>
    </row>
    <row r="78" spans="1:34" ht="102" customHeight="1" x14ac:dyDescent="0.25">
      <c r="A78" s="638">
        <f t="shared" si="4"/>
        <v>48</v>
      </c>
      <c r="B78" s="632" t="s">
        <v>481</v>
      </c>
      <c r="C78" s="633">
        <v>43222815</v>
      </c>
      <c r="D78" s="634" t="s">
        <v>213</v>
      </c>
      <c r="E78" s="632" t="s">
        <v>48</v>
      </c>
      <c r="F78" s="632">
        <v>1</v>
      </c>
      <c r="G78" s="844" t="s">
        <v>74</v>
      </c>
      <c r="H78" s="845" t="s">
        <v>1725</v>
      </c>
      <c r="I78" s="632" t="s">
        <v>173</v>
      </c>
      <c r="J78" s="632" t="s">
        <v>35</v>
      </c>
      <c r="K78" s="632" t="s">
        <v>161</v>
      </c>
      <c r="L78" s="636">
        <v>657061000</v>
      </c>
      <c r="M78" s="636">
        <v>34146000</v>
      </c>
      <c r="N78" s="632" t="s">
        <v>49</v>
      </c>
      <c r="O78" s="632" t="s">
        <v>436</v>
      </c>
      <c r="P78" s="632" t="s">
        <v>1869</v>
      </c>
      <c r="Q78" s="649"/>
      <c r="R78" s="637" t="s">
        <v>148</v>
      </c>
      <c r="S78" s="637" t="s">
        <v>148</v>
      </c>
      <c r="T78" s="653" t="s">
        <v>148</v>
      </c>
      <c r="U78" s="637" t="s">
        <v>148</v>
      </c>
      <c r="V78" s="637" t="s">
        <v>148</v>
      </c>
      <c r="W78" s="654">
        <v>0</v>
      </c>
      <c r="X78" s="654">
        <v>0</v>
      </c>
      <c r="Y78" s="654">
        <v>0</v>
      </c>
      <c r="Z78" s="654">
        <v>0</v>
      </c>
      <c r="AA78" s="654"/>
      <c r="AB78" s="637" t="s">
        <v>148</v>
      </c>
      <c r="AC78" s="637" t="s">
        <v>148</v>
      </c>
      <c r="AD78" s="637" t="s">
        <v>148</v>
      </c>
      <c r="AE78" s="653" t="s">
        <v>148</v>
      </c>
      <c r="AF78" s="653" t="s">
        <v>148</v>
      </c>
      <c r="AG78" s="637" t="s">
        <v>148</v>
      </c>
      <c r="AH78" s="637" t="s">
        <v>148</v>
      </c>
    </row>
    <row r="79" spans="1:34" s="722" customFormat="1" ht="97.5" customHeight="1" x14ac:dyDescent="0.25">
      <c r="A79" s="638">
        <f t="shared" si="4"/>
        <v>49</v>
      </c>
      <c r="B79" s="632" t="s">
        <v>481</v>
      </c>
      <c r="C79" s="633">
        <v>43211507</v>
      </c>
      <c r="D79" s="634" t="s">
        <v>1998</v>
      </c>
      <c r="E79" s="632" t="s">
        <v>48</v>
      </c>
      <c r="F79" s="632">
        <v>1</v>
      </c>
      <c r="G79" s="844" t="s">
        <v>180</v>
      </c>
      <c r="H79" s="845" t="s">
        <v>1999</v>
      </c>
      <c r="I79" s="632" t="s">
        <v>173</v>
      </c>
      <c r="J79" s="632" t="s">
        <v>35</v>
      </c>
      <c r="K79" s="632" t="s">
        <v>1860</v>
      </c>
      <c r="L79" s="636">
        <v>101000000</v>
      </c>
      <c r="M79" s="636">
        <v>101000000</v>
      </c>
      <c r="N79" s="632" t="s">
        <v>51</v>
      </c>
      <c r="O79" s="632" t="s">
        <v>36</v>
      </c>
      <c r="P79" s="632" t="s">
        <v>1869</v>
      </c>
      <c r="Q79" s="704"/>
      <c r="R79" s="637" t="s">
        <v>148</v>
      </c>
      <c r="S79" s="637" t="s">
        <v>148</v>
      </c>
      <c r="T79" s="653" t="s">
        <v>148</v>
      </c>
      <c r="U79" s="637" t="s">
        <v>148</v>
      </c>
      <c r="V79" s="637" t="s">
        <v>148</v>
      </c>
      <c r="W79" s="654">
        <v>0</v>
      </c>
      <c r="X79" s="654">
        <v>0</v>
      </c>
      <c r="Y79" s="654">
        <v>0</v>
      </c>
      <c r="Z79" s="654">
        <v>0</v>
      </c>
      <c r="AA79" s="654"/>
      <c r="AB79" s="637" t="s">
        <v>148</v>
      </c>
      <c r="AC79" s="637" t="s">
        <v>148</v>
      </c>
      <c r="AD79" s="637" t="s">
        <v>148</v>
      </c>
      <c r="AE79" s="653" t="s">
        <v>148</v>
      </c>
      <c r="AF79" s="653" t="s">
        <v>148</v>
      </c>
      <c r="AG79" s="637" t="s">
        <v>148</v>
      </c>
      <c r="AH79" s="637" t="s">
        <v>148</v>
      </c>
    </row>
    <row r="80" spans="1:34" s="649" customFormat="1" ht="147" customHeight="1" x14ac:dyDescent="0.25">
      <c r="A80" s="638">
        <f t="shared" si="4"/>
        <v>50</v>
      </c>
      <c r="B80" s="632" t="s">
        <v>481</v>
      </c>
      <c r="C80" s="633">
        <v>81112006</v>
      </c>
      <c r="D80" s="634" t="s">
        <v>217</v>
      </c>
      <c r="E80" s="632" t="s">
        <v>48</v>
      </c>
      <c r="F80" s="632">
        <v>1</v>
      </c>
      <c r="G80" s="844" t="s">
        <v>80</v>
      </c>
      <c r="H80" s="845">
        <v>12</v>
      </c>
      <c r="I80" s="632" t="s">
        <v>55</v>
      </c>
      <c r="J80" s="632" t="s">
        <v>35</v>
      </c>
      <c r="K80" s="632" t="s">
        <v>216</v>
      </c>
      <c r="L80" s="635">
        <v>4286000</v>
      </c>
      <c r="M80" s="636">
        <v>4286000</v>
      </c>
      <c r="N80" s="632" t="s">
        <v>51</v>
      </c>
      <c r="O80" s="632" t="s">
        <v>36</v>
      </c>
      <c r="P80" s="632" t="s">
        <v>306</v>
      </c>
      <c r="R80" s="637" t="s">
        <v>1217</v>
      </c>
      <c r="S80" s="637" t="s">
        <v>1218</v>
      </c>
      <c r="T80" s="653">
        <v>43145</v>
      </c>
      <c r="U80" s="637" t="s">
        <v>1219</v>
      </c>
      <c r="V80" s="637" t="s">
        <v>644</v>
      </c>
      <c r="W80" s="654">
        <v>2168614</v>
      </c>
      <c r="X80" s="654">
        <v>0</v>
      </c>
      <c r="Y80" s="654">
        <v>2168614</v>
      </c>
      <c r="Z80" s="654">
        <v>2168614</v>
      </c>
      <c r="AA80" s="654"/>
      <c r="AB80" s="637" t="s">
        <v>1220</v>
      </c>
      <c r="AC80" s="637" t="s">
        <v>1252</v>
      </c>
      <c r="AD80" s="637" t="s">
        <v>1221</v>
      </c>
      <c r="AE80" s="653">
        <v>43146</v>
      </c>
      <c r="AF80" s="653">
        <v>43462</v>
      </c>
      <c r="AG80" s="637" t="s">
        <v>1222</v>
      </c>
      <c r="AH80" s="637" t="s">
        <v>877</v>
      </c>
    </row>
    <row r="81" spans="1:34" s="657" customFormat="1" ht="92.1" customHeight="1" x14ac:dyDescent="0.25">
      <c r="A81" s="638">
        <f t="shared" si="4"/>
        <v>51</v>
      </c>
      <c r="B81" s="632" t="s">
        <v>481</v>
      </c>
      <c r="C81" s="633" t="s">
        <v>1533</v>
      </c>
      <c r="D81" s="634" t="s">
        <v>275</v>
      </c>
      <c r="E81" s="632" t="s">
        <v>48</v>
      </c>
      <c r="F81" s="632">
        <v>1</v>
      </c>
      <c r="G81" s="844" t="s">
        <v>79</v>
      </c>
      <c r="H81" s="845">
        <v>12</v>
      </c>
      <c r="I81" s="632" t="s">
        <v>283</v>
      </c>
      <c r="J81" s="632" t="s">
        <v>66</v>
      </c>
      <c r="K81" s="632" t="s">
        <v>574</v>
      </c>
      <c r="L81" s="635">
        <v>44044251</v>
      </c>
      <c r="M81" s="636">
        <v>44044251</v>
      </c>
      <c r="N81" s="632" t="s">
        <v>51</v>
      </c>
      <c r="O81" s="632" t="s">
        <v>36</v>
      </c>
      <c r="P81" s="632" t="s">
        <v>306</v>
      </c>
      <c r="Q81" s="896"/>
      <c r="R81" s="637" t="s">
        <v>1758</v>
      </c>
      <c r="S81" s="637" t="s">
        <v>1759</v>
      </c>
      <c r="T81" s="653">
        <v>43314</v>
      </c>
      <c r="U81" s="637" t="s">
        <v>1760</v>
      </c>
      <c r="V81" s="637" t="s">
        <v>644</v>
      </c>
      <c r="W81" s="654">
        <v>22180628</v>
      </c>
      <c r="X81" s="654">
        <v>0</v>
      </c>
      <c r="Y81" s="654">
        <v>0</v>
      </c>
      <c r="Z81" s="654">
        <v>22180628</v>
      </c>
      <c r="AA81" s="654"/>
      <c r="AB81" s="637" t="s">
        <v>1922</v>
      </c>
      <c r="AC81" s="637">
        <v>24718</v>
      </c>
      <c r="AD81" s="637" t="s">
        <v>1762</v>
      </c>
      <c r="AE81" s="653">
        <v>43315</v>
      </c>
      <c r="AF81" s="653">
        <v>43679</v>
      </c>
      <c r="AG81" s="637" t="s">
        <v>1763</v>
      </c>
      <c r="AH81" s="637" t="s">
        <v>877</v>
      </c>
    </row>
    <row r="82" spans="1:34" ht="209.1" customHeight="1" x14ac:dyDescent="0.25">
      <c r="A82" s="638">
        <f t="shared" si="4"/>
        <v>52</v>
      </c>
      <c r="B82" s="632" t="s">
        <v>481</v>
      </c>
      <c r="C82" s="633">
        <v>80101706</v>
      </c>
      <c r="D82" s="634" t="s">
        <v>585</v>
      </c>
      <c r="E82" s="632" t="s">
        <v>48</v>
      </c>
      <c r="F82" s="632">
        <v>1</v>
      </c>
      <c r="G82" s="844" t="s">
        <v>73</v>
      </c>
      <c r="H82" s="845">
        <v>12</v>
      </c>
      <c r="I82" s="632" t="s">
        <v>173</v>
      </c>
      <c r="J82" s="632" t="s">
        <v>66</v>
      </c>
      <c r="K82" s="632" t="s">
        <v>574</v>
      </c>
      <c r="L82" s="635">
        <v>232816852</v>
      </c>
      <c r="M82" s="635">
        <v>232816852</v>
      </c>
      <c r="N82" s="632" t="s">
        <v>51</v>
      </c>
      <c r="O82" s="632" t="s">
        <v>36</v>
      </c>
      <c r="P82" s="632" t="s">
        <v>306</v>
      </c>
      <c r="Q82" s="649"/>
      <c r="R82" s="637" t="s">
        <v>1228</v>
      </c>
      <c r="S82" s="637" t="s">
        <v>1229</v>
      </c>
      <c r="T82" s="653">
        <v>43147</v>
      </c>
      <c r="U82" s="637" t="s">
        <v>1230</v>
      </c>
      <c r="V82" s="637" t="s">
        <v>652</v>
      </c>
      <c r="W82" s="654">
        <v>222359431.53</v>
      </c>
      <c r="X82" s="654">
        <v>0</v>
      </c>
      <c r="Y82" s="654">
        <v>222359431.53</v>
      </c>
      <c r="Z82" s="654">
        <v>222359431.53</v>
      </c>
      <c r="AA82" s="654"/>
      <c r="AB82" s="637" t="s">
        <v>1231</v>
      </c>
      <c r="AC82" s="637" t="s">
        <v>1253</v>
      </c>
      <c r="AD82" s="637" t="s">
        <v>1232</v>
      </c>
      <c r="AE82" s="653">
        <v>43147</v>
      </c>
      <c r="AF82" s="653">
        <v>43511</v>
      </c>
      <c r="AG82" s="637" t="s">
        <v>876</v>
      </c>
      <c r="AH82" s="637" t="s">
        <v>877</v>
      </c>
    </row>
    <row r="83" spans="1:34" ht="95.1" customHeight="1" x14ac:dyDescent="0.25">
      <c r="A83" s="638">
        <f t="shared" si="4"/>
        <v>53</v>
      </c>
      <c r="B83" s="632" t="s">
        <v>234</v>
      </c>
      <c r="C83" s="633">
        <v>80101706</v>
      </c>
      <c r="D83" s="634" t="s">
        <v>532</v>
      </c>
      <c r="E83" s="632" t="s">
        <v>48</v>
      </c>
      <c r="F83" s="632">
        <v>1</v>
      </c>
      <c r="G83" s="844" t="s">
        <v>73</v>
      </c>
      <c r="H83" s="845">
        <v>5</v>
      </c>
      <c r="I83" s="632" t="s">
        <v>61</v>
      </c>
      <c r="J83" s="632" t="s">
        <v>66</v>
      </c>
      <c r="K83" s="632" t="s">
        <v>464</v>
      </c>
      <c r="L83" s="635">
        <v>25040000</v>
      </c>
      <c r="M83" s="636">
        <v>25040000</v>
      </c>
      <c r="N83" s="632" t="s">
        <v>51</v>
      </c>
      <c r="O83" s="632" t="s">
        <v>36</v>
      </c>
      <c r="P83" s="632" t="s">
        <v>490</v>
      </c>
      <c r="Q83" s="649"/>
      <c r="R83" s="637" t="s">
        <v>677</v>
      </c>
      <c r="S83" s="637" t="s">
        <v>248</v>
      </c>
      <c r="T83" s="653">
        <v>43109</v>
      </c>
      <c r="U83" s="637" t="s">
        <v>678</v>
      </c>
      <c r="V83" s="637" t="s">
        <v>659</v>
      </c>
      <c r="W83" s="654">
        <v>25040000</v>
      </c>
      <c r="X83" s="654">
        <v>5008000</v>
      </c>
      <c r="Y83" s="654">
        <f>W83+X83</f>
        <v>30048000</v>
      </c>
      <c r="Z83" s="654">
        <f>Y83</f>
        <v>30048000</v>
      </c>
      <c r="AA83" s="654"/>
      <c r="AB83" s="637" t="s">
        <v>679</v>
      </c>
      <c r="AC83" s="637" t="s">
        <v>1254</v>
      </c>
      <c r="AD83" s="637" t="s">
        <v>680</v>
      </c>
      <c r="AE83" s="653">
        <v>43110</v>
      </c>
      <c r="AF83" s="653">
        <v>43260</v>
      </c>
      <c r="AG83" s="637" t="s">
        <v>681</v>
      </c>
      <c r="AH83" s="637" t="s">
        <v>234</v>
      </c>
    </row>
    <row r="84" spans="1:34" s="649" customFormat="1" ht="156.75" customHeight="1" x14ac:dyDescent="0.25">
      <c r="A84" s="638">
        <f t="shared" si="4"/>
        <v>54</v>
      </c>
      <c r="B84" s="632" t="s">
        <v>481</v>
      </c>
      <c r="C84" s="633" t="s">
        <v>1199</v>
      </c>
      <c r="D84" s="634" t="s">
        <v>69</v>
      </c>
      <c r="E84" s="632" t="s">
        <v>68</v>
      </c>
      <c r="F84" s="632">
        <v>1</v>
      </c>
      <c r="G84" s="844" t="s">
        <v>80</v>
      </c>
      <c r="H84" s="845">
        <v>12</v>
      </c>
      <c r="I84" s="632" t="s">
        <v>283</v>
      </c>
      <c r="J84" s="632" t="s">
        <v>66</v>
      </c>
      <c r="K84" s="632" t="s">
        <v>574</v>
      </c>
      <c r="L84" s="635">
        <v>177663966</v>
      </c>
      <c r="M84" s="636">
        <v>177663966</v>
      </c>
      <c r="N84" s="632" t="s">
        <v>51</v>
      </c>
      <c r="O84" s="632" t="s">
        <v>36</v>
      </c>
      <c r="P84" s="632" t="s">
        <v>306</v>
      </c>
      <c r="R84" s="637" t="s">
        <v>1437</v>
      </c>
      <c r="S84" s="637" t="s">
        <v>1436</v>
      </c>
      <c r="T84" s="653">
        <v>43194</v>
      </c>
      <c r="U84" s="637" t="s">
        <v>1435</v>
      </c>
      <c r="V84" s="637" t="s">
        <v>644</v>
      </c>
      <c r="W84" s="654">
        <v>172210320</v>
      </c>
      <c r="X84" s="654">
        <v>0</v>
      </c>
      <c r="Y84" s="654">
        <v>172210320</v>
      </c>
      <c r="Z84" s="654">
        <v>172210320</v>
      </c>
      <c r="AA84" s="654"/>
      <c r="AB84" s="637" t="s">
        <v>1434</v>
      </c>
      <c r="AC84" s="637">
        <v>19418</v>
      </c>
      <c r="AD84" s="637" t="s">
        <v>1433</v>
      </c>
      <c r="AE84" s="653">
        <v>43200</v>
      </c>
      <c r="AF84" s="653">
        <v>43564</v>
      </c>
      <c r="AG84" s="637" t="s">
        <v>1432</v>
      </c>
      <c r="AH84" s="637" t="s">
        <v>877</v>
      </c>
    </row>
    <row r="85" spans="1:34" s="657" customFormat="1" ht="117.6" customHeight="1" x14ac:dyDescent="0.25">
      <c r="A85" s="638">
        <f t="shared" si="4"/>
        <v>55</v>
      </c>
      <c r="B85" s="640" t="s">
        <v>481</v>
      </c>
      <c r="C85" s="641">
        <v>93151502</v>
      </c>
      <c r="D85" s="642" t="s">
        <v>1198</v>
      </c>
      <c r="E85" s="640" t="s">
        <v>68</v>
      </c>
      <c r="F85" s="640">
        <v>1</v>
      </c>
      <c r="G85" s="643" t="s">
        <v>74</v>
      </c>
      <c r="H85" s="644" t="s">
        <v>639</v>
      </c>
      <c r="I85" s="640" t="s">
        <v>61</v>
      </c>
      <c r="J85" s="640" t="s">
        <v>66</v>
      </c>
      <c r="K85" s="640" t="s">
        <v>574</v>
      </c>
      <c r="L85" s="645"/>
      <c r="M85" s="646"/>
      <c r="N85" s="640" t="s">
        <v>51</v>
      </c>
      <c r="O85" s="640" t="s">
        <v>36</v>
      </c>
      <c r="P85" s="640" t="s">
        <v>1869</v>
      </c>
      <c r="Q85" s="649"/>
      <c r="R85" s="637" t="s">
        <v>148</v>
      </c>
      <c r="S85" s="637" t="s">
        <v>148</v>
      </c>
      <c r="T85" s="653" t="s">
        <v>148</v>
      </c>
      <c r="U85" s="637" t="s">
        <v>148</v>
      </c>
      <c r="V85" s="637" t="s">
        <v>148</v>
      </c>
      <c r="W85" s="654">
        <v>0</v>
      </c>
      <c r="X85" s="654">
        <v>0</v>
      </c>
      <c r="Y85" s="654">
        <v>0</v>
      </c>
      <c r="Z85" s="654">
        <v>0</v>
      </c>
      <c r="AA85" s="654"/>
      <c r="AB85" s="637" t="s">
        <v>148</v>
      </c>
      <c r="AC85" s="637" t="s">
        <v>148</v>
      </c>
      <c r="AD85" s="637" t="s">
        <v>148</v>
      </c>
      <c r="AE85" s="653" t="s">
        <v>148</v>
      </c>
      <c r="AF85" s="653" t="s">
        <v>148</v>
      </c>
      <c r="AG85" s="637" t="s">
        <v>148</v>
      </c>
      <c r="AH85" s="637" t="s">
        <v>148</v>
      </c>
    </row>
    <row r="86" spans="1:34" ht="93" customHeight="1" x14ac:dyDescent="0.25">
      <c r="A86" s="638">
        <f t="shared" si="4"/>
        <v>56</v>
      </c>
      <c r="B86" s="632" t="s">
        <v>481</v>
      </c>
      <c r="C86" s="633">
        <v>80101706</v>
      </c>
      <c r="D86" s="634" t="s">
        <v>82</v>
      </c>
      <c r="E86" s="632" t="s">
        <v>68</v>
      </c>
      <c r="F86" s="632">
        <v>1</v>
      </c>
      <c r="G86" s="844" t="s">
        <v>77</v>
      </c>
      <c r="H86" s="845" t="s">
        <v>194</v>
      </c>
      <c r="I86" s="632" t="s">
        <v>61</v>
      </c>
      <c r="J86" s="632" t="s">
        <v>66</v>
      </c>
      <c r="K86" s="632" t="s">
        <v>574</v>
      </c>
      <c r="L86" s="635">
        <v>44067420</v>
      </c>
      <c r="M86" s="636">
        <v>44067420</v>
      </c>
      <c r="N86" s="632" t="s">
        <v>51</v>
      </c>
      <c r="O86" s="632" t="s">
        <v>36</v>
      </c>
      <c r="P86" s="632" t="s">
        <v>1869</v>
      </c>
      <c r="Q86" s="649"/>
      <c r="R86" s="637" t="s">
        <v>1883</v>
      </c>
      <c r="S86" s="637" t="s">
        <v>1884</v>
      </c>
      <c r="T86" s="653">
        <v>43355</v>
      </c>
      <c r="U86" s="637" t="s">
        <v>1885</v>
      </c>
      <c r="V86" s="637" t="s">
        <v>644</v>
      </c>
      <c r="W86" s="654">
        <v>33765000</v>
      </c>
      <c r="X86" s="654">
        <v>0</v>
      </c>
      <c r="Y86" s="654">
        <v>33765000</v>
      </c>
      <c r="Z86" s="654">
        <v>33765000</v>
      </c>
      <c r="AA86" s="654"/>
      <c r="AB86" s="637" t="s">
        <v>1886</v>
      </c>
      <c r="AC86" s="637">
        <v>35418</v>
      </c>
      <c r="AD86" s="637" t="s">
        <v>1887</v>
      </c>
      <c r="AE86" s="653">
        <v>43360</v>
      </c>
      <c r="AF86" s="653">
        <v>43724</v>
      </c>
      <c r="AG86" s="637" t="s">
        <v>1693</v>
      </c>
      <c r="AH86" s="637" t="s">
        <v>877</v>
      </c>
    </row>
    <row r="87" spans="1:34" ht="117" customHeight="1" x14ac:dyDescent="0.25">
      <c r="A87" s="846">
        <f t="shared" si="4"/>
        <v>57</v>
      </c>
      <c r="B87" s="632" t="s">
        <v>263</v>
      </c>
      <c r="C87" s="633">
        <v>80101706</v>
      </c>
      <c r="D87" s="634" t="s">
        <v>492</v>
      </c>
      <c r="E87" s="632" t="s">
        <v>48</v>
      </c>
      <c r="F87" s="632">
        <v>1</v>
      </c>
      <c r="G87" s="844" t="s">
        <v>73</v>
      </c>
      <c r="H87" s="845">
        <v>5</v>
      </c>
      <c r="I87" s="632" t="s">
        <v>61</v>
      </c>
      <c r="J87" s="632" t="s">
        <v>66</v>
      </c>
      <c r="K87" s="632" t="s">
        <v>464</v>
      </c>
      <c r="L87" s="635">
        <v>19475000</v>
      </c>
      <c r="M87" s="636">
        <v>19475000</v>
      </c>
      <c r="N87" s="632" t="s">
        <v>51</v>
      </c>
      <c r="O87" s="632" t="s">
        <v>36</v>
      </c>
      <c r="P87" s="632" t="s">
        <v>493</v>
      </c>
      <c r="Q87" s="649"/>
      <c r="R87" s="897" t="s">
        <v>682</v>
      </c>
      <c r="S87" s="884" t="s">
        <v>683</v>
      </c>
      <c r="T87" s="653">
        <v>43109</v>
      </c>
      <c r="U87" s="884" t="s">
        <v>684</v>
      </c>
      <c r="V87" s="884" t="s">
        <v>659</v>
      </c>
      <c r="W87" s="654">
        <v>19475000</v>
      </c>
      <c r="X87" s="654"/>
      <c r="Y87" s="654">
        <f>W87+X87</f>
        <v>19475000</v>
      </c>
      <c r="Z87" s="654">
        <f>Y87</f>
        <v>19475000</v>
      </c>
      <c r="AA87" s="654"/>
      <c r="AB87" s="637" t="s">
        <v>685</v>
      </c>
      <c r="AC87" s="637" t="s">
        <v>1255</v>
      </c>
      <c r="AD87" s="637" t="s">
        <v>680</v>
      </c>
      <c r="AE87" s="653">
        <v>43109</v>
      </c>
      <c r="AF87" s="653">
        <v>43259</v>
      </c>
      <c r="AG87" s="637" t="s">
        <v>1235</v>
      </c>
      <c r="AH87" s="637" t="s">
        <v>669</v>
      </c>
    </row>
    <row r="88" spans="1:34" ht="117" customHeight="1" x14ac:dyDescent="0.25">
      <c r="A88" s="842"/>
      <c r="B88" s="632" t="s">
        <v>263</v>
      </c>
      <c r="C88" s="633">
        <v>80101706</v>
      </c>
      <c r="D88" s="634" t="s">
        <v>492</v>
      </c>
      <c r="E88" s="632" t="s">
        <v>48</v>
      </c>
      <c r="F88" s="632">
        <v>1</v>
      </c>
      <c r="G88" s="844" t="s">
        <v>73</v>
      </c>
      <c r="H88" s="845">
        <v>5</v>
      </c>
      <c r="I88" s="632" t="s">
        <v>61</v>
      </c>
      <c r="J88" s="632" t="s">
        <v>66</v>
      </c>
      <c r="K88" s="632" t="s">
        <v>589</v>
      </c>
      <c r="L88" s="635">
        <v>9737500</v>
      </c>
      <c r="M88" s="636">
        <v>9737500</v>
      </c>
      <c r="N88" s="632" t="s">
        <v>51</v>
      </c>
      <c r="O88" s="632" t="s">
        <v>36</v>
      </c>
      <c r="P88" s="632" t="s">
        <v>493</v>
      </c>
      <c r="Q88" s="649"/>
      <c r="R88" s="897" t="s">
        <v>1764</v>
      </c>
      <c r="S88" s="843"/>
      <c r="T88" s="653">
        <v>43259</v>
      </c>
      <c r="U88" s="843"/>
      <c r="V88" s="843"/>
      <c r="W88" s="654"/>
      <c r="X88" s="654">
        <v>9737500</v>
      </c>
      <c r="Y88" s="654">
        <v>9737500</v>
      </c>
      <c r="Z88" s="654">
        <v>9737500</v>
      </c>
      <c r="AA88" s="654">
        <f>Z88-Y88</f>
        <v>0</v>
      </c>
      <c r="AB88" s="637" t="s">
        <v>1765</v>
      </c>
      <c r="AC88" s="637">
        <v>24018</v>
      </c>
      <c r="AD88" s="637" t="s">
        <v>680</v>
      </c>
      <c r="AE88" s="653">
        <v>43109</v>
      </c>
      <c r="AF88" s="653">
        <v>43259</v>
      </c>
      <c r="AG88" s="637" t="s">
        <v>1235</v>
      </c>
      <c r="AH88" s="637" t="s">
        <v>669</v>
      </c>
    </row>
    <row r="89" spans="1:34" ht="136.5" customHeight="1" x14ac:dyDescent="0.25">
      <c r="A89" s="638">
        <f>SUM(A87+1)</f>
        <v>58</v>
      </c>
      <c r="B89" s="632" t="s">
        <v>234</v>
      </c>
      <c r="C89" s="633">
        <v>80101706</v>
      </c>
      <c r="D89" s="634" t="s">
        <v>532</v>
      </c>
      <c r="E89" s="632" t="s">
        <v>48</v>
      </c>
      <c r="F89" s="632">
        <v>1</v>
      </c>
      <c r="G89" s="844" t="s">
        <v>73</v>
      </c>
      <c r="H89" s="845">
        <v>5</v>
      </c>
      <c r="I89" s="632" t="s">
        <v>61</v>
      </c>
      <c r="J89" s="632" t="s">
        <v>66</v>
      </c>
      <c r="K89" s="632" t="s">
        <v>464</v>
      </c>
      <c r="L89" s="635">
        <v>38765000</v>
      </c>
      <c r="M89" s="636">
        <v>38765000</v>
      </c>
      <c r="N89" s="632" t="s">
        <v>51</v>
      </c>
      <c r="O89" s="632" t="s">
        <v>36</v>
      </c>
      <c r="P89" s="632" t="s">
        <v>490</v>
      </c>
      <c r="Q89" s="649"/>
      <c r="R89" s="637" t="s">
        <v>687</v>
      </c>
      <c r="S89" s="637" t="s">
        <v>255</v>
      </c>
      <c r="T89" s="653">
        <v>43109</v>
      </c>
      <c r="U89" s="637" t="s">
        <v>688</v>
      </c>
      <c r="V89" s="637" t="s">
        <v>659</v>
      </c>
      <c r="W89" s="654">
        <v>38765000</v>
      </c>
      <c r="X89" s="654">
        <v>7753000</v>
      </c>
      <c r="Y89" s="654">
        <f>W89+X89</f>
        <v>46518000</v>
      </c>
      <c r="Z89" s="654">
        <f>Y89</f>
        <v>46518000</v>
      </c>
      <c r="AA89" s="654"/>
      <c r="AB89" s="637" t="s">
        <v>689</v>
      </c>
      <c r="AC89" s="637" t="s">
        <v>1256</v>
      </c>
      <c r="AD89" s="637" t="s">
        <v>680</v>
      </c>
      <c r="AE89" s="653">
        <v>43117</v>
      </c>
      <c r="AF89" s="653">
        <v>43267</v>
      </c>
      <c r="AG89" s="637" t="s">
        <v>690</v>
      </c>
      <c r="AH89" s="637" t="s">
        <v>234</v>
      </c>
    </row>
    <row r="90" spans="1:34" ht="179.1" customHeight="1" x14ac:dyDescent="0.25">
      <c r="A90" s="638">
        <f t="shared" si="4"/>
        <v>59</v>
      </c>
      <c r="B90" s="632" t="s">
        <v>481</v>
      </c>
      <c r="C90" s="633" t="s">
        <v>1244</v>
      </c>
      <c r="D90" s="634" t="s">
        <v>1870</v>
      </c>
      <c r="E90" s="632" t="s">
        <v>68</v>
      </c>
      <c r="F90" s="632">
        <v>1</v>
      </c>
      <c r="G90" s="844" t="s">
        <v>74</v>
      </c>
      <c r="H90" s="845">
        <v>12</v>
      </c>
      <c r="I90" s="632" t="s">
        <v>283</v>
      </c>
      <c r="J90" s="632" t="s">
        <v>66</v>
      </c>
      <c r="K90" s="632" t="s">
        <v>574</v>
      </c>
      <c r="L90" s="635">
        <v>154361000</v>
      </c>
      <c r="M90" s="635">
        <v>154361000</v>
      </c>
      <c r="N90" s="632" t="s">
        <v>51</v>
      </c>
      <c r="O90" s="632" t="s">
        <v>36</v>
      </c>
      <c r="P90" s="632" t="s">
        <v>1869</v>
      </c>
      <c r="Q90" s="649"/>
      <c r="R90" s="637" t="s">
        <v>148</v>
      </c>
      <c r="S90" s="637" t="s">
        <v>148</v>
      </c>
      <c r="T90" s="653" t="s">
        <v>148</v>
      </c>
      <c r="U90" s="637" t="s">
        <v>148</v>
      </c>
      <c r="V90" s="637" t="s">
        <v>148</v>
      </c>
      <c r="W90" s="654">
        <v>0</v>
      </c>
      <c r="X90" s="654">
        <v>0</v>
      </c>
      <c r="Y90" s="654">
        <v>0</v>
      </c>
      <c r="Z90" s="654">
        <v>0</v>
      </c>
      <c r="AA90" s="654"/>
      <c r="AB90" s="637" t="s">
        <v>148</v>
      </c>
      <c r="AC90" s="637" t="s">
        <v>148</v>
      </c>
      <c r="AD90" s="637" t="s">
        <v>148</v>
      </c>
      <c r="AE90" s="653" t="s">
        <v>148</v>
      </c>
      <c r="AF90" s="653" t="s">
        <v>148</v>
      </c>
      <c r="AG90" s="637" t="s">
        <v>148</v>
      </c>
      <c r="AH90" s="637" t="s">
        <v>148</v>
      </c>
    </row>
    <row r="91" spans="1:34" ht="127.5" customHeight="1" x14ac:dyDescent="0.25">
      <c r="A91" s="846">
        <f t="shared" si="4"/>
        <v>60</v>
      </c>
      <c r="B91" s="858" t="s">
        <v>481</v>
      </c>
      <c r="C91" s="848" t="s">
        <v>1245</v>
      </c>
      <c r="D91" s="848" t="s">
        <v>487</v>
      </c>
      <c r="E91" s="847" t="s">
        <v>68</v>
      </c>
      <c r="F91" s="848">
        <v>1</v>
      </c>
      <c r="G91" s="849" t="s">
        <v>80</v>
      </c>
      <c r="H91" s="845">
        <v>12</v>
      </c>
      <c r="I91" s="632" t="s">
        <v>283</v>
      </c>
      <c r="J91" s="848" t="s">
        <v>66</v>
      </c>
      <c r="K91" s="848" t="s">
        <v>574</v>
      </c>
      <c r="L91" s="635">
        <v>49774872</v>
      </c>
      <c r="M91" s="636">
        <v>49774872</v>
      </c>
      <c r="N91" s="858" t="s">
        <v>51</v>
      </c>
      <c r="O91" s="858" t="s">
        <v>36</v>
      </c>
      <c r="P91" s="858" t="s">
        <v>306</v>
      </c>
      <c r="Q91" s="649"/>
      <c r="R91" s="897" t="s">
        <v>1431</v>
      </c>
      <c r="S91" s="884" t="s">
        <v>1430</v>
      </c>
      <c r="T91" s="885">
        <v>43214</v>
      </c>
      <c r="U91" s="884" t="s">
        <v>1429</v>
      </c>
      <c r="V91" s="884" t="s">
        <v>644</v>
      </c>
      <c r="W91" s="654">
        <v>49767872</v>
      </c>
      <c r="X91" s="654">
        <v>0</v>
      </c>
      <c r="Y91" s="654">
        <v>49767872</v>
      </c>
      <c r="Z91" s="654">
        <v>49767872</v>
      </c>
      <c r="AA91" s="886"/>
      <c r="AB91" s="884" t="s">
        <v>1428</v>
      </c>
      <c r="AC91" s="884">
        <v>19718</v>
      </c>
      <c r="AD91" s="637" t="s">
        <v>1923</v>
      </c>
      <c r="AE91" s="653">
        <v>43235</v>
      </c>
      <c r="AF91" s="653">
        <v>43599</v>
      </c>
      <c r="AG91" s="637" t="s">
        <v>1222</v>
      </c>
      <c r="AH91" s="637" t="s">
        <v>877</v>
      </c>
    </row>
    <row r="92" spans="1:34" ht="110.25" customHeight="1" x14ac:dyDescent="0.25">
      <c r="A92" s="842"/>
      <c r="B92" s="866"/>
      <c r="C92" s="848" t="s">
        <v>1245</v>
      </c>
      <c r="D92" s="848" t="s">
        <v>487</v>
      </c>
      <c r="E92" s="847" t="s">
        <v>68</v>
      </c>
      <c r="F92" s="848">
        <v>1</v>
      </c>
      <c r="G92" s="849" t="s">
        <v>80</v>
      </c>
      <c r="H92" s="845">
        <v>12</v>
      </c>
      <c r="I92" s="632" t="s">
        <v>283</v>
      </c>
      <c r="J92" s="848" t="s">
        <v>66</v>
      </c>
      <c r="K92" s="632" t="s">
        <v>607</v>
      </c>
      <c r="L92" s="635">
        <v>65125128</v>
      </c>
      <c r="M92" s="636">
        <v>65125128</v>
      </c>
      <c r="N92" s="866"/>
      <c r="O92" s="866"/>
      <c r="P92" s="866"/>
      <c r="Q92" s="649"/>
      <c r="R92" s="897" t="s">
        <v>1431</v>
      </c>
      <c r="S92" s="843"/>
      <c r="T92" s="887"/>
      <c r="U92" s="843"/>
      <c r="V92" s="843"/>
      <c r="W92" s="654">
        <v>65102128</v>
      </c>
      <c r="X92" s="654">
        <v>0</v>
      </c>
      <c r="Y92" s="654">
        <v>65102128</v>
      </c>
      <c r="Z92" s="654">
        <v>65102128</v>
      </c>
      <c r="AA92" s="888"/>
      <c r="AB92" s="843"/>
      <c r="AC92" s="843"/>
      <c r="AD92" s="637" t="s">
        <v>1923</v>
      </c>
      <c r="AE92" s="653">
        <v>43235</v>
      </c>
      <c r="AF92" s="653">
        <v>43599</v>
      </c>
      <c r="AG92" s="637" t="s">
        <v>1222</v>
      </c>
      <c r="AH92" s="637" t="s">
        <v>877</v>
      </c>
    </row>
    <row r="93" spans="1:34" ht="155.25" customHeight="1" x14ac:dyDescent="0.25">
      <c r="A93" s="638">
        <f>SUM(A91+1)</f>
        <v>61</v>
      </c>
      <c r="B93" s="632" t="s">
        <v>491</v>
      </c>
      <c r="C93" s="633">
        <v>32101617</v>
      </c>
      <c r="D93" s="634" t="s">
        <v>178</v>
      </c>
      <c r="E93" s="632" t="s">
        <v>48</v>
      </c>
      <c r="F93" s="632">
        <v>12</v>
      </c>
      <c r="G93" s="844" t="s">
        <v>81</v>
      </c>
      <c r="H93" s="845" t="s">
        <v>194</v>
      </c>
      <c r="I93" s="632" t="s">
        <v>55</v>
      </c>
      <c r="J93" s="632" t="s">
        <v>35</v>
      </c>
      <c r="K93" s="632" t="s">
        <v>161</v>
      </c>
      <c r="L93" s="635">
        <v>3900000</v>
      </c>
      <c r="M93" s="636">
        <v>3900000</v>
      </c>
      <c r="N93" s="632" t="s">
        <v>51</v>
      </c>
      <c r="O93" s="632" t="s">
        <v>36</v>
      </c>
      <c r="P93" s="632" t="s">
        <v>318</v>
      </c>
      <c r="Q93" s="649"/>
      <c r="R93" s="637" t="s">
        <v>1766</v>
      </c>
      <c r="S93" s="637" t="s">
        <v>1767</v>
      </c>
      <c r="T93" s="653">
        <v>43343</v>
      </c>
      <c r="U93" s="637" t="s">
        <v>1768</v>
      </c>
      <c r="V93" s="637" t="s">
        <v>644</v>
      </c>
      <c r="W93" s="654">
        <v>1494045</v>
      </c>
      <c r="X93" s="654">
        <v>0</v>
      </c>
      <c r="Y93" s="654">
        <v>1494045</v>
      </c>
      <c r="Z93" s="654">
        <v>1494045</v>
      </c>
      <c r="AA93" s="654"/>
      <c r="AB93" s="637" t="s">
        <v>1924</v>
      </c>
      <c r="AC93" s="637">
        <v>30818</v>
      </c>
      <c r="AD93" s="637" t="s">
        <v>1769</v>
      </c>
      <c r="AE93" s="653">
        <v>43343</v>
      </c>
      <c r="AF93" s="653" t="s">
        <v>1770</v>
      </c>
      <c r="AG93" s="637" t="s">
        <v>1771</v>
      </c>
      <c r="AH93" s="637" t="s">
        <v>696</v>
      </c>
    </row>
    <row r="94" spans="1:34" ht="175.5" customHeight="1" x14ac:dyDescent="0.25">
      <c r="A94" s="638">
        <f t="shared" ref="A94:A109" si="6">SUM(A93+1)</f>
        <v>62</v>
      </c>
      <c r="B94" s="632" t="s">
        <v>491</v>
      </c>
      <c r="C94" s="633">
        <v>80101706</v>
      </c>
      <c r="D94" s="634" t="s">
        <v>584</v>
      </c>
      <c r="E94" s="632" t="s">
        <v>68</v>
      </c>
      <c r="F94" s="632">
        <v>1</v>
      </c>
      <c r="G94" s="844" t="s">
        <v>73</v>
      </c>
      <c r="H94" s="845" t="s">
        <v>157</v>
      </c>
      <c r="I94" s="632" t="s">
        <v>61</v>
      </c>
      <c r="J94" s="632" t="s">
        <v>35</v>
      </c>
      <c r="K94" s="632" t="s">
        <v>430</v>
      </c>
      <c r="L94" s="635">
        <v>15000000</v>
      </c>
      <c r="M94" s="636">
        <v>15000000</v>
      </c>
      <c r="N94" s="632" t="s">
        <v>51</v>
      </c>
      <c r="O94" s="632" t="s">
        <v>36</v>
      </c>
      <c r="P94" s="632" t="s">
        <v>318</v>
      </c>
      <c r="Q94" s="649"/>
      <c r="R94" s="637" t="s">
        <v>691</v>
      </c>
      <c r="S94" s="637" t="s">
        <v>1240</v>
      </c>
      <c r="T94" s="653">
        <v>43116</v>
      </c>
      <c r="U94" s="637" t="s">
        <v>692</v>
      </c>
      <c r="V94" s="637" t="s">
        <v>659</v>
      </c>
      <c r="W94" s="654">
        <v>15000000</v>
      </c>
      <c r="X94" s="654">
        <v>2000000</v>
      </c>
      <c r="Y94" s="654">
        <v>17000000</v>
      </c>
      <c r="Z94" s="654">
        <f>Y94</f>
        <v>17000000</v>
      </c>
      <c r="AA94" s="654"/>
      <c r="AB94" s="637" t="s">
        <v>693</v>
      </c>
      <c r="AC94" s="637" t="s">
        <v>1257</v>
      </c>
      <c r="AD94" s="637" t="s">
        <v>694</v>
      </c>
      <c r="AE94" s="653">
        <v>43117</v>
      </c>
      <c r="AF94" s="653">
        <v>43175</v>
      </c>
      <c r="AG94" s="637" t="s">
        <v>695</v>
      </c>
      <c r="AH94" s="637" t="s">
        <v>696</v>
      </c>
    </row>
    <row r="95" spans="1:34" ht="97.5" customHeight="1" x14ac:dyDescent="0.25">
      <c r="A95" s="846">
        <f t="shared" si="6"/>
        <v>63</v>
      </c>
      <c r="B95" s="632" t="s">
        <v>263</v>
      </c>
      <c r="C95" s="633">
        <v>80101706</v>
      </c>
      <c r="D95" s="634" t="s">
        <v>492</v>
      </c>
      <c r="E95" s="632" t="s">
        <v>48</v>
      </c>
      <c r="F95" s="632">
        <v>1</v>
      </c>
      <c r="G95" s="844" t="s">
        <v>73</v>
      </c>
      <c r="H95" s="845">
        <v>5</v>
      </c>
      <c r="I95" s="632" t="s">
        <v>61</v>
      </c>
      <c r="J95" s="632" t="s">
        <v>66</v>
      </c>
      <c r="K95" s="632" t="s">
        <v>464</v>
      </c>
      <c r="L95" s="635">
        <v>55000000</v>
      </c>
      <c r="M95" s="636">
        <v>55000000</v>
      </c>
      <c r="N95" s="632" t="s">
        <v>51</v>
      </c>
      <c r="O95" s="632" t="s">
        <v>36</v>
      </c>
      <c r="P95" s="632" t="s">
        <v>493</v>
      </c>
      <c r="Q95" s="649"/>
      <c r="R95" s="897" t="s">
        <v>697</v>
      </c>
      <c r="S95" s="637" t="s">
        <v>698</v>
      </c>
      <c r="T95" s="653">
        <v>43109</v>
      </c>
      <c r="U95" s="637" t="s">
        <v>699</v>
      </c>
      <c r="V95" s="637" t="s">
        <v>659</v>
      </c>
      <c r="W95" s="654">
        <v>55000000</v>
      </c>
      <c r="X95" s="654"/>
      <c r="Y95" s="654">
        <f>W95+X95</f>
        <v>55000000</v>
      </c>
      <c r="Z95" s="654">
        <f>Y95</f>
        <v>55000000</v>
      </c>
      <c r="AA95" s="654"/>
      <c r="AB95" s="637" t="s">
        <v>700</v>
      </c>
      <c r="AC95" s="637" t="s">
        <v>1258</v>
      </c>
      <c r="AD95" s="637" t="s">
        <v>680</v>
      </c>
      <c r="AE95" s="653">
        <v>43111</v>
      </c>
      <c r="AF95" s="653">
        <v>43261</v>
      </c>
      <c r="AG95" s="637" t="s">
        <v>1235</v>
      </c>
      <c r="AH95" s="637" t="s">
        <v>669</v>
      </c>
    </row>
    <row r="96" spans="1:34" ht="97.5" customHeight="1" x14ac:dyDescent="0.25">
      <c r="A96" s="842"/>
      <c r="B96" s="632" t="s">
        <v>263</v>
      </c>
      <c r="C96" s="633">
        <v>80101706</v>
      </c>
      <c r="D96" s="634" t="s">
        <v>492</v>
      </c>
      <c r="E96" s="632" t="s">
        <v>48</v>
      </c>
      <c r="F96" s="632">
        <v>1</v>
      </c>
      <c r="G96" s="844" t="s">
        <v>73</v>
      </c>
      <c r="H96" s="845">
        <v>5</v>
      </c>
      <c r="I96" s="632" t="s">
        <v>61</v>
      </c>
      <c r="J96" s="632" t="s">
        <v>66</v>
      </c>
      <c r="K96" s="632" t="s">
        <v>589</v>
      </c>
      <c r="L96" s="635">
        <v>27500000</v>
      </c>
      <c r="M96" s="636">
        <v>27500000</v>
      </c>
      <c r="N96" s="632" t="s">
        <v>51</v>
      </c>
      <c r="O96" s="632" t="s">
        <v>36</v>
      </c>
      <c r="P96" s="632" t="s">
        <v>493</v>
      </c>
      <c r="Q96" s="649"/>
      <c r="R96" s="897" t="s">
        <v>697</v>
      </c>
      <c r="S96" s="637" t="s">
        <v>698</v>
      </c>
      <c r="T96" s="653">
        <v>43109</v>
      </c>
      <c r="U96" s="637" t="s">
        <v>699</v>
      </c>
      <c r="V96" s="637" t="s">
        <v>659</v>
      </c>
      <c r="W96" s="654"/>
      <c r="X96" s="654">
        <v>27500000</v>
      </c>
      <c r="Y96" s="654">
        <v>27500000</v>
      </c>
      <c r="Z96" s="654">
        <v>27500000</v>
      </c>
      <c r="AA96" s="654">
        <f>Z96-Y96</f>
        <v>0</v>
      </c>
      <c r="AB96" s="637" t="s">
        <v>700</v>
      </c>
      <c r="AC96" s="637" t="s">
        <v>1258</v>
      </c>
      <c r="AD96" s="637" t="s">
        <v>680</v>
      </c>
      <c r="AE96" s="653">
        <v>43111</v>
      </c>
      <c r="AF96" s="653">
        <v>43261</v>
      </c>
      <c r="AG96" s="637" t="s">
        <v>1235</v>
      </c>
      <c r="AH96" s="637" t="s">
        <v>669</v>
      </c>
    </row>
    <row r="97" spans="1:34" ht="117" customHeight="1" x14ac:dyDescent="0.25">
      <c r="A97" s="638">
        <f>SUM(A95+1)</f>
        <v>64</v>
      </c>
      <c r="B97" s="632" t="s">
        <v>494</v>
      </c>
      <c r="C97" s="633">
        <v>80101706</v>
      </c>
      <c r="D97" s="634" t="s">
        <v>495</v>
      </c>
      <c r="E97" s="632" t="s">
        <v>48</v>
      </c>
      <c r="F97" s="632">
        <v>1</v>
      </c>
      <c r="G97" s="844" t="s">
        <v>73</v>
      </c>
      <c r="H97" s="845">
        <v>5</v>
      </c>
      <c r="I97" s="632" t="s">
        <v>61</v>
      </c>
      <c r="J97" s="632" t="s">
        <v>66</v>
      </c>
      <c r="K97" s="632" t="s">
        <v>464</v>
      </c>
      <c r="L97" s="635">
        <v>19475000</v>
      </c>
      <c r="M97" s="636">
        <v>19475000</v>
      </c>
      <c r="N97" s="632" t="s">
        <v>51</v>
      </c>
      <c r="O97" s="632" t="s">
        <v>36</v>
      </c>
      <c r="P97" s="632" t="s">
        <v>493</v>
      </c>
      <c r="Q97" s="649"/>
      <c r="R97" s="637" t="s">
        <v>701</v>
      </c>
      <c r="S97" s="637" t="s">
        <v>702</v>
      </c>
      <c r="T97" s="653">
        <v>43109</v>
      </c>
      <c r="U97" s="637" t="s">
        <v>703</v>
      </c>
      <c r="V97" s="637" t="s">
        <v>659</v>
      </c>
      <c r="W97" s="654">
        <v>19475000</v>
      </c>
      <c r="X97" s="654">
        <v>0</v>
      </c>
      <c r="Y97" s="654">
        <v>19475000</v>
      </c>
      <c r="Z97" s="654">
        <v>19475000</v>
      </c>
      <c r="AA97" s="654"/>
      <c r="AB97" s="637" t="s">
        <v>704</v>
      </c>
      <c r="AC97" s="637" t="s">
        <v>1259</v>
      </c>
      <c r="AD97" s="637" t="s">
        <v>680</v>
      </c>
      <c r="AE97" s="653">
        <v>43115</v>
      </c>
      <c r="AF97" s="653">
        <v>43265</v>
      </c>
      <c r="AG97" s="637" t="s">
        <v>1237</v>
      </c>
      <c r="AH97" s="637" t="s">
        <v>669</v>
      </c>
    </row>
    <row r="98" spans="1:34" ht="117" customHeight="1" x14ac:dyDescent="0.25">
      <c r="A98" s="638">
        <f t="shared" si="6"/>
        <v>65</v>
      </c>
      <c r="B98" s="632" t="s">
        <v>494</v>
      </c>
      <c r="C98" s="633">
        <v>80101706</v>
      </c>
      <c r="D98" s="634" t="s">
        <v>495</v>
      </c>
      <c r="E98" s="632" t="s">
        <v>48</v>
      </c>
      <c r="F98" s="632">
        <v>1</v>
      </c>
      <c r="G98" s="844" t="s">
        <v>73</v>
      </c>
      <c r="H98" s="845">
        <v>5</v>
      </c>
      <c r="I98" s="632" t="s">
        <v>61</v>
      </c>
      <c r="J98" s="632" t="s">
        <v>66</v>
      </c>
      <c r="K98" s="632" t="s">
        <v>464</v>
      </c>
      <c r="L98" s="635">
        <v>47500000</v>
      </c>
      <c r="M98" s="636">
        <v>47500000</v>
      </c>
      <c r="N98" s="632" t="s">
        <v>51</v>
      </c>
      <c r="O98" s="632" t="s">
        <v>36</v>
      </c>
      <c r="P98" s="632" t="s">
        <v>493</v>
      </c>
      <c r="Q98" s="649"/>
      <c r="R98" s="637" t="s">
        <v>705</v>
      </c>
      <c r="S98" s="637" t="s">
        <v>236</v>
      </c>
      <c r="T98" s="653">
        <v>43125</v>
      </c>
      <c r="U98" s="637" t="s">
        <v>706</v>
      </c>
      <c r="V98" s="637" t="s">
        <v>659</v>
      </c>
      <c r="W98" s="654">
        <v>47500000</v>
      </c>
      <c r="X98" s="654">
        <v>0</v>
      </c>
      <c r="Y98" s="654">
        <v>47500000</v>
      </c>
      <c r="Z98" s="654">
        <v>47500000</v>
      </c>
      <c r="AA98" s="654"/>
      <c r="AB98" s="637" t="s">
        <v>707</v>
      </c>
      <c r="AC98" s="637" t="s">
        <v>1260</v>
      </c>
      <c r="AD98" s="637" t="s">
        <v>680</v>
      </c>
      <c r="AE98" s="653">
        <v>43125</v>
      </c>
      <c r="AF98" s="653">
        <v>43275</v>
      </c>
      <c r="AG98" s="637" t="s">
        <v>1235</v>
      </c>
      <c r="AH98" s="637" t="s">
        <v>669</v>
      </c>
    </row>
    <row r="99" spans="1:34" ht="117" customHeight="1" x14ac:dyDescent="0.25">
      <c r="A99" s="846">
        <f t="shared" si="6"/>
        <v>66</v>
      </c>
      <c r="B99" s="632" t="s">
        <v>494</v>
      </c>
      <c r="C99" s="633">
        <v>80101706</v>
      </c>
      <c r="D99" s="634" t="s">
        <v>495</v>
      </c>
      <c r="E99" s="632" t="s">
        <v>48</v>
      </c>
      <c r="F99" s="632">
        <v>1</v>
      </c>
      <c r="G99" s="844" t="s">
        <v>73</v>
      </c>
      <c r="H99" s="845">
        <v>5</v>
      </c>
      <c r="I99" s="632" t="s">
        <v>61</v>
      </c>
      <c r="J99" s="632" t="s">
        <v>66</v>
      </c>
      <c r="K99" s="632" t="s">
        <v>464</v>
      </c>
      <c r="L99" s="635">
        <v>21700000</v>
      </c>
      <c r="M99" s="636">
        <v>21700000</v>
      </c>
      <c r="N99" s="632" t="s">
        <v>51</v>
      </c>
      <c r="O99" s="632" t="s">
        <v>36</v>
      </c>
      <c r="P99" s="632" t="s">
        <v>493</v>
      </c>
      <c r="Q99" s="649"/>
      <c r="R99" s="637" t="s">
        <v>708</v>
      </c>
      <c r="S99" s="637" t="s">
        <v>709</v>
      </c>
      <c r="T99" s="653">
        <v>43109</v>
      </c>
      <c r="U99" s="637" t="s">
        <v>710</v>
      </c>
      <c r="V99" s="637" t="s">
        <v>659</v>
      </c>
      <c r="W99" s="654">
        <v>21700000</v>
      </c>
      <c r="X99" s="654">
        <v>4340000</v>
      </c>
      <c r="Y99" s="654">
        <f>W99+X99</f>
        <v>26040000</v>
      </c>
      <c r="Z99" s="654">
        <f t="shared" ref="Z99:Z106" si="7">Y99</f>
        <v>26040000</v>
      </c>
      <c r="AA99" s="654"/>
      <c r="AB99" s="637" t="s">
        <v>711</v>
      </c>
      <c r="AC99" s="637" t="s">
        <v>1261</v>
      </c>
      <c r="AD99" s="637" t="s">
        <v>680</v>
      </c>
      <c r="AE99" s="653">
        <v>43109</v>
      </c>
      <c r="AF99" s="653">
        <v>43259</v>
      </c>
      <c r="AG99" s="637" t="s">
        <v>1237</v>
      </c>
      <c r="AH99" s="637" t="s">
        <v>669</v>
      </c>
    </row>
    <row r="100" spans="1:34" ht="117" customHeight="1" x14ac:dyDescent="0.25">
      <c r="A100" s="842"/>
      <c r="B100" s="632" t="s">
        <v>494</v>
      </c>
      <c r="C100" s="633">
        <v>80101706</v>
      </c>
      <c r="D100" s="634" t="s">
        <v>495</v>
      </c>
      <c r="E100" s="632" t="s">
        <v>48</v>
      </c>
      <c r="F100" s="632">
        <v>1</v>
      </c>
      <c r="G100" s="844" t="s">
        <v>73</v>
      </c>
      <c r="H100" s="845">
        <v>5</v>
      </c>
      <c r="I100" s="632" t="s">
        <v>61</v>
      </c>
      <c r="J100" s="632" t="s">
        <v>66</v>
      </c>
      <c r="K100" s="632" t="s">
        <v>589</v>
      </c>
      <c r="L100" s="635">
        <v>6510000</v>
      </c>
      <c r="M100" s="636">
        <v>6510000</v>
      </c>
      <c r="N100" s="632" t="s">
        <v>51</v>
      </c>
      <c r="O100" s="632" t="s">
        <v>36</v>
      </c>
      <c r="P100" s="632" t="s">
        <v>493</v>
      </c>
      <c r="Q100" s="649"/>
      <c r="R100" s="637" t="s">
        <v>708</v>
      </c>
      <c r="S100" s="637" t="s">
        <v>709</v>
      </c>
      <c r="T100" s="653">
        <v>43109</v>
      </c>
      <c r="U100" s="637" t="s">
        <v>710</v>
      </c>
      <c r="V100" s="637" t="s">
        <v>659</v>
      </c>
      <c r="W100" s="654"/>
      <c r="X100" s="654">
        <v>6510000</v>
      </c>
      <c r="Y100" s="654">
        <v>6510000</v>
      </c>
      <c r="Z100" s="654">
        <v>6510000</v>
      </c>
      <c r="AA100" s="654">
        <f>Z100-Y100</f>
        <v>0</v>
      </c>
      <c r="AB100" s="637" t="s">
        <v>711</v>
      </c>
      <c r="AC100" s="637" t="s">
        <v>1261</v>
      </c>
      <c r="AD100" s="637" t="s">
        <v>680</v>
      </c>
      <c r="AE100" s="653">
        <v>43109</v>
      </c>
      <c r="AF100" s="653">
        <v>43259</v>
      </c>
      <c r="AG100" s="637" t="s">
        <v>1237</v>
      </c>
      <c r="AH100" s="637" t="s">
        <v>669</v>
      </c>
    </row>
    <row r="101" spans="1:34" ht="95.1" customHeight="1" x14ac:dyDescent="0.25">
      <c r="A101" s="638">
        <f>SUM(A99+1)</f>
        <v>67</v>
      </c>
      <c r="B101" s="632" t="s">
        <v>496</v>
      </c>
      <c r="C101" s="633">
        <v>80101706</v>
      </c>
      <c r="D101" s="634" t="s">
        <v>497</v>
      </c>
      <c r="E101" s="632" t="s">
        <v>48</v>
      </c>
      <c r="F101" s="632">
        <v>1</v>
      </c>
      <c r="G101" s="844" t="s">
        <v>73</v>
      </c>
      <c r="H101" s="845">
        <v>5</v>
      </c>
      <c r="I101" s="632" t="s">
        <v>61</v>
      </c>
      <c r="J101" s="632" t="s">
        <v>66</v>
      </c>
      <c r="K101" s="632" t="s">
        <v>464</v>
      </c>
      <c r="L101" s="635">
        <v>19475000</v>
      </c>
      <c r="M101" s="636">
        <v>19475000</v>
      </c>
      <c r="N101" s="632" t="s">
        <v>51</v>
      </c>
      <c r="O101" s="632" t="s">
        <v>36</v>
      </c>
      <c r="P101" s="632" t="s">
        <v>493</v>
      </c>
      <c r="Q101" s="649"/>
      <c r="R101" s="637" t="s">
        <v>712</v>
      </c>
      <c r="S101" s="637" t="s">
        <v>713</v>
      </c>
      <c r="T101" s="653">
        <v>43109</v>
      </c>
      <c r="U101" s="637" t="s">
        <v>714</v>
      </c>
      <c r="V101" s="637" t="s">
        <v>659</v>
      </c>
      <c r="W101" s="654">
        <v>19475000</v>
      </c>
      <c r="X101" s="654">
        <v>3895000</v>
      </c>
      <c r="Y101" s="654">
        <f>W101+X101</f>
        <v>23370000</v>
      </c>
      <c r="Z101" s="654">
        <f t="shared" si="7"/>
        <v>23370000</v>
      </c>
      <c r="AA101" s="654"/>
      <c r="AB101" s="637" t="s">
        <v>715</v>
      </c>
      <c r="AC101" s="637" t="s">
        <v>1262</v>
      </c>
      <c r="AD101" s="637" t="s">
        <v>680</v>
      </c>
      <c r="AE101" s="653">
        <v>43112</v>
      </c>
      <c r="AF101" s="653">
        <v>43262</v>
      </c>
      <c r="AG101" s="637" t="s">
        <v>716</v>
      </c>
      <c r="AH101" s="637" t="s">
        <v>669</v>
      </c>
    </row>
    <row r="102" spans="1:34" ht="156" customHeight="1" x14ac:dyDescent="0.25">
      <c r="A102" s="638">
        <f t="shared" si="6"/>
        <v>68</v>
      </c>
      <c r="B102" s="632" t="s">
        <v>498</v>
      </c>
      <c r="C102" s="633">
        <v>80101706</v>
      </c>
      <c r="D102" s="634" t="s">
        <v>499</v>
      </c>
      <c r="E102" s="632" t="s">
        <v>48</v>
      </c>
      <c r="F102" s="632">
        <v>1</v>
      </c>
      <c r="G102" s="844" t="s">
        <v>73</v>
      </c>
      <c r="H102" s="845">
        <v>5</v>
      </c>
      <c r="I102" s="632" t="s">
        <v>61</v>
      </c>
      <c r="J102" s="632" t="s">
        <v>66</v>
      </c>
      <c r="K102" s="632" t="s">
        <v>464</v>
      </c>
      <c r="L102" s="635">
        <v>42500000</v>
      </c>
      <c r="M102" s="636">
        <v>42500000</v>
      </c>
      <c r="N102" s="632" t="s">
        <v>51</v>
      </c>
      <c r="O102" s="632" t="s">
        <v>36</v>
      </c>
      <c r="P102" s="632" t="s">
        <v>493</v>
      </c>
      <c r="Q102" s="649"/>
      <c r="R102" s="637" t="s">
        <v>717</v>
      </c>
      <c r="S102" s="637" t="s">
        <v>236</v>
      </c>
      <c r="T102" s="653">
        <v>43109</v>
      </c>
      <c r="U102" s="637" t="s">
        <v>718</v>
      </c>
      <c r="V102" s="637" t="s">
        <v>659</v>
      </c>
      <c r="W102" s="654">
        <v>42500000</v>
      </c>
      <c r="X102" s="654">
        <v>-37966667</v>
      </c>
      <c r="Y102" s="654">
        <f>W102+X102</f>
        <v>4533333</v>
      </c>
      <c r="Z102" s="654">
        <f t="shared" si="7"/>
        <v>4533333</v>
      </c>
      <c r="AA102" s="654"/>
      <c r="AB102" s="637" t="s">
        <v>719</v>
      </c>
      <c r="AC102" s="637" t="s">
        <v>1263</v>
      </c>
      <c r="AD102" s="637" t="s">
        <v>680</v>
      </c>
      <c r="AE102" s="653">
        <v>43109</v>
      </c>
      <c r="AF102" s="653">
        <v>43259</v>
      </c>
      <c r="AG102" s="637" t="s">
        <v>686</v>
      </c>
      <c r="AH102" s="637" t="s">
        <v>669</v>
      </c>
    </row>
    <row r="103" spans="1:34" ht="156" customHeight="1" x14ac:dyDescent="0.25">
      <c r="A103" s="638">
        <f t="shared" si="6"/>
        <v>69</v>
      </c>
      <c r="B103" s="632" t="s">
        <v>299</v>
      </c>
      <c r="C103" s="633">
        <v>80101706</v>
      </c>
      <c r="D103" s="634" t="s">
        <v>500</v>
      </c>
      <c r="E103" s="632" t="s">
        <v>48</v>
      </c>
      <c r="F103" s="632">
        <v>1</v>
      </c>
      <c r="G103" s="844" t="s">
        <v>73</v>
      </c>
      <c r="H103" s="845">
        <v>5</v>
      </c>
      <c r="I103" s="632" t="s">
        <v>61</v>
      </c>
      <c r="J103" s="632" t="s">
        <v>66</v>
      </c>
      <c r="K103" s="632" t="s">
        <v>464</v>
      </c>
      <c r="L103" s="635">
        <v>45000000</v>
      </c>
      <c r="M103" s="636">
        <v>45000000</v>
      </c>
      <c r="N103" s="632" t="s">
        <v>51</v>
      </c>
      <c r="O103" s="632" t="s">
        <v>36</v>
      </c>
      <c r="P103" s="632" t="s">
        <v>493</v>
      </c>
      <c r="Q103" s="649"/>
      <c r="R103" s="637" t="s">
        <v>720</v>
      </c>
      <c r="S103" s="637" t="s">
        <v>721</v>
      </c>
      <c r="T103" s="653">
        <v>43109</v>
      </c>
      <c r="U103" s="637" t="s">
        <v>722</v>
      </c>
      <c r="V103" s="637" t="s">
        <v>659</v>
      </c>
      <c r="W103" s="654">
        <v>45000000</v>
      </c>
      <c r="X103" s="654">
        <v>9000000</v>
      </c>
      <c r="Y103" s="654">
        <f>W103+X103</f>
        <v>54000000</v>
      </c>
      <c r="Z103" s="654">
        <f t="shared" si="7"/>
        <v>54000000</v>
      </c>
      <c r="AA103" s="654"/>
      <c r="AB103" s="637" t="s">
        <v>723</v>
      </c>
      <c r="AC103" s="637" t="s">
        <v>1264</v>
      </c>
      <c r="AD103" s="637" t="s">
        <v>680</v>
      </c>
      <c r="AE103" s="653">
        <v>43109</v>
      </c>
      <c r="AF103" s="653">
        <v>43259</v>
      </c>
      <c r="AG103" s="637" t="s">
        <v>724</v>
      </c>
      <c r="AH103" s="637" t="s">
        <v>299</v>
      </c>
    </row>
    <row r="104" spans="1:34" ht="175.5" customHeight="1" x14ac:dyDescent="0.25">
      <c r="A104" s="638">
        <f t="shared" si="6"/>
        <v>70</v>
      </c>
      <c r="B104" s="632" t="s">
        <v>299</v>
      </c>
      <c r="C104" s="633">
        <v>80101706</v>
      </c>
      <c r="D104" s="634" t="s">
        <v>500</v>
      </c>
      <c r="E104" s="632" t="s">
        <v>48</v>
      </c>
      <c r="F104" s="632">
        <v>1</v>
      </c>
      <c r="G104" s="844" t="s">
        <v>73</v>
      </c>
      <c r="H104" s="845">
        <v>5</v>
      </c>
      <c r="I104" s="632" t="s">
        <v>61</v>
      </c>
      <c r="J104" s="632" t="s">
        <v>66</v>
      </c>
      <c r="K104" s="632" t="s">
        <v>464</v>
      </c>
      <c r="L104" s="635">
        <v>41500000</v>
      </c>
      <c r="M104" s="636">
        <v>41500000</v>
      </c>
      <c r="N104" s="632" t="s">
        <v>51</v>
      </c>
      <c r="O104" s="632" t="s">
        <v>36</v>
      </c>
      <c r="P104" s="632" t="s">
        <v>493</v>
      </c>
      <c r="Q104" s="649"/>
      <c r="R104" s="637" t="s">
        <v>725</v>
      </c>
      <c r="S104" s="637" t="s">
        <v>726</v>
      </c>
      <c r="T104" s="653">
        <v>43105</v>
      </c>
      <c r="U104" s="637" t="s">
        <v>727</v>
      </c>
      <c r="V104" s="637" t="s">
        <v>659</v>
      </c>
      <c r="W104" s="654">
        <v>41500000</v>
      </c>
      <c r="X104" s="654">
        <v>8300000</v>
      </c>
      <c r="Y104" s="654">
        <f>W104+X104</f>
        <v>49800000</v>
      </c>
      <c r="Z104" s="654">
        <f t="shared" si="7"/>
        <v>49800000</v>
      </c>
      <c r="AA104" s="654"/>
      <c r="AB104" s="637" t="s">
        <v>728</v>
      </c>
      <c r="AC104" s="637" t="s">
        <v>1265</v>
      </c>
      <c r="AD104" s="637" t="s">
        <v>680</v>
      </c>
      <c r="AE104" s="653">
        <v>43105</v>
      </c>
      <c r="AF104" s="653">
        <v>43255</v>
      </c>
      <c r="AG104" s="637" t="s">
        <v>724</v>
      </c>
      <c r="AH104" s="637" t="s">
        <v>299</v>
      </c>
    </row>
    <row r="105" spans="1:34" ht="156" customHeight="1" x14ac:dyDescent="0.25">
      <c r="A105" s="638">
        <f t="shared" si="6"/>
        <v>71</v>
      </c>
      <c r="B105" s="632" t="s">
        <v>498</v>
      </c>
      <c r="C105" s="633">
        <v>80101706</v>
      </c>
      <c r="D105" s="634" t="s">
        <v>499</v>
      </c>
      <c r="E105" s="632" t="s">
        <v>48</v>
      </c>
      <c r="F105" s="632">
        <v>1</v>
      </c>
      <c r="G105" s="844" t="s">
        <v>73</v>
      </c>
      <c r="H105" s="845">
        <v>5</v>
      </c>
      <c r="I105" s="632" t="s">
        <v>61</v>
      </c>
      <c r="J105" s="632" t="s">
        <v>66</v>
      </c>
      <c r="K105" s="632" t="s">
        <v>484</v>
      </c>
      <c r="L105" s="635">
        <v>15165000</v>
      </c>
      <c r="M105" s="636">
        <v>15165000</v>
      </c>
      <c r="N105" s="632" t="s">
        <v>51</v>
      </c>
      <c r="O105" s="632" t="s">
        <v>36</v>
      </c>
      <c r="P105" s="632" t="s">
        <v>493</v>
      </c>
      <c r="Q105" s="649"/>
      <c r="R105" s="637" t="s">
        <v>729</v>
      </c>
      <c r="S105" s="637" t="s">
        <v>1236</v>
      </c>
      <c r="T105" s="653">
        <v>43109</v>
      </c>
      <c r="U105" s="637" t="s">
        <v>730</v>
      </c>
      <c r="V105" s="637" t="s">
        <v>659</v>
      </c>
      <c r="W105" s="654">
        <v>15165000</v>
      </c>
      <c r="X105" s="654">
        <v>-13547400</v>
      </c>
      <c r="Y105" s="654">
        <v>1617600</v>
      </c>
      <c r="Z105" s="654">
        <f t="shared" si="7"/>
        <v>1617600</v>
      </c>
      <c r="AA105" s="654"/>
      <c r="AB105" s="637" t="s">
        <v>731</v>
      </c>
      <c r="AC105" s="637" t="s">
        <v>1266</v>
      </c>
      <c r="AD105" s="637" t="s">
        <v>680</v>
      </c>
      <c r="AE105" s="653">
        <v>43110</v>
      </c>
      <c r="AF105" s="653">
        <v>43260</v>
      </c>
      <c r="AG105" s="637" t="s">
        <v>236</v>
      </c>
      <c r="AH105" s="637" t="s">
        <v>669</v>
      </c>
    </row>
    <row r="106" spans="1:34" ht="156" customHeight="1" x14ac:dyDescent="0.25">
      <c r="A106" s="846">
        <f t="shared" si="6"/>
        <v>72</v>
      </c>
      <c r="B106" s="632" t="s">
        <v>498</v>
      </c>
      <c r="C106" s="633">
        <v>80101706</v>
      </c>
      <c r="D106" s="634" t="s">
        <v>499</v>
      </c>
      <c r="E106" s="632" t="s">
        <v>48</v>
      </c>
      <c r="F106" s="632">
        <v>1</v>
      </c>
      <c r="G106" s="844" t="s">
        <v>73</v>
      </c>
      <c r="H106" s="845">
        <v>5</v>
      </c>
      <c r="I106" s="632" t="s">
        <v>61</v>
      </c>
      <c r="J106" s="632" t="s">
        <v>66</v>
      </c>
      <c r="K106" s="632" t="s">
        <v>484</v>
      </c>
      <c r="L106" s="635">
        <v>30000000</v>
      </c>
      <c r="M106" s="636">
        <v>30000000</v>
      </c>
      <c r="N106" s="632" t="s">
        <v>51</v>
      </c>
      <c r="O106" s="632" t="s">
        <v>36</v>
      </c>
      <c r="P106" s="632" t="s">
        <v>493</v>
      </c>
      <c r="Q106" s="649"/>
      <c r="R106" s="897" t="s">
        <v>732</v>
      </c>
      <c r="S106" s="637" t="s">
        <v>733</v>
      </c>
      <c r="T106" s="653">
        <v>43109</v>
      </c>
      <c r="U106" s="637" t="s">
        <v>734</v>
      </c>
      <c r="V106" s="637" t="s">
        <v>659</v>
      </c>
      <c r="W106" s="654">
        <v>30000000</v>
      </c>
      <c r="X106" s="654"/>
      <c r="Y106" s="654">
        <f>W106+X106</f>
        <v>30000000</v>
      </c>
      <c r="Z106" s="654">
        <f t="shared" si="7"/>
        <v>30000000</v>
      </c>
      <c r="AA106" s="654"/>
      <c r="AB106" s="637" t="s">
        <v>735</v>
      </c>
      <c r="AC106" s="637" t="s">
        <v>1267</v>
      </c>
      <c r="AD106" s="637" t="s">
        <v>680</v>
      </c>
      <c r="AE106" s="653">
        <v>43110</v>
      </c>
      <c r="AF106" s="653">
        <v>43260</v>
      </c>
      <c r="AG106" s="637" t="s">
        <v>236</v>
      </c>
      <c r="AH106" s="637" t="s">
        <v>669</v>
      </c>
    </row>
    <row r="107" spans="1:34" ht="156" customHeight="1" x14ac:dyDescent="0.25">
      <c r="A107" s="842"/>
      <c r="B107" s="632" t="s">
        <v>498</v>
      </c>
      <c r="C107" s="633">
        <v>80101706</v>
      </c>
      <c r="D107" s="634" t="s">
        <v>499</v>
      </c>
      <c r="E107" s="632" t="s">
        <v>48</v>
      </c>
      <c r="F107" s="632">
        <v>1</v>
      </c>
      <c r="G107" s="844" t="s">
        <v>73</v>
      </c>
      <c r="H107" s="845">
        <v>5</v>
      </c>
      <c r="I107" s="632" t="s">
        <v>61</v>
      </c>
      <c r="J107" s="632" t="s">
        <v>66</v>
      </c>
      <c r="K107" s="632" t="s">
        <v>598</v>
      </c>
      <c r="L107" s="635">
        <v>6000000</v>
      </c>
      <c r="M107" s="636">
        <v>6000000</v>
      </c>
      <c r="N107" s="632" t="s">
        <v>51</v>
      </c>
      <c r="O107" s="632" t="s">
        <v>36</v>
      </c>
      <c r="P107" s="632" t="s">
        <v>493</v>
      </c>
      <c r="Q107" s="649"/>
      <c r="R107" s="897" t="s">
        <v>732</v>
      </c>
      <c r="S107" s="637" t="s">
        <v>733</v>
      </c>
      <c r="T107" s="653">
        <v>43109</v>
      </c>
      <c r="U107" s="637" t="s">
        <v>734</v>
      </c>
      <c r="V107" s="637" t="s">
        <v>659</v>
      </c>
      <c r="W107" s="654">
        <v>0</v>
      </c>
      <c r="X107" s="654">
        <v>6000000</v>
      </c>
      <c r="Y107" s="654">
        <v>6000000</v>
      </c>
      <c r="Z107" s="654">
        <v>6000000</v>
      </c>
      <c r="AA107" s="654"/>
      <c r="AB107" s="637" t="s">
        <v>735</v>
      </c>
      <c r="AC107" s="637" t="s">
        <v>1267</v>
      </c>
      <c r="AD107" s="637" t="s">
        <v>680</v>
      </c>
      <c r="AE107" s="653">
        <v>43110</v>
      </c>
      <c r="AF107" s="653">
        <v>43260</v>
      </c>
      <c r="AG107" s="637" t="s">
        <v>236</v>
      </c>
      <c r="AH107" s="637" t="s">
        <v>669</v>
      </c>
    </row>
    <row r="108" spans="1:34" ht="195" customHeight="1" x14ac:dyDescent="0.25">
      <c r="A108" s="638">
        <f>SUM(A106+1)</f>
        <v>73</v>
      </c>
      <c r="B108" s="632" t="s">
        <v>498</v>
      </c>
      <c r="C108" s="633">
        <v>80101706</v>
      </c>
      <c r="D108" s="634" t="s">
        <v>499</v>
      </c>
      <c r="E108" s="632" t="s">
        <v>48</v>
      </c>
      <c r="F108" s="632">
        <v>1</v>
      </c>
      <c r="G108" s="844" t="s">
        <v>73</v>
      </c>
      <c r="H108" s="845">
        <v>5</v>
      </c>
      <c r="I108" s="632" t="s">
        <v>61</v>
      </c>
      <c r="J108" s="632" t="s">
        <v>66</v>
      </c>
      <c r="K108" s="632" t="s">
        <v>484</v>
      </c>
      <c r="L108" s="635">
        <v>19475000</v>
      </c>
      <c r="M108" s="636">
        <v>19475000</v>
      </c>
      <c r="N108" s="632" t="s">
        <v>51</v>
      </c>
      <c r="O108" s="632" t="s">
        <v>36</v>
      </c>
      <c r="P108" s="632" t="s">
        <v>493</v>
      </c>
      <c r="Q108" s="649"/>
      <c r="R108" s="637" t="s">
        <v>736</v>
      </c>
      <c r="S108" s="637" t="s">
        <v>737</v>
      </c>
      <c r="T108" s="653">
        <v>43109</v>
      </c>
      <c r="U108" s="637" t="s">
        <v>738</v>
      </c>
      <c r="V108" s="637" t="s">
        <v>659</v>
      </c>
      <c r="W108" s="654">
        <v>19475000</v>
      </c>
      <c r="X108" s="654">
        <v>0</v>
      </c>
      <c r="Y108" s="654">
        <v>19475000</v>
      </c>
      <c r="Z108" s="654">
        <v>19475000</v>
      </c>
      <c r="AA108" s="654"/>
      <c r="AB108" s="637" t="s">
        <v>685</v>
      </c>
      <c r="AC108" s="637" t="s">
        <v>1268</v>
      </c>
      <c r="AD108" s="637" t="s">
        <v>680</v>
      </c>
      <c r="AE108" s="653">
        <v>43115</v>
      </c>
      <c r="AF108" s="653">
        <v>43265</v>
      </c>
      <c r="AG108" s="637" t="s">
        <v>1237</v>
      </c>
      <c r="AH108" s="637" t="s">
        <v>669</v>
      </c>
    </row>
    <row r="109" spans="1:34" ht="113.25" customHeight="1" x14ac:dyDescent="0.25">
      <c r="A109" s="846">
        <f t="shared" si="6"/>
        <v>74</v>
      </c>
      <c r="B109" s="632" t="s">
        <v>284</v>
      </c>
      <c r="C109" s="633">
        <v>80101706</v>
      </c>
      <c r="D109" s="634" t="s">
        <v>503</v>
      </c>
      <c r="E109" s="632" t="s">
        <v>48</v>
      </c>
      <c r="F109" s="632">
        <v>1</v>
      </c>
      <c r="G109" s="844" t="s">
        <v>73</v>
      </c>
      <c r="H109" s="845">
        <v>5</v>
      </c>
      <c r="I109" s="632" t="s">
        <v>61</v>
      </c>
      <c r="J109" s="632" t="s">
        <v>66</v>
      </c>
      <c r="K109" s="632" t="s">
        <v>464</v>
      </c>
      <c r="L109" s="635">
        <v>12500000</v>
      </c>
      <c r="M109" s="636">
        <v>12500000</v>
      </c>
      <c r="N109" s="632" t="s">
        <v>51</v>
      </c>
      <c r="O109" s="632" t="s">
        <v>36</v>
      </c>
      <c r="P109" s="632" t="s">
        <v>504</v>
      </c>
      <c r="Q109" s="649"/>
      <c r="R109" s="897" t="s">
        <v>739</v>
      </c>
      <c r="S109" s="897" t="s">
        <v>233</v>
      </c>
      <c r="T109" s="653">
        <v>43105</v>
      </c>
      <c r="U109" s="637" t="s">
        <v>740</v>
      </c>
      <c r="V109" s="637" t="s">
        <v>659</v>
      </c>
      <c r="W109" s="654">
        <v>15000000</v>
      </c>
      <c r="X109" s="654"/>
      <c r="Y109" s="654">
        <f t="shared" ref="Y109:Y114" si="8">SUM(W109+X109)</f>
        <v>15000000</v>
      </c>
      <c r="Z109" s="654">
        <f>Y109</f>
        <v>15000000</v>
      </c>
      <c r="AA109" s="654"/>
      <c r="AB109" s="637" t="s">
        <v>741</v>
      </c>
      <c r="AC109" s="637">
        <v>1918</v>
      </c>
      <c r="AD109" s="637" t="s">
        <v>680</v>
      </c>
      <c r="AE109" s="653">
        <v>43105</v>
      </c>
      <c r="AF109" s="653">
        <v>43255</v>
      </c>
      <c r="AG109" s="637" t="s">
        <v>742</v>
      </c>
      <c r="AH109" s="637" t="s">
        <v>743</v>
      </c>
    </row>
    <row r="110" spans="1:34" ht="111" customHeight="1" x14ac:dyDescent="0.25">
      <c r="A110" s="842"/>
      <c r="B110" s="632" t="s">
        <v>284</v>
      </c>
      <c r="C110" s="633">
        <v>80101706</v>
      </c>
      <c r="D110" s="634" t="s">
        <v>503</v>
      </c>
      <c r="E110" s="632" t="s">
        <v>48</v>
      </c>
      <c r="F110" s="632">
        <v>1</v>
      </c>
      <c r="G110" s="844" t="s">
        <v>73</v>
      </c>
      <c r="H110" s="845">
        <v>5</v>
      </c>
      <c r="I110" s="632" t="s">
        <v>61</v>
      </c>
      <c r="J110" s="632" t="s">
        <v>66</v>
      </c>
      <c r="K110" s="632" t="s">
        <v>484</v>
      </c>
      <c r="L110" s="635">
        <v>12500000</v>
      </c>
      <c r="M110" s="636">
        <v>12500000</v>
      </c>
      <c r="N110" s="632" t="s">
        <v>51</v>
      </c>
      <c r="O110" s="632" t="s">
        <v>36</v>
      </c>
      <c r="P110" s="632" t="s">
        <v>504</v>
      </c>
      <c r="Q110" s="649"/>
      <c r="R110" s="897" t="s">
        <v>739</v>
      </c>
      <c r="S110" s="897" t="s">
        <v>233</v>
      </c>
      <c r="T110" s="653">
        <v>43105</v>
      </c>
      <c r="U110" s="637" t="s">
        <v>740</v>
      </c>
      <c r="V110" s="637" t="s">
        <v>659</v>
      </c>
      <c r="W110" s="654">
        <v>15000000</v>
      </c>
      <c r="X110" s="654"/>
      <c r="Y110" s="654">
        <f t="shared" si="8"/>
        <v>15000000</v>
      </c>
      <c r="Z110" s="898">
        <f>W110</f>
        <v>15000000</v>
      </c>
      <c r="AA110" s="898"/>
      <c r="AB110" s="637" t="s">
        <v>741</v>
      </c>
      <c r="AC110" s="637">
        <v>1918</v>
      </c>
      <c r="AD110" s="637" t="s">
        <v>680</v>
      </c>
      <c r="AE110" s="653">
        <v>43105</v>
      </c>
      <c r="AF110" s="653">
        <v>43255</v>
      </c>
      <c r="AG110" s="637" t="s">
        <v>742</v>
      </c>
      <c r="AH110" s="637" t="s">
        <v>743</v>
      </c>
    </row>
    <row r="111" spans="1:34" ht="111" customHeight="1" x14ac:dyDescent="0.25">
      <c r="A111" s="846">
        <f>SUM(A109+1)</f>
        <v>75</v>
      </c>
      <c r="B111" s="632" t="s">
        <v>284</v>
      </c>
      <c r="C111" s="633">
        <v>80101706</v>
      </c>
      <c r="D111" s="634" t="s">
        <v>503</v>
      </c>
      <c r="E111" s="632" t="s">
        <v>48</v>
      </c>
      <c r="F111" s="632">
        <v>1</v>
      </c>
      <c r="G111" s="844" t="s">
        <v>73</v>
      </c>
      <c r="H111" s="845">
        <v>5</v>
      </c>
      <c r="I111" s="632" t="s">
        <v>61</v>
      </c>
      <c r="J111" s="632" t="s">
        <v>66</v>
      </c>
      <c r="K111" s="632" t="s">
        <v>464</v>
      </c>
      <c r="L111" s="635">
        <v>12500000</v>
      </c>
      <c r="M111" s="636">
        <v>12500000</v>
      </c>
      <c r="N111" s="632" t="s">
        <v>51</v>
      </c>
      <c r="O111" s="632" t="s">
        <v>36</v>
      </c>
      <c r="P111" s="632" t="s">
        <v>504</v>
      </c>
      <c r="Q111" s="649"/>
      <c r="R111" s="897" t="s">
        <v>744</v>
      </c>
      <c r="S111" s="884" t="s">
        <v>745</v>
      </c>
      <c r="T111" s="653">
        <v>43105</v>
      </c>
      <c r="U111" s="637" t="s">
        <v>740</v>
      </c>
      <c r="V111" s="637" t="s">
        <v>659</v>
      </c>
      <c r="W111" s="654">
        <v>15000000</v>
      </c>
      <c r="X111" s="654"/>
      <c r="Y111" s="654">
        <f t="shared" si="8"/>
        <v>15000000</v>
      </c>
      <c r="Z111" s="654">
        <f>Y111</f>
        <v>15000000</v>
      </c>
      <c r="AA111" s="654"/>
      <c r="AB111" s="637" t="s">
        <v>741</v>
      </c>
      <c r="AC111" s="637">
        <v>2018</v>
      </c>
      <c r="AD111" s="637" t="s">
        <v>680</v>
      </c>
      <c r="AE111" s="637">
        <v>43105</v>
      </c>
      <c r="AF111" s="637">
        <v>43255</v>
      </c>
      <c r="AG111" s="637" t="s">
        <v>742</v>
      </c>
      <c r="AH111" s="637" t="s">
        <v>743</v>
      </c>
    </row>
    <row r="112" spans="1:34" ht="96" customHeight="1" x14ac:dyDescent="0.25">
      <c r="A112" s="842"/>
      <c r="B112" s="632" t="s">
        <v>284</v>
      </c>
      <c r="C112" s="633">
        <v>80101706</v>
      </c>
      <c r="D112" s="634" t="s">
        <v>503</v>
      </c>
      <c r="E112" s="632" t="s">
        <v>48</v>
      </c>
      <c r="F112" s="632">
        <v>1</v>
      </c>
      <c r="G112" s="844" t="s">
        <v>73</v>
      </c>
      <c r="H112" s="845">
        <v>5</v>
      </c>
      <c r="I112" s="632" t="s">
        <v>61</v>
      </c>
      <c r="J112" s="632" t="s">
        <v>66</v>
      </c>
      <c r="K112" s="632" t="s">
        <v>484</v>
      </c>
      <c r="L112" s="635">
        <v>12500000</v>
      </c>
      <c r="M112" s="636">
        <v>12500000</v>
      </c>
      <c r="N112" s="632" t="s">
        <v>51</v>
      </c>
      <c r="O112" s="632" t="s">
        <v>36</v>
      </c>
      <c r="P112" s="632" t="s">
        <v>504</v>
      </c>
      <c r="Q112" s="649"/>
      <c r="R112" s="897" t="s">
        <v>744</v>
      </c>
      <c r="S112" s="843"/>
      <c r="T112" s="653">
        <v>43105</v>
      </c>
      <c r="U112" s="637" t="s">
        <v>740</v>
      </c>
      <c r="V112" s="637" t="s">
        <v>659</v>
      </c>
      <c r="W112" s="654">
        <v>15000000</v>
      </c>
      <c r="X112" s="654"/>
      <c r="Y112" s="654">
        <f t="shared" si="8"/>
        <v>15000000</v>
      </c>
      <c r="Z112" s="898">
        <f>W112</f>
        <v>15000000</v>
      </c>
      <c r="AA112" s="898"/>
      <c r="AB112" s="637" t="s">
        <v>741</v>
      </c>
      <c r="AC112" s="637">
        <v>2018</v>
      </c>
      <c r="AD112" s="637" t="s">
        <v>680</v>
      </c>
      <c r="AE112" s="637">
        <v>43105</v>
      </c>
      <c r="AF112" s="637">
        <v>43255</v>
      </c>
      <c r="AG112" s="637" t="s">
        <v>742</v>
      </c>
      <c r="AH112" s="637" t="s">
        <v>743</v>
      </c>
    </row>
    <row r="113" spans="1:34" ht="126" customHeight="1" x14ac:dyDescent="0.25">
      <c r="A113" s="846">
        <f>SUM(A111+1)</f>
        <v>76</v>
      </c>
      <c r="B113" s="632" t="s">
        <v>284</v>
      </c>
      <c r="C113" s="633">
        <v>80101706</v>
      </c>
      <c r="D113" s="634" t="s">
        <v>505</v>
      </c>
      <c r="E113" s="632" t="s">
        <v>48</v>
      </c>
      <c r="F113" s="632">
        <v>1</v>
      </c>
      <c r="G113" s="844" t="s">
        <v>73</v>
      </c>
      <c r="H113" s="845">
        <v>5</v>
      </c>
      <c r="I113" s="632" t="s">
        <v>61</v>
      </c>
      <c r="J113" s="632" t="s">
        <v>66</v>
      </c>
      <c r="K113" s="632" t="s">
        <v>464</v>
      </c>
      <c r="L113" s="635">
        <v>4772500</v>
      </c>
      <c r="M113" s="636">
        <v>4772500</v>
      </c>
      <c r="N113" s="632" t="s">
        <v>51</v>
      </c>
      <c r="O113" s="632" t="s">
        <v>36</v>
      </c>
      <c r="P113" s="632" t="s">
        <v>504</v>
      </c>
      <c r="Q113" s="649"/>
      <c r="R113" s="897" t="s">
        <v>746</v>
      </c>
      <c r="S113" s="884" t="s">
        <v>747</v>
      </c>
      <c r="T113" s="653">
        <v>43109</v>
      </c>
      <c r="U113" s="637" t="s">
        <v>748</v>
      </c>
      <c r="V113" s="637" t="s">
        <v>659</v>
      </c>
      <c r="W113" s="654">
        <v>5727000</v>
      </c>
      <c r="X113" s="654"/>
      <c r="Y113" s="654">
        <v>5727000</v>
      </c>
      <c r="Z113" s="654">
        <f>Y113</f>
        <v>5727000</v>
      </c>
      <c r="AA113" s="654"/>
      <c r="AB113" s="637" t="s">
        <v>749</v>
      </c>
      <c r="AC113" s="637">
        <v>2118</v>
      </c>
      <c r="AD113" s="637" t="s">
        <v>680</v>
      </c>
      <c r="AE113" s="637">
        <v>43110</v>
      </c>
      <c r="AF113" s="637">
        <v>43260</v>
      </c>
      <c r="AG113" s="637" t="s">
        <v>742</v>
      </c>
      <c r="AH113" s="637" t="s">
        <v>743</v>
      </c>
    </row>
    <row r="114" spans="1:34" ht="138.75" customHeight="1" x14ac:dyDescent="0.25">
      <c r="A114" s="842"/>
      <c r="B114" s="632" t="s">
        <v>284</v>
      </c>
      <c r="C114" s="633">
        <v>80101706</v>
      </c>
      <c r="D114" s="634" t="s">
        <v>505</v>
      </c>
      <c r="E114" s="632" t="s">
        <v>48</v>
      </c>
      <c r="F114" s="632">
        <v>1</v>
      </c>
      <c r="G114" s="844" t="s">
        <v>73</v>
      </c>
      <c r="H114" s="845">
        <v>5</v>
      </c>
      <c r="I114" s="632" t="s">
        <v>61</v>
      </c>
      <c r="J114" s="632" t="s">
        <v>66</v>
      </c>
      <c r="K114" s="632" t="s">
        <v>484</v>
      </c>
      <c r="L114" s="635">
        <v>4772500</v>
      </c>
      <c r="M114" s="636">
        <v>4772500</v>
      </c>
      <c r="N114" s="632" t="s">
        <v>51</v>
      </c>
      <c r="O114" s="632" t="s">
        <v>36</v>
      </c>
      <c r="P114" s="632" t="s">
        <v>504</v>
      </c>
      <c r="Q114" s="649"/>
      <c r="R114" s="897" t="s">
        <v>746</v>
      </c>
      <c r="S114" s="843"/>
      <c r="T114" s="653">
        <v>43109</v>
      </c>
      <c r="U114" s="637" t="s">
        <v>748</v>
      </c>
      <c r="V114" s="637" t="s">
        <v>659</v>
      </c>
      <c r="W114" s="654">
        <v>5727000</v>
      </c>
      <c r="X114" s="654"/>
      <c r="Y114" s="654">
        <f t="shared" si="8"/>
        <v>5727000</v>
      </c>
      <c r="Z114" s="654">
        <v>5727000</v>
      </c>
      <c r="AA114" s="654"/>
      <c r="AB114" s="637" t="s">
        <v>749</v>
      </c>
      <c r="AC114" s="637">
        <v>2118</v>
      </c>
      <c r="AD114" s="637" t="s">
        <v>680</v>
      </c>
      <c r="AE114" s="637">
        <v>43110</v>
      </c>
      <c r="AF114" s="637">
        <v>43260</v>
      </c>
      <c r="AG114" s="637" t="s">
        <v>742</v>
      </c>
      <c r="AH114" s="637" t="s">
        <v>743</v>
      </c>
    </row>
    <row r="115" spans="1:34" ht="116.25" customHeight="1" x14ac:dyDescent="0.25">
      <c r="A115" s="846">
        <v>77</v>
      </c>
      <c r="B115" s="632" t="s">
        <v>234</v>
      </c>
      <c r="C115" s="633">
        <v>80101706</v>
      </c>
      <c r="D115" s="634" t="s">
        <v>532</v>
      </c>
      <c r="E115" s="632" t="s">
        <v>48</v>
      </c>
      <c r="F115" s="632">
        <v>1</v>
      </c>
      <c r="G115" s="844" t="s">
        <v>73</v>
      </c>
      <c r="H115" s="845">
        <v>5</v>
      </c>
      <c r="I115" s="632" t="s">
        <v>61</v>
      </c>
      <c r="J115" s="632" t="s">
        <v>66</v>
      </c>
      <c r="K115" s="632" t="s">
        <v>484</v>
      </c>
      <c r="L115" s="635">
        <v>28500000</v>
      </c>
      <c r="M115" s="636">
        <v>28500000</v>
      </c>
      <c r="N115" s="632" t="s">
        <v>51</v>
      </c>
      <c r="O115" s="632" t="s">
        <v>36</v>
      </c>
      <c r="P115" s="632" t="s">
        <v>490</v>
      </c>
      <c r="Q115" s="649"/>
      <c r="R115" s="897" t="s">
        <v>750</v>
      </c>
      <c r="S115" s="637" t="s">
        <v>751</v>
      </c>
      <c r="T115" s="653">
        <v>43109</v>
      </c>
      <c r="U115" s="637" t="s">
        <v>752</v>
      </c>
      <c r="V115" s="637" t="s">
        <v>659</v>
      </c>
      <c r="W115" s="654">
        <v>28500000</v>
      </c>
      <c r="X115" s="654"/>
      <c r="Y115" s="654">
        <f>W115+X115</f>
        <v>28500000</v>
      </c>
      <c r="Z115" s="654">
        <f>Y115</f>
        <v>28500000</v>
      </c>
      <c r="AA115" s="654"/>
      <c r="AB115" s="637" t="s">
        <v>753</v>
      </c>
      <c r="AC115" s="637" t="s">
        <v>1269</v>
      </c>
      <c r="AD115" s="637" t="s">
        <v>680</v>
      </c>
      <c r="AE115" s="653">
        <v>43116</v>
      </c>
      <c r="AF115" s="653">
        <v>43266</v>
      </c>
      <c r="AG115" s="637" t="s">
        <v>690</v>
      </c>
      <c r="AH115" s="637" t="s">
        <v>234</v>
      </c>
    </row>
    <row r="116" spans="1:34" ht="116.25" customHeight="1" x14ac:dyDescent="0.25">
      <c r="A116" s="842"/>
      <c r="B116" s="632" t="s">
        <v>234</v>
      </c>
      <c r="C116" s="633">
        <v>80101706</v>
      </c>
      <c r="D116" s="634" t="s">
        <v>532</v>
      </c>
      <c r="E116" s="632" t="s">
        <v>48</v>
      </c>
      <c r="F116" s="632">
        <v>1</v>
      </c>
      <c r="G116" s="844" t="s">
        <v>73</v>
      </c>
      <c r="H116" s="845">
        <v>5</v>
      </c>
      <c r="I116" s="632" t="s">
        <v>61</v>
      </c>
      <c r="J116" s="632" t="s">
        <v>66</v>
      </c>
      <c r="K116" s="632" t="s">
        <v>598</v>
      </c>
      <c r="L116" s="635">
        <v>5700000</v>
      </c>
      <c r="M116" s="636">
        <v>5700000</v>
      </c>
      <c r="N116" s="632" t="s">
        <v>51</v>
      </c>
      <c r="O116" s="632" t="s">
        <v>36</v>
      </c>
      <c r="P116" s="632" t="s">
        <v>490</v>
      </c>
      <c r="Q116" s="649"/>
      <c r="R116" s="637" t="s">
        <v>750</v>
      </c>
      <c r="S116" s="637" t="s">
        <v>751</v>
      </c>
      <c r="T116" s="653">
        <v>43109</v>
      </c>
      <c r="U116" s="637" t="s">
        <v>752</v>
      </c>
      <c r="V116" s="637" t="s">
        <v>659</v>
      </c>
      <c r="W116" s="654"/>
      <c r="X116" s="654">
        <v>5700000</v>
      </c>
      <c r="Y116" s="654">
        <v>5700000</v>
      </c>
      <c r="Z116" s="654">
        <v>5700000</v>
      </c>
      <c r="AA116" s="654"/>
      <c r="AB116" s="637" t="s">
        <v>753</v>
      </c>
      <c r="AC116" s="637" t="s">
        <v>1269</v>
      </c>
      <c r="AD116" s="637" t="s">
        <v>680</v>
      </c>
      <c r="AE116" s="653">
        <v>43116</v>
      </c>
      <c r="AF116" s="653">
        <v>43266</v>
      </c>
      <c r="AG116" s="637" t="s">
        <v>690</v>
      </c>
      <c r="AH116" s="637" t="s">
        <v>234</v>
      </c>
    </row>
    <row r="117" spans="1:34" ht="117" customHeight="1" x14ac:dyDescent="0.25">
      <c r="A117" s="638">
        <f>SUM(A115+1)</f>
        <v>78</v>
      </c>
      <c r="B117" s="632" t="s">
        <v>506</v>
      </c>
      <c r="C117" s="633">
        <v>80101706</v>
      </c>
      <c r="D117" s="634" t="s">
        <v>507</v>
      </c>
      <c r="E117" s="632" t="s">
        <v>48</v>
      </c>
      <c r="F117" s="632">
        <v>1</v>
      </c>
      <c r="G117" s="844" t="s">
        <v>73</v>
      </c>
      <c r="H117" s="845">
        <v>5</v>
      </c>
      <c r="I117" s="632" t="s">
        <v>61</v>
      </c>
      <c r="J117" s="632" t="s">
        <v>66</v>
      </c>
      <c r="K117" s="632" t="s">
        <v>464</v>
      </c>
      <c r="L117" s="635">
        <v>26155000</v>
      </c>
      <c r="M117" s="636">
        <v>26155000</v>
      </c>
      <c r="N117" s="632" t="s">
        <v>51</v>
      </c>
      <c r="O117" s="632" t="s">
        <v>36</v>
      </c>
      <c r="P117" s="632" t="s">
        <v>508</v>
      </c>
      <c r="Q117" s="649"/>
      <c r="R117" s="637" t="s">
        <v>754</v>
      </c>
      <c r="S117" s="637" t="s">
        <v>278</v>
      </c>
      <c r="T117" s="653">
        <v>43109</v>
      </c>
      <c r="U117" s="637" t="s">
        <v>755</v>
      </c>
      <c r="V117" s="637" t="s">
        <v>659</v>
      </c>
      <c r="W117" s="654">
        <v>26155000</v>
      </c>
      <c r="X117" s="654">
        <v>5231000</v>
      </c>
      <c r="Y117" s="654">
        <f>W117+X117</f>
        <v>31386000</v>
      </c>
      <c r="Z117" s="654">
        <f>Y117</f>
        <v>31386000</v>
      </c>
      <c r="AA117" s="654"/>
      <c r="AB117" s="637" t="s">
        <v>756</v>
      </c>
      <c r="AC117" s="637" t="s">
        <v>1270</v>
      </c>
      <c r="AD117" s="637" t="s">
        <v>680</v>
      </c>
      <c r="AE117" s="653">
        <v>43110</v>
      </c>
      <c r="AF117" s="653">
        <v>43260</v>
      </c>
      <c r="AG117" s="637" t="s">
        <v>757</v>
      </c>
      <c r="AH117" s="637" t="s">
        <v>758</v>
      </c>
    </row>
    <row r="118" spans="1:34" ht="136.5" customHeight="1" x14ac:dyDescent="0.25">
      <c r="A118" s="638">
        <f t="shared" ref="A118:A146" si="9">SUM(A117+1)</f>
        <v>79</v>
      </c>
      <c r="B118" s="632" t="s">
        <v>246</v>
      </c>
      <c r="C118" s="633">
        <v>80101706</v>
      </c>
      <c r="D118" s="634" t="s">
        <v>533</v>
      </c>
      <c r="E118" s="632" t="s">
        <v>48</v>
      </c>
      <c r="F118" s="632">
        <v>1</v>
      </c>
      <c r="G118" s="844" t="s">
        <v>73</v>
      </c>
      <c r="H118" s="845">
        <v>8</v>
      </c>
      <c r="I118" s="632" t="s">
        <v>61</v>
      </c>
      <c r="J118" s="632" t="s">
        <v>35</v>
      </c>
      <c r="K118" s="632" t="s">
        <v>430</v>
      </c>
      <c r="L118" s="635">
        <v>14400000</v>
      </c>
      <c r="M118" s="636">
        <v>14400000</v>
      </c>
      <c r="N118" s="632" t="s">
        <v>51</v>
      </c>
      <c r="O118" s="632" t="s">
        <v>36</v>
      </c>
      <c r="P118" s="632" t="s">
        <v>502</v>
      </c>
      <c r="Q118" s="649"/>
      <c r="R118" s="637" t="s">
        <v>759</v>
      </c>
      <c r="S118" s="637" t="s">
        <v>572</v>
      </c>
      <c r="T118" s="653">
        <v>43117</v>
      </c>
      <c r="U118" s="637" t="s">
        <v>760</v>
      </c>
      <c r="V118" s="637" t="s">
        <v>666</v>
      </c>
      <c r="W118" s="654">
        <v>14400000</v>
      </c>
      <c r="X118" s="654">
        <v>5400000</v>
      </c>
      <c r="Y118" s="654">
        <f>SUM(W118+X118)</f>
        <v>19800000</v>
      </c>
      <c r="Z118" s="654">
        <v>19800000</v>
      </c>
      <c r="AA118" s="654"/>
      <c r="AB118" s="637" t="s">
        <v>761</v>
      </c>
      <c r="AC118" s="637" t="s">
        <v>1271</v>
      </c>
      <c r="AD118" s="637" t="s">
        <v>668</v>
      </c>
      <c r="AE118" s="653">
        <v>43118</v>
      </c>
      <c r="AF118" s="653">
        <v>43360</v>
      </c>
      <c r="AG118" s="637" t="s">
        <v>762</v>
      </c>
      <c r="AH118" s="637" t="s">
        <v>246</v>
      </c>
    </row>
    <row r="119" spans="1:34" ht="156" customHeight="1" x14ac:dyDescent="0.25">
      <c r="A119" s="638">
        <f t="shared" si="9"/>
        <v>80</v>
      </c>
      <c r="B119" s="632" t="s">
        <v>170</v>
      </c>
      <c r="C119" s="633">
        <v>80101706</v>
      </c>
      <c r="D119" s="634" t="s">
        <v>515</v>
      </c>
      <c r="E119" s="632" t="s">
        <v>48</v>
      </c>
      <c r="F119" s="632">
        <v>1</v>
      </c>
      <c r="G119" s="844" t="s">
        <v>73</v>
      </c>
      <c r="H119" s="845">
        <v>5</v>
      </c>
      <c r="I119" s="632" t="s">
        <v>61</v>
      </c>
      <c r="J119" s="632" t="s">
        <v>66</v>
      </c>
      <c r="K119" s="632" t="s">
        <v>464</v>
      </c>
      <c r="L119" s="635">
        <v>31500000</v>
      </c>
      <c r="M119" s="636">
        <v>31500000</v>
      </c>
      <c r="N119" s="632" t="s">
        <v>51</v>
      </c>
      <c r="O119" s="632" t="s">
        <v>36</v>
      </c>
      <c r="P119" s="632" t="s">
        <v>516</v>
      </c>
      <c r="Q119" s="649"/>
      <c r="R119" s="637" t="s">
        <v>763</v>
      </c>
      <c r="S119" s="637" t="s">
        <v>764</v>
      </c>
      <c r="T119" s="653">
        <v>43109</v>
      </c>
      <c r="U119" s="637" t="s">
        <v>765</v>
      </c>
      <c r="V119" s="637" t="s">
        <v>659</v>
      </c>
      <c r="W119" s="654">
        <v>31500000</v>
      </c>
      <c r="X119" s="654">
        <v>0</v>
      </c>
      <c r="Y119" s="654">
        <v>31500000</v>
      </c>
      <c r="Z119" s="654">
        <v>31500000</v>
      </c>
      <c r="AA119" s="654"/>
      <c r="AB119" s="637" t="s">
        <v>766</v>
      </c>
      <c r="AC119" s="637" t="s">
        <v>1272</v>
      </c>
      <c r="AD119" s="637" t="s">
        <v>680</v>
      </c>
      <c r="AE119" s="653">
        <v>43111</v>
      </c>
      <c r="AF119" s="653">
        <v>43261</v>
      </c>
      <c r="AG119" s="637" t="s">
        <v>767</v>
      </c>
      <c r="AH119" s="637" t="s">
        <v>768</v>
      </c>
    </row>
    <row r="120" spans="1:34" ht="93" customHeight="1" x14ac:dyDescent="0.25">
      <c r="A120" s="638">
        <f t="shared" si="9"/>
        <v>81</v>
      </c>
      <c r="B120" s="640" t="s">
        <v>265</v>
      </c>
      <c r="C120" s="641">
        <v>44121505</v>
      </c>
      <c r="D120" s="642" t="s">
        <v>534</v>
      </c>
      <c r="E120" s="640" t="s">
        <v>48</v>
      </c>
      <c r="F120" s="640">
        <v>1</v>
      </c>
      <c r="G120" s="643" t="s">
        <v>166</v>
      </c>
      <c r="H120" s="644" t="s">
        <v>156</v>
      </c>
      <c r="I120" s="640" t="s">
        <v>173</v>
      </c>
      <c r="J120" s="640" t="s">
        <v>35</v>
      </c>
      <c r="K120" s="640" t="s">
        <v>41</v>
      </c>
      <c r="L120" s="645"/>
      <c r="M120" s="646"/>
      <c r="N120" s="640" t="s">
        <v>51</v>
      </c>
      <c r="O120" s="640" t="s">
        <v>36</v>
      </c>
      <c r="P120" s="640" t="s">
        <v>535</v>
      </c>
      <c r="Q120" s="649"/>
      <c r="R120" s="637" t="s">
        <v>148</v>
      </c>
      <c r="S120" s="637" t="s">
        <v>148</v>
      </c>
      <c r="T120" s="653" t="s">
        <v>148</v>
      </c>
      <c r="U120" s="637" t="s">
        <v>148</v>
      </c>
      <c r="V120" s="637" t="s">
        <v>148</v>
      </c>
      <c r="W120" s="654">
        <v>0</v>
      </c>
      <c r="X120" s="654">
        <v>0</v>
      </c>
      <c r="Y120" s="654">
        <v>0</v>
      </c>
      <c r="Z120" s="654">
        <v>0</v>
      </c>
      <c r="AA120" s="654"/>
      <c r="AB120" s="637" t="s">
        <v>148</v>
      </c>
      <c r="AC120" s="637" t="s">
        <v>148</v>
      </c>
      <c r="AD120" s="637" t="s">
        <v>148</v>
      </c>
      <c r="AE120" s="653" t="s">
        <v>148</v>
      </c>
      <c r="AF120" s="653" t="s">
        <v>148</v>
      </c>
      <c r="AG120" s="637" t="s">
        <v>148</v>
      </c>
      <c r="AH120" s="637" t="s">
        <v>148</v>
      </c>
    </row>
    <row r="121" spans="1:34" ht="175.5" customHeight="1" x14ac:dyDescent="0.25">
      <c r="A121" s="638">
        <f t="shared" si="9"/>
        <v>82</v>
      </c>
      <c r="B121" s="632" t="s">
        <v>170</v>
      </c>
      <c r="C121" s="633">
        <v>80101706</v>
      </c>
      <c r="D121" s="634" t="s">
        <v>515</v>
      </c>
      <c r="E121" s="632" t="s">
        <v>48</v>
      </c>
      <c r="F121" s="632">
        <v>1</v>
      </c>
      <c r="G121" s="844" t="s">
        <v>73</v>
      </c>
      <c r="H121" s="845">
        <v>5</v>
      </c>
      <c r="I121" s="632" t="s">
        <v>61</v>
      </c>
      <c r="J121" s="632" t="s">
        <v>66</v>
      </c>
      <c r="K121" s="632" t="s">
        <v>464</v>
      </c>
      <c r="L121" s="635">
        <v>43680000</v>
      </c>
      <c r="M121" s="636">
        <v>43680000</v>
      </c>
      <c r="N121" s="632" t="s">
        <v>51</v>
      </c>
      <c r="O121" s="632" t="s">
        <v>36</v>
      </c>
      <c r="P121" s="632" t="s">
        <v>516</v>
      </c>
      <c r="Q121" s="649"/>
      <c r="R121" s="637" t="s">
        <v>769</v>
      </c>
      <c r="S121" s="637" t="s">
        <v>770</v>
      </c>
      <c r="T121" s="653">
        <v>43109</v>
      </c>
      <c r="U121" s="637" t="s">
        <v>771</v>
      </c>
      <c r="V121" s="637" t="s">
        <v>659</v>
      </c>
      <c r="W121" s="654">
        <v>43680000</v>
      </c>
      <c r="X121" s="654">
        <v>0</v>
      </c>
      <c r="Y121" s="654">
        <v>43680000</v>
      </c>
      <c r="Z121" s="654">
        <v>43680000</v>
      </c>
      <c r="AA121" s="654"/>
      <c r="AB121" s="637" t="s">
        <v>772</v>
      </c>
      <c r="AC121" s="637" t="s">
        <v>1273</v>
      </c>
      <c r="AD121" s="637" t="s">
        <v>680</v>
      </c>
      <c r="AE121" s="653">
        <v>43112</v>
      </c>
      <c r="AF121" s="653">
        <v>43262</v>
      </c>
      <c r="AG121" s="637" t="s">
        <v>767</v>
      </c>
      <c r="AH121" s="637" t="s">
        <v>768</v>
      </c>
    </row>
    <row r="122" spans="1:34" ht="175.5" customHeight="1" x14ac:dyDescent="0.25">
      <c r="A122" s="638">
        <f t="shared" si="9"/>
        <v>83</v>
      </c>
      <c r="B122" s="632" t="s">
        <v>170</v>
      </c>
      <c r="C122" s="633">
        <v>80101706</v>
      </c>
      <c r="D122" s="634" t="s">
        <v>515</v>
      </c>
      <c r="E122" s="632" t="s">
        <v>48</v>
      </c>
      <c r="F122" s="632">
        <v>1</v>
      </c>
      <c r="G122" s="844" t="s">
        <v>73</v>
      </c>
      <c r="H122" s="845">
        <v>5</v>
      </c>
      <c r="I122" s="632" t="s">
        <v>61</v>
      </c>
      <c r="J122" s="632" t="s">
        <v>66</v>
      </c>
      <c r="K122" s="632" t="s">
        <v>464</v>
      </c>
      <c r="L122" s="635">
        <v>40000000</v>
      </c>
      <c r="M122" s="636">
        <v>40000000</v>
      </c>
      <c r="N122" s="632" t="s">
        <v>51</v>
      </c>
      <c r="O122" s="632" t="s">
        <v>36</v>
      </c>
      <c r="P122" s="632" t="s">
        <v>516</v>
      </c>
      <c r="Q122" s="649"/>
      <c r="R122" s="637" t="s">
        <v>773</v>
      </c>
      <c r="S122" s="637" t="s">
        <v>774</v>
      </c>
      <c r="T122" s="653">
        <v>43115</v>
      </c>
      <c r="U122" s="637" t="s">
        <v>775</v>
      </c>
      <c r="V122" s="637" t="s">
        <v>659</v>
      </c>
      <c r="W122" s="654">
        <v>40000000</v>
      </c>
      <c r="X122" s="654">
        <v>0</v>
      </c>
      <c r="Y122" s="654">
        <v>40000000</v>
      </c>
      <c r="Z122" s="654">
        <v>40000000</v>
      </c>
      <c r="AA122" s="654"/>
      <c r="AB122" s="637" t="s">
        <v>776</v>
      </c>
      <c r="AC122" s="637" t="s">
        <v>1274</v>
      </c>
      <c r="AD122" s="637" t="s">
        <v>680</v>
      </c>
      <c r="AE122" s="653">
        <v>43117</v>
      </c>
      <c r="AF122" s="653">
        <v>43267</v>
      </c>
      <c r="AG122" s="637" t="s">
        <v>767</v>
      </c>
      <c r="AH122" s="637" t="s">
        <v>768</v>
      </c>
    </row>
    <row r="123" spans="1:34" ht="156" customHeight="1" x14ac:dyDescent="0.25">
      <c r="A123" s="638">
        <f t="shared" si="9"/>
        <v>84</v>
      </c>
      <c r="B123" s="632" t="s">
        <v>509</v>
      </c>
      <c r="C123" s="633">
        <v>80101706</v>
      </c>
      <c r="D123" s="634" t="s">
        <v>510</v>
      </c>
      <c r="E123" s="632" t="s">
        <v>48</v>
      </c>
      <c r="F123" s="632">
        <v>1</v>
      </c>
      <c r="G123" s="844" t="s">
        <v>73</v>
      </c>
      <c r="H123" s="845">
        <v>5</v>
      </c>
      <c r="I123" s="632" t="s">
        <v>61</v>
      </c>
      <c r="J123" s="632" t="s">
        <v>35</v>
      </c>
      <c r="K123" s="632" t="s">
        <v>430</v>
      </c>
      <c r="L123" s="635">
        <v>30000000</v>
      </c>
      <c r="M123" s="636">
        <v>30000000</v>
      </c>
      <c r="N123" s="632" t="s">
        <v>51</v>
      </c>
      <c r="O123" s="632" t="s">
        <v>36</v>
      </c>
      <c r="P123" s="632" t="s">
        <v>466</v>
      </c>
      <c r="Q123" s="649"/>
      <c r="R123" s="637" t="s">
        <v>777</v>
      </c>
      <c r="S123" s="637" t="s">
        <v>778</v>
      </c>
      <c r="T123" s="653">
        <v>43109</v>
      </c>
      <c r="U123" s="637" t="s">
        <v>779</v>
      </c>
      <c r="V123" s="637" t="s">
        <v>659</v>
      </c>
      <c r="W123" s="654">
        <v>30000000</v>
      </c>
      <c r="X123" s="654">
        <v>0</v>
      </c>
      <c r="Y123" s="654">
        <v>30000000</v>
      </c>
      <c r="Z123" s="654">
        <v>30000000</v>
      </c>
      <c r="AA123" s="654"/>
      <c r="AB123" s="637" t="s">
        <v>780</v>
      </c>
      <c r="AC123" s="637" t="s">
        <v>1275</v>
      </c>
      <c r="AD123" s="637" t="s">
        <v>781</v>
      </c>
      <c r="AE123" s="653">
        <v>43109</v>
      </c>
      <c r="AF123" s="653">
        <v>43289</v>
      </c>
      <c r="AG123" s="637" t="s">
        <v>782</v>
      </c>
      <c r="AH123" s="637" t="s">
        <v>783</v>
      </c>
    </row>
    <row r="124" spans="1:34" ht="117" customHeight="1" x14ac:dyDescent="0.25">
      <c r="A124" s="638">
        <f t="shared" si="9"/>
        <v>85</v>
      </c>
      <c r="B124" s="632" t="s">
        <v>262</v>
      </c>
      <c r="C124" s="633">
        <v>80101706</v>
      </c>
      <c r="D124" s="634" t="s">
        <v>511</v>
      </c>
      <c r="E124" s="632" t="s">
        <v>48</v>
      </c>
      <c r="F124" s="632">
        <v>1</v>
      </c>
      <c r="G124" s="844" t="s">
        <v>73</v>
      </c>
      <c r="H124" s="845" t="s">
        <v>202</v>
      </c>
      <c r="I124" s="632" t="s">
        <v>61</v>
      </c>
      <c r="J124" s="632" t="s">
        <v>35</v>
      </c>
      <c r="K124" s="632" t="s">
        <v>430</v>
      </c>
      <c r="L124" s="635">
        <v>32320200</v>
      </c>
      <c r="M124" s="636">
        <v>32320200</v>
      </c>
      <c r="N124" s="632" t="s">
        <v>51</v>
      </c>
      <c r="O124" s="632" t="s">
        <v>36</v>
      </c>
      <c r="P124" s="632" t="s">
        <v>317</v>
      </c>
      <c r="Q124" s="649"/>
      <c r="R124" s="637" t="s">
        <v>784</v>
      </c>
      <c r="S124" s="637" t="s">
        <v>300</v>
      </c>
      <c r="T124" s="653">
        <v>43109</v>
      </c>
      <c r="U124" s="637" t="s">
        <v>785</v>
      </c>
      <c r="V124" s="637" t="s">
        <v>659</v>
      </c>
      <c r="W124" s="654">
        <v>32320200</v>
      </c>
      <c r="X124" s="654">
        <v>0</v>
      </c>
      <c r="Y124" s="654">
        <v>32320200</v>
      </c>
      <c r="Z124" s="654">
        <v>32320200</v>
      </c>
      <c r="AA124" s="654"/>
      <c r="AB124" s="637" t="s">
        <v>786</v>
      </c>
      <c r="AC124" s="637" t="s">
        <v>1276</v>
      </c>
      <c r="AD124" s="637" t="s">
        <v>781</v>
      </c>
      <c r="AE124" s="653">
        <v>43109</v>
      </c>
      <c r="AF124" s="653">
        <v>43289</v>
      </c>
      <c r="AG124" s="637" t="s">
        <v>662</v>
      </c>
      <c r="AH124" s="637" t="s">
        <v>648</v>
      </c>
    </row>
    <row r="125" spans="1:34" ht="117" customHeight="1" x14ac:dyDescent="0.25">
      <c r="A125" s="638">
        <f t="shared" si="9"/>
        <v>86</v>
      </c>
      <c r="B125" s="632" t="s">
        <v>512</v>
      </c>
      <c r="C125" s="633">
        <v>80101706</v>
      </c>
      <c r="D125" s="634" t="s">
        <v>513</v>
      </c>
      <c r="E125" s="632" t="s">
        <v>48</v>
      </c>
      <c r="F125" s="632">
        <v>1</v>
      </c>
      <c r="G125" s="844" t="s">
        <v>73</v>
      </c>
      <c r="H125" s="845">
        <v>5</v>
      </c>
      <c r="I125" s="632" t="s">
        <v>61</v>
      </c>
      <c r="J125" s="632" t="s">
        <v>66</v>
      </c>
      <c r="K125" s="632" t="s">
        <v>484</v>
      </c>
      <c r="L125" s="635">
        <v>56450000</v>
      </c>
      <c r="M125" s="636">
        <v>56450000</v>
      </c>
      <c r="N125" s="632" t="s">
        <v>51</v>
      </c>
      <c r="O125" s="632" t="s">
        <v>36</v>
      </c>
      <c r="P125" s="632" t="s">
        <v>514</v>
      </c>
      <c r="Q125" s="649"/>
      <c r="R125" s="637" t="s">
        <v>787</v>
      </c>
      <c r="S125" s="637" t="s">
        <v>788</v>
      </c>
      <c r="T125" s="653">
        <v>43109</v>
      </c>
      <c r="U125" s="637" t="s">
        <v>789</v>
      </c>
      <c r="V125" s="637" t="s">
        <v>659</v>
      </c>
      <c r="W125" s="654">
        <v>56450000</v>
      </c>
      <c r="X125" s="654">
        <v>11290000</v>
      </c>
      <c r="Y125" s="654">
        <f>W125+X125</f>
        <v>67740000</v>
      </c>
      <c r="Z125" s="654">
        <f t="shared" ref="Z125:Z133" si="10">Y125</f>
        <v>67740000</v>
      </c>
      <c r="AA125" s="654"/>
      <c r="AB125" s="637" t="s">
        <v>790</v>
      </c>
      <c r="AC125" s="637" t="s">
        <v>1277</v>
      </c>
      <c r="AD125" s="637" t="s">
        <v>680</v>
      </c>
      <c r="AE125" s="653">
        <v>43109</v>
      </c>
      <c r="AF125" s="653">
        <v>43259</v>
      </c>
      <c r="AG125" s="637" t="s">
        <v>791</v>
      </c>
      <c r="AH125" s="637" t="s">
        <v>792</v>
      </c>
    </row>
    <row r="126" spans="1:34" ht="136.5" customHeight="1" x14ac:dyDescent="0.25">
      <c r="A126" s="638">
        <f t="shared" si="9"/>
        <v>87</v>
      </c>
      <c r="B126" s="632" t="s">
        <v>512</v>
      </c>
      <c r="C126" s="633">
        <v>80101706</v>
      </c>
      <c r="D126" s="634" t="s">
        <v>513</v>
      </c>
      <c r="E126" s="632" t="s">
        <v>48</v>
      </c>
      <c r="F126" s="632">
        <v>1</v>
      </c>
      <c r="G126" s="844" t="s">
        <v>73</v>
      </c>
      <c r="H126" s="845">
        <v>5</v>
      </c>
      <c r="I126" s="632" t="s">
        <v>61</v>
      </c>
      <c r="J126" s="632" t="s">
        <v>66</v>
      </c>
      <c r="K126" s="632" t="s">
        <v>484</v>
      </c>
      <c r="L126" s="635">
        <v>25040000</v>
      </c>
      <c r="M126" s="636">
        <v>25040000</v>
      </c>
      <c r="N126" s="632" t="s">
        <v>51</v>
      </c>
      <c r="O126" s="632" t="s">
        <v>36</v>
      </c>
      <c r="P126" s="632" t="s">
        <v>514</v>
      </c>
      <c r="Q126" s="649"/>
      <c r="R126" s="637" t="s">
        <v>793</v>
      </c>
      <c r="S126" s="637" t="s">
        <v>794</v>
      </c>
      <c r="T126" s="653">
        <v>43109</v>
      </c>
      <c r="U126" s="637" t="s">
        <v>795</v>
      </c>
      <c r="V126" s="637" t="s">
        <v>659</v>
      </c>
      <c r="W126" s="654">
        <v>25040000</v>
      </c>
      <c r="X126" s="654">
        <v>5008000</v>
      </c>
      <c r="Y126" s="654">
        <f>W126+X126</f>
        <v>30048000</v>
      </c>
      <c r="Z126" s="654">
        <f t="shared" si="10"/>
        <v>30048000</v>
      </c>
      <c r="AA126" s="654"/>
      <c r="AB126" s="637" t="s">
        <v>796</v>
      </c>
      <c r="AC126" s="637" t="s">
        <v>1278</v>
      </c>
      <c r="AD126" s="637" t="s">
        <v>680</v>
      </c>
      <c r="AE126" s="653">
        <v>43110</v>
      </c>
      <c r="AF126" s="653">
        <v>43260</v>
      </c>
      <c r="AG126" s="637" t="s">
        <v>791</v>
      </c>
      <c r="AH126" s="637" t="s">
        <v>792</v>
      </c>
    </row>
    <row r="127" spans="1:34" ht="195" customHeight="1" x14ac:dyDescent="0.25">
      <c r="A127" s="846">
        <f t="shared" si="9"/>
        <v>88</v>
      </c>
      <c r="B127" s="632" t="s">
        <v>512</v>
      </c>
      <c r="C127" s="633">
        <v>80101706</v>
      </c>
      <c r="D127" s="634" t="s">
        <v>513</v>
      </c>
      <c r="E127" s="632" t="s">
        <v>48</v>
      </c>
      <c r="F127" s="632">
        <v>1</v>
      </c>
      <c r="G127" s="844" t="s">
        <v>73</v>
      </c>
      <c r="H127" s="845">
        <v>5</v>
      </c>
      <c r="I127" s="632" t="s">
        <v>61</v>
      </c>
      <c r="J127" s="632" t="s">
        <v>66</v>
      </c>
      <c r="K127" s="632" t="s">
        <v>484</v>
      </c>
      <c r="L127" s="635">
        <v>45000000</v>
      </c>
      <c r="M127" s="636">
        <v>45000000</v>
      </c>
      <c r="N127" s="632" t="s">
        <v>51</v>
      </c>
      <c r="O127" s="632" t="s">
        <v>36</v>
      </c>
      <c r="P127" s="632" t="s">
        <v>514</v>
      </c>
      <c r="Q127" s="649"/>
      <c r="R127" s="897" t="s">
        <v>797</v>
      </c>
      <c r="S127" s="884" t="s">
        <v>798</v>
      </c>
      <c r="T127" s="885">
        <v>43109</v>
      </c>
      <c r="U127" s="884" t="s">
        <v>799</v>
      </c>
      <c r="V127" s="884" t="s">
        <v>659</v>
      </c>
      <c r="W127" s="654">
        <v>45000000</v>
      </c>
      <c r="X127" s="654"/>
      <c r="Y127" s="654">
        <f>W127+X127</f>
        <v>45000000</v>
      </c>
      <c r="Z127" s="654">
        <f t="shared" si="10"/>
        <v>45000000</v>
      </c>
      <c r="AA127" s="886"/>
      <c r="AB127" s="884" t="s">
        <v>800</v>
      </c>
      <c r="AC127" s="637" t="s">
        <v>1279</v>
      </c>
      <c r="AD127" s="884" t="s">
        <v>680</v>
      </c>
      <c r="AE127" s="885">
        <v>43115</v>
      </c>
      <c r="AF127" s="885">
        <v>43265</v>
      </c>
      <c r="AG127" s="885" t="s">
        <v>791</v>
      </c>
      <c r="AH127" s="885" t="s">
        <v>792</v>
      </c>
    </row>
    <row r="128" spans="1:34" ht="195" customHeight="1" x14ac:dyDescent="0.25">
      <c r="A128" s="842"/>
      <c r="B128" s="632" t="s">
        <v>512</v>
      </c>
      <c r="C128" s="633">
        <v>80101706</v>
      </c>
      <c r="D128" s="634" t="s">
        <v>513</v>
      </c>
      <c r="E128" s="632" t="s">
        <v>48</v>
      </c>
      <c r="F128" s="632">
        <v>1</v>
      </c>
      <c r="G128" s="844" t="s">
        <v>73</v>
      </c>
      <c r="H128" s="845">
        <v>5</v>
      </c>
      <c r="I128" s="632" t="s">
        <v>61</v>
      </c>
      <c r="J128" s="632" t="s">
        <v>66</v>
      </c>
      <c r="K128" s="632" t="s">
        <v>598</v>
      </c>
      <c r="L128" s="635">
        <v>9000000</v>
      </c>
      <c r="M128" s="636">
        <v>9000000</v>
      </c>
      <c r="N128" s="632" t="s">
        <v>51</v>
      </c>
      <c r="O128" s="632" t="s">
        <v>36</v>
      </c>
      <c r="P128" s="632" t="s">
        <v>514</v>
      </c>
      <c r="Q128" s="649"/>
      <c r="R128" s="897" t="s">
        <v>797</v>
      </c>
      <c r="S128" s="843"/>
      <c r="T128" s="887"/>
      <c r="U128" s="843"/>
      <c r="V128" s="843"/>
      <c r="W128" s="654"/>
      <c r="X128" s="654">
        <v>9000000</v>
      </c>
      <c r="Y128" s="654">
        <v>9000000</v>
      </c>
      <c r="Z128" s="654">
        <v>9000000</v>
      </c>
      <c r="AA128" s="888"/>
      <c r="AB128" s="843"/>
      <c r="AC128" s="637"/>
      <c r="AD128" s="843"/>
      <c r="AE128" s="887"/>
      <c r="AF128" s="887"/>
      <c r="AG128" s="887"/>
      <c r="AH128" s="887"/>
    </row>
    <row r="129" spans="1:34" ht="136.5" customHeight="1" x14ac:dyDescent="0.25">
      <c r="A129" s="846">
        <f>SUM(A127+1)</f>
        <v>89</v>
      </c>
      <c r="B129" s="632" t="s">
        <v>512</v>
      </c>
      <c r="C129" s="633">
        <v>80101706</v>
      </c>
      <c r="D129" s="634" t="s">
        <v>513</v>
      </c>
      <c r="E129" s="632" t="s">
        <v>48</v>
      </c>
      <c r="F129" s="632">
        <v>1</v>
      </c>
      <c r="G129" s="844" t="s">
        <v>73</v>
      </c>
      <c r="H129" s="845">
        <v>5</v>
      </c>
      <c r="I129" s="632" t="s">
        <v>61</v>
      </c>
      <c r="J129" s="632" t="s">
        <v>66</v>
      </c>
      <c r="K129" s="632" t="s">
        <v>484</v>
      </c>
      <c r="L129" s="635">
        <v>35830000</v>
      </c>
      <c r="M129" s="636">
        <v>35830000</v>
      </c>
      <c r="N129" s="632" t="s">
        <v>51</v>
      </c>
      <c r="O129" s="632" t="s">
        <v>36</v>
      </c>
      <c r="P129" s="632" t="s">
        <v>514</v>
      </c>
      <c r="Q129" s="649"/>
      <c r="R129" s="897" t="s">
        <v>801</v>
      </c>
      <c r="S129" s="884" t="s">
        <v>802</v>
      </c>
      <c r="T129" s="885">
        <v>43109</v>
      </c>
      <c r="U129" s="884" t="s">
        <v>803</v>
      </c>
      <c r="V129" s="884" t="s">
        <v>659</v>
      </c>
      <c r="W129" s="654">
        <v>35830000</v>
      </c>
      <c r="X129" s="654"/>
      <c r="Y129" s="654">
        <f>W129+X129</f>
        <v>35830000</v>
      </c>
      <c r="Z129" s="654">
        <f t="shared" si="10"/>
        <v>35830000</v>
      </c>
      <c r="AA129" s="886"/>
      <c r="AB129" s="884" t="s">
        <v>804</v>
      </c>
      <c r="AC129" s="637" t="s">
        <v>1280</v>
      </c>
      <c r="AD129" s="884" t="s">
        <v>680</v>
      </c>
      <c r="AE129" s="885">
        <v>43110</v>
      </c>
      <c r="AF129" s="885">
        <v>43260</v>
      </c>
      <c r="AG129" s="884" t="s">
        <v>791</v>
      </c>
      <c r="AH129" s="884" t="s">
        <v>792</v>
      </c>
    </row>
    <row r="130" spans="1:34" ht="136.5" customHeight="1" x14ac:dyDescent="0.25">
      <c r="A130" s="842"/>
      <c r="B130" s="632" t="s">
        <v>512</v>
      </c>
      <c r="C130" s="633">
        <v>80101706</v>
      </c>
      <c r="D130" s="634" t="s">
        <v>513</v>
      </c>
      <c r="E130" s="632" t="s">
        <v>48</v>
      </c>
      <c r="F130" s="632">
        <v>1</v>
      </c>
      <c r="G130" s="844" t="s">
        <v>73</v>
      </c>
      <c r="H130" s="845">
        <v>5</v>
      </c>
      <c r="I130" s="632" t="s">
        <v>61</v>
      </c>
      <c r="J130" s="632" t="s">
        <v>66</v>
      </c>
      <c r="K130" s="632" t="s">
        <v>598</v>
      </c>
      <c r="L130" s="635">
        <v>7166000</v>
      </c>
      <c r="M130" s="636">
        <v>7166000</v>
      </c>
      <c r="N130" s="632" t="s">
        <v>51</v>
      </c>
      <c r="O130" s="632" t="s">
        <v>36</v>
      </c>
      <c r="P130" s="632" t="s">
        <v>514</v>
      </c>
      <c r="Q130" s="649"/>
      <c r="R130" s="897" t="s">
        <v>801</v>
      </c>
      <c r="S130" s="843"/>
      <c r="T130" s="887"/>
      <c r="U130" s="843"/>
      <c r="V130" s="843"/>
      <c r="W130" s="654"/>
      <c r="X130" s="654">
        <v>7166000</v>
      </c>
      <c r="Y130" s="654">
        <v>7166000</v>
      </c>
      <c r="Z130" s="654">
        <v>7166000</v>
      </c>
      <c r="AA130" s="888"/>
      <c r="AB130" s="843"/>
      <c r="AC130" s="637"/>
      <c r="AD130" s="843"/>
      <c r="AE130" s="887"/>
      <c r="AF130" s="887"/>
      <c r="AG130" s="843"/>
      <c r="AH130" s="843"/>
    </row>
    <row r="131" spans="1:34" ht="156" customHeight="1" x14ac:dyDescent="0.25">
      <c r="A131" s="846">
        <f>SUM(A129+1)</f>
        <v>90</v>
      </c>
      <c r="B131" s="632" t="s">
        <v>512</v>
      </c>
      <c r="C131" s="633">
        <v>80101706</v>
      </c>
      <c r="D131" s="634" t="s">
        <v>513</v>
      </c>
      <c r="E131" s="632" t="s">
        <v>48</v>
      </c>
      <c r="F131" s="632">
        <v>1</v>
      </c>
      <c r="G131" s="844" t="s">
        <v>73</v>
      </c>
      <c r="H131" s="845">
        <v>5</v>
      </c>
      <c r="I131" s="632" t="s">
        <v>61</v>
      </c>
      <c r="J131" s="632" t="s">
        <v>66</v>
      </c>
      <c r="K131" s="632" t="s">
        <v>484</v>
      </c>
      <c r="L131" s="635">
        <v>14000000</v>
      </c>
      <c r="M131" s="636">
        <v>14000000</v>
      </c>
      <c r="N131" s="632" t="s">
        <v>51</v>
      </c>
      <c r="O131" s="632" t="s">
        <v>36</v>
      </c>
      <c r="P131" s="632" t="s">
        <v>514</v>
      </c>
      <c r="Q131" s="649"/>
      <c r="R131" s="897" t="s">
        <v>805</v>
      </c>
      <c r="S131" s="884" t="s">
        <v>806</v>
      </c>
      <c r="T131" s="885">
        <v>43110</v>
      </c>
      <c r="U131" s="884" t="s">
        <v>807</v>
      </c>
      <c r="V131" s="884" t="s">
        <v>659</v>
      </c>
      <c r="W131" s="654">
        <v>14000000</v>
      </c>
      <c r="X131" s="654"/>
      <c r="Y131" s="654">
        <f>W131+X131</f>
        <v>14000000</v>
      </c>
      <c r="Z131" s="654">
        <f t="shared" si="10"/>
        <v>14000000</v>
      </c>
      <c r="AA131" s="886"/>
      <c r="AB131" s="884" t="s">
        <v>808</v>
      </c>
      <c r="AC131" s="637" t="s">
        <v>1281</v>
      </c>
      <c r="AD131" s="884" t="s">
        <v>680</v>
      </c>
      <c r="AE131" s="885">
        <v>43111</v>
      </c>
      <c r="AF131" s="885">
        <v>43261</v>
      </c>
      <c r="AG131" s="884" t="s">
        <v>809</v>
      </c>
      <c r="AH131" s="884" t="s">
        <v>810</v>
      </c>
    </row>
    <row r="132" spans="1:34" ht="156" customHeight="1" x14ac:dyDescent="0.25">
      <c r="A132" s="842"/>
      <c r="B132" s="632" t="s">
        <v>512</v>
      </c>
      <c r="C132" s="633">
        <v>80101706</v>
      </c>
      <c r="D132" s="634" t="s">
        <v>513</v>
      </c>
      <c r="E132" s="632" t="s">
        <v>48</v>
      </c>
      <c r="F132" s="632">
        <v>1</v>
      </c>
      <c r="G132" s="844" t="s">
        <v>73</v>
      </c>
      <c r="H132" s="845">
        <v>5</v>
      </c>
      <c r="I132" s="632" t="s">
        <v>61</v>
      </c>
      <c r="J132" s="632" t="s">
        <v>66</v>
      </c>
      <c r="K132" s="632" t="s">
        <v>598</v>
      </c>
      <c r="L132" s="635">
        <v>2800000</v>
      </c>
      <c r="M132" s="636">
        <v>2800000</v>
      </c>
      <c r="N132" s="632" t="s">
        <v>51</v>
      </c>
      <c r="O132" s="632" t="s">
        <v>36</v>
      </c>
      <c r="P132" s="632" t="s">
        <v>514</v>
      </c>
      <c r="Q132" s="649"/>
      <c r="R132" s="897" t="s">
        <v>805</v>
      </c>
      <c r="S132" s="843"/>
      <c r="T132" s="887"/>
      <c r="U132" s="843"/>
      <c r="V132" s="843"/>
      <c r="W132" s="654"/>
      <c r="X132" s="654">
        <v>2800000</v>
      </c>
      <c r="Y132" s="654">
        <v>2800000</v>
      </c>
      <c r="Z132" s="654">
        <v>2800000</v>
      </c>
      <c r="AA132" s="888"/>
      <c r="AB132" s="843"/>
      <c r="AC132" s="637"/>
      <c r="AD132" s="843"/>
      <c r="AE132" s="887"/>
      <c r="AF132" s="887"/>
      <c r="AG132" s="843"/>
      <c r="AH132" s="843"/>
    </row>
    <row r="133" spans="1:34" ht="175.5" customHeight="1" x14ac:dyDescent="0.25">
      <c r="A133" s="846">
        <f>SUM(A131+1)</f>
        <v>91</v>
      </c>
      <c r="B133" s="632" t="s">
        <v>264</v>
      </c>
      <c r="C133" s="633">
        <v>80101706</v>
      </c>
      <c r="D133" s="634" t="s">
        <v>517</v>
      </c>
      <c r="E133" s="632" t="s">
        <v>48</v>
      </c>
      <c r="F133" s="632">
        <v>1</v>
      </c>
      <c r="G133" s="844" t="s">
        <v>73</v>
      </c>
      <c r="H133" s="845">
        <v>5</v>
      </c>
      <c r="I133" s="632" t="s">
        <v>61</v>
      </c>
      <c r="J133" s="632" t="s">
        <v>66</v>
      </c>
      <c r="K133" s="632" t="s">
        <v>464</v>
      </c>
      <c r="L133" s="635">
        <v>24485000</v>
      </c>
      <c r="M133" s="636">
        <v>24485000</v>
      </c>
      <c r="N133" s="632" t="s">
        <v>51</v>
      </c>
      <c r="O133" s="632" t="s">
        <v>36</v>
      </c>
      <c r="P133" s="632" t="s">
        <v>518</v>
      </c>
      <c r="Q133" s="649"/>
      <c r="R133" s="897" t="s">
        <v>811</v>
      </c>
      <c r="S133" s="884" t="s">
        <v>812</v>
      </c>
      <c r="T133" s="885">
        <v>43109</v>
      </c>
      <c r="U133" s="884" t="s">
        <v>813</v>
      </c>
      <c r="V133" s="884" t="s">
        <v>659</v>
      </c>
      <c r="W133" s="654">
        <v>24485000</v>
      </c>
      <c r="X133" s="654"/>
      <c r="Y133" s="654">
        <f>W133+X133</f>
        <v>24485000</v>
      </c>
      <c r="Z133" s="654">
        <f t="shared" si="10"/>
        <v>24485000</v>
      </c>
      <c r="AA133" s="886"/>
      <c r="AB133" s="884" t="s">
        <v>814</v>
      </c>
      <c r="AC133" s="637" t="s">
        <v>1282</v>
      </c>
      <c r="AD133" s="884" t="s">
        <v>680</v>
      </c>
      <c r="AE133" s="885">
        <v>43109</v>
      </c>
      <c r="AF133" s="885">
        <v>43259</v>
      </c>
      <c r="AG133" s="884" t="s">
        <v>815</v>
      </c>
      <c r="AH133" s="884" t="s">
        <v>816</v>
      </c>
    </row>
    <row r="134" spans="1:34" ht="124.5" customHeight="1" x14ac:dyDescent="0.25">
      <c r="A134" s="842"/>
      <c r="B134" s="632" t="s">
        <v>264</v>
      </c>
      <c r="C134" s="633">
        <v>80101706</v>
      </c>
      <c r="D134" s="634" t="s">
        <v>517</v>
      </c>
      <c r="E134" s="632" t="s">
        <v>48</v>
      </c>
      <c r="F134" s="632">
        <v>1</v>
      </c>
      <c r="G134" s="844" t="s">
        <v>73</v>
      </c>
      <c r="H134" s="845">
        <v>5</v>
      </c>
      <c r="I134" s="632" t="s">
        <v>61</v>
      </c>
      <c r="J134" s="632" t="s">
        <v>66</v>
      </c>
      <c r="K134" s="632" t="s">
        <v>589</v>
      </c>
      <c r="L134" s="635">
        <v>12242500</v>
      </c>
      <c r="M134" s="636">
        <v>12242500</v>
      </c>
      <c r="N134" s="632" t="s">
        <v>51</v>
      </c>
      <c r="O134" s="632" t="s">
        <v>36</v>
      </c>
      <c r="P134" s="632" t="s">
        <v>518</v>
      </c>
      <c r="Q134" s="649"/>
      <c r="R134" s="897" t="s">
        <v>811</v>
      </c>
      <c r="S134" s="843"/>
      <c r="T134" s="887"/>
      <c r="U134" s="843"/>
      <c r="V134" s="843"/>
      <c r="W134" s="654"/>
      <c r="X134" s="654">
        <v>12242500</v>
      </c>
      <c r="Y134" s="654">
        <v>12242500</v>
      </c>
      <c r="Z134" s="654">
        <v>12242500</v>
      </c>
      <c r="AA134" s="654">
        <f>Z134-Y134</f>
        <v>0</v>
      </c>
      <c r="AB134" s="843"/>
      <c r="AC134" s="637"/>
      <c r="AD134" s="843"/>
      <c r="AE134" s="887"/>
      <c r="AF134" s="887"/>
      <c r="AG134" s="843"/>
      <c r="AH134" s="843"/>
    </row>
    <row r="135" spans="1:34" ht="171" customHeight="1" x14ac:dyDescent="0.25">
      <c r="A135" s="638">
        <f>SUM(A133+1)</f>
        <v>92</v>
      </c>
      <c r="B135" s="632" t="s">
        <v>264</v>
      </c>
      <c r="C135" s="633">
        <v>80101706</v>
      </c>
      <c r="D135" s="634" t="s">
        <v>517</v>
      </c>
      <c r="E135" s="632" t="s">
        <v>48</v>
      </c>
      <c r="F135" s="632">
        <v>1</v>
      </c>
      <c r="G135" s="844" t="s">
        <v>73</v>
      </c>
      <c r="H135" s="845">
        <v>5</v>
      </c>
      <c r="I135" s="632" t="s">
        <v>61</v>
      </c>
      <c r="J135" s="632" t="s">
        <v>66</v>
      </c>
      <c r="K135" s="632" t="s">
        <v>464</v>
      </c>
      <c r="L135" s="635">
        <v>19475000</v>
      </c>
      <c r="M135" s="636">
        <v>19475000</v>
      </c>
      <c r="N135" s="632" t="s">
        <v>51</v>
      </c>
      <c r="O135" s="632" t="s">
        <v>36</v>
      </c>
      <c r="P135" s="632" t="s">
        <v>518</v>
      </c>
      <c r="Q135" s="649"/>
      <c r="R135" s="637" t="s">
        <v>817</v>
      </c>
      <c r="S135" s="637" t="s">
        <v>818</v>
      </c>
      <c r="T135" s="653">
        <v>43109</v>
      </c>
      <c r="U135" s="637" t="s">
        <v>819</v>
      </c>
      <c r="V135" s="637" t="s">
        <v>659</v>
      </c>
      <c r="W135" s="654">
        <v>15320333</v>
      </c>
      <c r="X135" s="654">
        <v>0</v>
      </c>
      <c r="Y135" s="654">
        <v>15320333</v>
      </c>
      <c r="Z135" s="654">
        <v>15320333</v>
      </c>
      <c r="AA135" s="654"/>
      <c r="AB135" s="637" t="s">
        <v>685</v>
      </c>
      <c r="AC135" s="637" t="s">
        <v>1283</v>
      </c>
      <c r="AD135" s="637" t="s">
        <v>680</v>
      </c>
      <c r="AE135" s="653">
        <v>43109</v>
      </c>
      <c r="AF135" s="653">
        <v>43259</v>
      </c>
      <c r="AG135" s="637" t="s">
        <v>815</v>
      </c>
      <c r="AH135" s="637" t="s">
        <v>816</v>
      </c>
    </row>
    <row r="136" spans="1:34" ht="152.1" customHeight="1" x14ac:dyDescent="0.25">
      <c r="A136" s="638">
        <f t="shared" si="9"/>
        <v>93</v>
      </c>
      <c r="B136" s="632" t="s">
        <v>265</v>
      </c>
      <c r="C136" s="633">
        <v>80101706</v>
      </c>
      <c r="D136" s="634" t="s">
        <v>519</v>
      </c>
      <c r="E136" s="632" t="s">
        <v>48</v>
      </c>
      <c r="F136" s="632">
        <v>1</v>
      </c>
      <c r="G136" s="844" t="s">
        <v>73</v>
      </c>
      <c r="H136" s="845">
        <v>5</v>
      </c>
      <c r="I136" s="632" t="s">
        <v>61</v>
      </c>
      <c r="J136" s="632" t="s">
        <v>66</v>
      </c>
      <c r="K136" s="632" t="s">
        <v>464</v>
      </c>
      <c r="L136" s="635">
        <v>25000000</v>
      </c>
      <c r="M136" s="636">
        <v>25000000</v>
      </c>
      <c r="N136" s="632" t="s">
        <v>51</v>
      </c>
      <c r="O136" s="632" t="s">
        <v>36</v>
      </c>
      <c r="P136" s="632" t="s">
        <v>518</v>
      </c>
      <c r="Q136" s="649"/>
      <c r="R136" s="637" t="s">
        <v>820</v>
      </c>
      <c r="S136" s="637" t="s">
        <v>821</v>
      </c>
      <c r="T136" s="653">
        <v>43109</v>
      </c>
      <c r="U136" s="637" t="s">
        <v>822</v>
      </c>
      <c r="V136" s="637" t="s">
        <v>659</v>
      </c>
      <c r="W136" s="654">
        <v>25000000</v>
      </c>
      <c r="X136" s="654">
        <v>5000000</v>
      </c>
      <c r="Y136" s="654">
        <f>W136+X136</f>
        <v>30000000</v>
      </c>
      <c r="Z136" s="654">
        <f t="shared" ref="Z136:Z146" si="11">Y136</f>
        <v>30000000</v>
      </c>
      <c r="AA136" s="654"/>
      <c r="AB136" s="637" t="s">
        <v>823</v>
      </c>
      <c r="AC136" s="637" t="s">
        <v>1284</v>
      </c>
      <c r="AD136" s="637" t="s">
        <v>680</v>
      </c>
      <c r="AE136" s="653">
        <v>43111</v>
      </c>
      <c r="AF136" s="653">
        <v>43261</v>
      </c>
      <c r="AG136" s="637" t="s">
        <v>824</v>
      </c>
      <c r="AH136" s="637" t="s">
        <v>825</v>
      </c>
    </row>
    <row r="137" spans="1:34" ht="152.1" customHeight="1" x14ac:dyDescent="0.25">
      <c r="A137" s="638">
        <f t="shared" si="9"/>
        <v>94</v>
      </c>
      <c r="B137" s="632" t="s">
        <v>265</v>
      </c>
      <c r="C137" s="633">
        <v>80101706</v>
      </c>
      <c r="D137" s="634" t="s">
        <v>519</v>
      </c>
      <c r="E137" s="632" t="s">
        <v>48</v>
      </c>
      <c r="F137" s="632">
        <v>1</v>
      </c>
      <c r="G137" s="844" t="s">
        <v>73</v>
      </c>
      <c r="H137" s="845">
        <v>5</v>
      </c>
      <c r="I137" s="632" t="s">
        <v>61</v>
      </c>
      <c r="J137" s="632" t="s">
        <v>66</v>
      </c>
      <c r="K137" s="632" t="s">
        <v>464</v>
      </c>
      <c r="L137" s="635">
        <v>25000000</v>
      </c>
      <c r="M137" s="636">
        <v>25000000</v>
      </c>
      <c r="N137" s="632" t="s">
        <v>51</v>
      </c>
      <c r="O137" s="632" t="s">
        <v>36</v>
      </c>
      <c r="P137" s="632" t="s">
        <v>518</v>
      </c>
      <c r="Q137" s="649"/>
      <c r="R137" s="637" t="s">
        <v>826</v>
      </c>
      <c r="S137" s="637" t="s">
        <v>271</v>
      </c>
      <c r="T137" s="653">
        <v>43109</v>
      </c>
      <c r="U137" s="637" t="s">
        <v>822</v>
      </c>
      <c r="V137" s="637" t="s">
        <v>659</v>
      </c>
      <c r="W137" s="654">
        <v>25000000</v>
      </c>
      <c r="X137" s="654">
        <v>5000000</v>
      </c>
      <c r="Y137" s="654">
        <f>W137+X137</f>
        <v>30000000</v>
      </c>
      <c r="Z137" s="654">
        <f t="shared" si="11"/>
        <v>30000000</v>
      </c>
      <c r="AA137" s="654"/>
      <c r="AB137" s="637" t="s">
        <v>823</v>
      </c>
      <c r="AC137" s="637" t="s">
        <v>1285</v>
      </c>
      <c r="AD137" s="637" t="s">
        <v>680</v>
      </c>
      <c r="AE137" s="653">
        <v>43111</v>
      </c>
      <c r="AF137" s="653">
        <v>43261</v>
      </c>
      <c r="AG137" s="637" t="s">
        <v>1039</v>
      </c>
      <c r="AH137" s="637" t="s">
        <v>825</v>
      </c>
    </row>
    <row r="138" spans="1:34" ht="222" customHeight="1" x14ac:dyDescent="0.25">
      <c r="A138" s="846">
        <f t="shared" si="9"/>
        <v>95</v>
      </c>
      <c r="B138" s="632" t="s">
        <v>520</v>
      </c>
      <c r="C138" s="633">
        <v>80101706</v>
      </c>
      <c r="D138" s="634" t="s">
        <v>521</v>
      </c>
      <c r="E138" s="632" t="s">
        <v>48</v>
      </c>
      <c r="F138" s="632">
        <v>1</v>
      </c>
      <c r="G138" s="844" t="s">
        <v>73</v>
      </c>
      <c r="H138" s="845">
        <v>5</v>
      </c>
      <c r="I138" s="632" t="s">
        <v>61</v>
      </c>
      <c r="J138" s="632" t="s">
        <v>66</v>
      </c>
      <c r="K138" s="632" t="s">
        <v>464</v>
      </c>
      <c r="L138" s="635">
        <v>36750000</v>
      </c>
      <c r="M138" s="636">
        <v>36750000</v>
      </c>
      <c r="N138" s="632" t="s">
        <v>51</v>
      </c>
      <c r="O138" s="632" t="s">
        <v>36</v>
      </c>
      <c r="P138" s="632" t="s">
        <v>522</v>
      </c>
      <c r="Q138" s="649"/>
      <c r="R138" s="897" t="s">
        <v>827</v>
      </c>
      <c r="S138" s="884" t="s">
        <v>258</v>
      </c>
      <c r="T138" s="885">
        <v>43109</v>
      </c>
      <c r="U138" s="884" t="s">
        <v>828</v>
      </c>
      <c r="V138" s="884" t="s">
        <v>659</v>
      </c>
      <c r="W138" s="899">
        <v>36750000</v>
      </c>
      <c r="X138" s="654"/>
      <c r="Y138" s="654">
        <f>W138+X138</f>
        <v>36750000</v>
      </c>
      <c r="Z138" s="654">
        <f t="shared" si="11"/>
        <v>36750000</v>
      </c>
      <c r="AA138" s="886"/>
      <c r="AB138" s="884" t="s">
        <v>829</v>
      </c>
      <c r="AC138" s="884" t="s">
        <v>1286</v>
      </c>
      <c r="AD138" s="884" t="s">
        <v>680</v>
      </c>
      <c r="AE138" s="885">
        <v>43109</v>
      </c>
      <c r="AF138" s="885">
        <v>43259</v>
      </c>
      <c r="AG138" s="884" t="s">
        <v>1239</v>
      </c>
      <c r="AH138" s="884" t="s">
        <v>830</v>
      </c>
    </row>
    <row r="139" spans="1:34" ht="148.5" customHeight="1" x14ac:dyDescent="0.25">
      <c r="A139" s="842"/>
      <c r="B139" s="632" t="s">
        <v>520</v>
      </c>
      <c r="C139" s="633">
        <v>80101706</v>
      </c>
      <c r="D139" s="634" t="s">
        <v>521</v>
      </c>
      <c r="E139" s="632" t="s">
        <v>48</v>
      </c>
      <c r="F139" s="632">
        <v>1</v>
      </c>
      <c r="G139" s="844" t="s">
        <v>73</v>
      </c>
      <c r="H139" s="845">
        <v>5</v>
      </c>
      <c r="I139" s="632" t="s">
        <v>61</v>
      </c>
      <c r="J139" s="632" t="s">
        <v>66</v>
      </c>
      <c r="K139" s="632" t="s">
        <v>589</v>
      </c>
      <c r="L139" s="635">
        <v>18375000</v>
      </c>
      <c r="M139" s="636">
        <v>18375000</v>
      </c>
      <c r="N139" s="632" t="s">
        <v>51</v>
      </c>
      <c r="O139" s="632" t="s">
        <v>36</v>
      </c>
      <c r="P139" s="632" t="s">
        <v>522</v>
      </c>
      <c r="Q139" s="649"/>
      <c r="R139" s="897" t="s">
        <v>827</v>
      </c>
      <c r="S139" s="843"/>
      <c r="T139" s="887"/>
      <c r="U139" s="843"/>
      <c r="V139" s="843"/>
      <c r="W139" s="900"/>
      <c r="X139" s="654">
        <v>18375000</v>
      </c>
      <c r="Y139" s="654">
        <v>18375000</v>
      </c>
      <c r="Z139" s="654">
        <v>18375000</v>
      </c>
      <c r="AA139" s="654">
        <f>Z139-Y139</f>
        <v>0</v>
      </c>
      <c r="AB139" s="843"/>
      <c r="AC139" s="843"/>
      <c r="AD139" s="843"/>
      <c r="AE139" s="887"/>
      <c r="AF139" s="887"/>
      <c r="AG139" s="843"/>
      <c r="AH139" s="843"/>
    </row>
    <row r="140" spans="1:34" ht="113.1" customHeight="1" x14ac:dyDescent="0.25">
      <c r="A140" s="846">
        <f>SUM(A138+1)</f>
        <v>96</v>
      </c>
      <c r="B140" s="632" t="s">
        <v>520</v>
      </c>
      <c r="C140" s="633">
        <v>80101706</v>
      </c>
      <c r="D140" s="634" t="s">
        <v>521</v>
      </c>
      <c r="E140" s="632" t="s">
        <v>48</v>
      </c>
      <c r="F140" s="632">
        <v>1</v>
      </c>
      <c r="G140" s="844" t="s">
        <v>73</v>
      </c>
      <c r="H140" s="845">
        <v>5</v>
      </c>
      <c r="I140" s="632" t="s">
        <v>61</v>
      </c>
      <c r="J140" s="632" t="s">
        <v>66</v>
      </c>
      <c r="K140" s="632" t="s">
        <v>464</v>
      </c>
      <c r="L140" s="635">
        <v>24485000</v>
      </c>
      <c r="M140" s="636">
        <v>24485000</v>
      </c>
      <c r="N140" s="632" t="s">
        <v>51</v>
      </c>
      <c r="O140" s="632" t="s">
        <v>36</v>
      </c>
      <c r="P140" s="632" t="s">
        <v>522</v>
      </c>
      <c r="Q140" s="649"/>
      <c r="R140" s="897" t="s">
        <v>831</v>
      </c>
      <c r="S140" s="884" t="s">
        <v>281</v>
      </c>
      <c r="T140" s="885">
        <v>43116</v>
      </c>
      <c r="U140" s="884" t="s">
        <v>832</v>
      </c>
      <c r="V140" s="884" t="s">
        <v>659</v>
      </c>
      <c r="W140" s="654">
        <v>24485000</v>
      </c>
      <c r="X140" s="654"/>
      <c r="Y140" s="654">
        <f>W140+X140</f>
        <v>24485000</v>
      </c>
      <c r="Z140" s="654">
        <f t="shared" si="11"/>
        <v>24485000</v>
      </c>
      <c r="AA140" s="886"/>
      <c r="AB140" s="884" t="s">
        <v>833</v>
      </c>
      <c r="AC140" s="884" t="s">
        <v>1287</v>
      </c>
      <c r="AD140" s="884" t="s">
        <v>834</v>
      </c>
      <c r="AE140" s="885">
        <v>43117</v>
      </c>
      <c r="AF140" s="885">
        <v>43267</v>
      </c>
      <c r="AG140" s="884" t="s">
        <v>835</v>
      </c>
      <c r="AH140" s="884" t="s">
        <v>830</v>
      </c>
    </row>
    <row r="141" spans="1:34" ht="113.25" customHeight="1" x14ac:dyDescent="0.25">
      <c r="A141" s="842"/>
      <c r="B141" s="632" t="s">
        <v>520</v>
      </c>
      <c r="C141" s="633">
        <v>80101706</v>
      </c>
      <c r="D141" s="634" t="s">
        <v>521</v>
      </c>
      <c r="E141" s="632" t="s">
        <v>48</v>
      </c>
      <c r="F141" s="632">
        <v>1</v>
      </c>
      <c r="G141" s="844" t="s">
        <v>73</v>
      </c>
      <c r="H141" s="845">
        <v>5</v>
      </c>
      <c r="I141" s="632" t="s">
        <v>61</v>
      </c>
      <c r="J141" s="632" t="s">
        <v>66</v>
      </c>
      <c r="K141" s="632" t="s">
        <v>589</v>
      </c>
      <c r="L141" s="635">
        <v>12242500</v>
      </c>
      <c r="M141" s="636">
        <v>12242500</v>
      </c>
      <c r="N141" s="632" t="s">
        <v>51</v>
      </c>
      <c r="O141" s="632" t="s">
        <v>36</v>
      </c>
      <c r="P141" s="632" t="s">
        <v>522</v>
      </c>
      <c r="Q141" s="649"/>
      <c r="R141" s="897" t="s">
        <v>831</v>
      </c>
      <c r="S141" s="843"/>
      <c r="T141" s="887"/>
      <c r="U141" s="843"/>
      <c r="V141" s="843"/>
      <c r="W141" s="654"/>
      <c r="X141" s="654">
        <v>12242500</v>
      </c>
      <c r="Y141" s="654">
        <v>12242500</v>
      </c>
      <c r="Z141" s="654">
        <v>12242500</v>
      </c>
      <c r="AA141" s="654">
        <f>Z141-Y141</f>
        <v>0</v>
      </c>
      <c r="AB141" s="843"/>
      <c r="AC141" s="843"/>
      <c r="AD141" s="843"/>
      <c r="AE141" s="887"/>
      <c r="AF141" s="887"/>
      <c r="AG141" s="843"/>
      <c r="AH141" s="843"/>
    </row>
    <row r="142" spans="1:34" ht="69.75" customHeight="1" x14ac:dyDescent="0.25">
      <c r="A142" s="638">
        <f>SUM(A140+1)</f>
        <v>97</v>
      </c>
      <c r="B142" s="632" t="s">
        <v>520</v>
      </c>
      <c r="C142" s="633">
        <v>80101706</v>
      </c>
      <c r="D142" s="634" t="s">
        <v>521</v>
      </c>
      <c r="E142" s="632" t="s">
        <v>48</v>
      </c>
      <c r="F142" s="632">
        <v>1</v>
      </c>
      <c r="G142" s="844" t="s">
        <v>73</v>
      </c>
      <c r="H142" s="845">
        <v>5</v>
      </c>
      <c r="I142" s="632" t="s">
        <v>61</v>
      </c>
      <c r="J142" s="632" t="s">
        <v>66</v>
      </c>
      <c r="K142" s="632" t="s">
        <v>464</v>
      </c>
      <c r="L142" s="635">
        <v>19475000</v>
      </c>
      <c r="M142" s="636">
        <v>19475000</v>
      </c>
      <c r="N142" s="632" t="s">
        <v>51</v>
      </c>
      <c r="O142" s="632" t="s">
        <v>36</v>
      </c>
      <c r="P142" s="632" t="s">
        <v>522</v>
      </c>
      <c r="Q142" s="649"/>
      <c r="R142" s="637" t="s">
        <v>836</v>
      </c>
      <c r="S142" s="637" t="s">
        <v>837</v>
      </c>
      <c r="T142" s="653">
        <v>43109</v>
      </c>
      <c r="U142" s="637" t="s">
        <v>838</v>
      </c>
      <c r="V142" s="637" t="s">
        <v>659</v>
      </c>
      <c r="W142" s="654">
        <v>19475000</v>
      </c>
      <c r="X142" s="654">
        <v>3895000</v>
      </c>
      <c r="Y142" s="654">
        <f>W142+X142</f>
        <v>23370000</v>
      </c>
      <c r="Z142" s="654">
        <f t="shared" si="11"/>
        <v>23370000</v>
      </c>
      <c r="AA142" s="654"/>
      <c r="AB142" s="637" t="s">
        <v>685</v>
      </c>
      <c r="AC142" s="637" t="s">
        <v>1288</v>
      </c>
      <c r="AD142" s="637" t="s">
        <v>680</v>
      </c>
      <c r="AE142" s="653">
        <v>43109</v>
      </c>
      <c r="AF142" s="653">
        <v>43259</v>
      </c>
      <c r="AG142" s="637" t="s">
        <v>839</v>
      </c>
      <c r="AH142" s="637" t="s">
        <v>830</v>
      </c>
    </row>
    <row r="143" spans="1:34" ht="156" customHeight="1" x14ac:dyDescent="0.25">
      <c r="A143" s="846">
        <f t="shared" si="9"/>
        <v>98</v>
      </c>
      <c r="B143" s="632" t="s">
        <v>520</v>
      </c>
      <c r="C143" s="633">
        <v>80101706</v>
      </c>
      <c r="D143" s="634" t="s">
        <v>521</v>
      </c>
      <c r="E143" s="632" t="s">
        <v>48</v>
      </c>
      <c r="F143" s="632">
        <v>1</v>
      </c>
      <c r="G143" s="844" t="s">
        <v>73</v>
      </c>
      <c r="H143" s="845">
        <v>5</v>
      </c>
      <c r="I143" s="632" t="s">
        <v>61</v>
      </c>
      <c r="J143" s="632" t="s">
        <v>66</v>
      </c>
      <c r="K143" s="632" t="s">
        <v>464</v>
      </c>
      <c r="L143" s="635">
        <v>36750000</v>
      </c>
      <c r="M143" s="636">
        <v>36750000</v>
      </c>
      <c r="N143" s="632" t="s">
        <v>51</v>
      </c>
      <c r="O143" s="632" t="s">
        <v>36</v>
      </c>
      <c r="P143" s="632" t="s">
        <v>522</v>
      </c>
      <c r="Q143" s="649"/>
      <c r="R143" s="897" t="s">
        <v>840</v>
      </c>
      <c r="S143" s="884" t="s">
        <v>277</v>
      </c>
      <c r="T143" s="885">
        <v>43109</v>
      </c>
      <c r="U143" s="884" t="s">
        <v>841</v>
      </c>
      <c r="V143" s="884" t="s">
        <v>659</v>
      </c>
      <c r="W143" s="654">
        <v>36750000</v>
      </c>
      <c r="X143" s="654"/>
      <c r="Y143" s="654">
        <f>W143+X143</f>
        <v>36750000</v>
      </c>
      <c r="Z143" s="654">
        <f t="shared" si="11"/>
        <v>36750000</v>
      </c>
      <c r="AA143" s="886"/>
      <c r="AB143" s="884" t="s">
        <v>829</v>
      </c>
      <c r="AC143" s="884" t="s">
        <v>1289</v>
      </c>
      <c r="AD143" s="884" t="s">
        <v>680</v>
      </c>
      <c r="AE143" s="885">
        <v>43109</v>
      </c>
      <c r="AF143" s="885">
        <v>43259</v>
      </c>
      <c r="AG143" s="884" t="s">
        <v>724</v>
      </c>
      <c r="AH143" s="884" t="s">
        <v>299</v>
      </c>
    </row>
    <row r="144" spans="1:34" ht="105" customHeight="1" x14ac:dyDescent="0.25">
      <c r="A144" s="842"/>
      <c r="B144" s="632" t="s">
        <v>520</v>
      </c>
      <c r="C144" s="633">
        <v>80101706</v>
      </c>
      <c r="D144" s="634" t="s">
        <v>521</v>
      </c>
      <c r="E144" s="632" t="s">
        <v>48</v>
      </c>
      <c r="F144" s="632">
        <v>1</v>
      </c>
      <c r="G144" s="844" t="s">
        <v>73</v>
      </c>
      <c r="H144" s="845">
        <v>5</v>
      </c>
      <c r="I144" s="632" t="s">
        <v>61</v>
      </c>
      <c r="J144" s="632" t="s">
        <v>66</v>
      </c>
      <c r="K144" s="632" t="s">
        <v>589</v>
      </c>
      <c r="L144" s="635">
        <v>18375000</v>
      </c>
      <c r="M144" s="636">
        <v>18375000</v>
      </c>
      <c r="N144" s="632" t="s">
        <v>51</v>
      </c>
      <c r="O144" s="632" t="s">
        <v>36</v>
      </c>
      <c r="P144" s="632" t="s">
        <v>522</v>
      </c>
      <c r="Q144" s="649"/>
      <c r="R144" s="897" t="s">
        <v>840</v>
      </c>
      <c r="S144" s="843"/>
      <c r="T144" s="887"/>
      <c r="U144" s="843"/>
      <c r="V144" s="843"/>
      <c r="W144" s="654"/>
      <c r="X144" s="654">
        <v>18375000</v>
      </c>
      <c r="Y144" s="654">
        <v>18375000</v>
      </c>
      <c r="Z144" s="654">
        <v>18375000</v>
      </c>
      <c r="AA144" s="654">
        <f>Z144-Y144</f>
        <v>0</v>
      </c>
      <c r="AB144" s="843"/>
      <c r="AC144" s="843"/>
      <c r="AD144" s="843"/>
      <c r="AE144" s="887"/>
      <c r="AF144" s="887"/>
      <c r="AG144" s="843"/>
      <c r="AH144" s="843"/>
    </row>
    <row r="145" spans="1:34" ht="132.94999999999999" customHeight="1" x14ac:dyDescent="0.25">
      <c r="A145" s="638">
        <f>SUM(A143+1)</f>
        <v>99</v>
      </c>
      <c r="B145" s="632" t="s">
        <v>520</v>
      </c>
      <c r="C145" s="633">
        <v>80101706</v>
      </c>
      <c r="D145" s="634" t="s">
        <v>521</v>
      </c>
      <c r="E145" s="632" t="s">
        <v>48</v>
      </c>
      <c r="F145" s="632">
        <v>1</v>
      </c>
      <c r="G145" s="844" t="s">
        <v>73</v>
      </c>
      <c r="H145" s="845">
        <v>5</v>
      </c>
      <c r="I145" s="632" t="s">
        <v>61</v>
      </c>
      <c r="J145" s="632" t="s">
        <v>66</v>
      </c>
      <c r="K145" s="632" t="s">
        <v>464</v>
      </c>
      <c r="L145" s="635">
        <v>36750000</v>
      </c>
      <c r="M145" s="636">
        <v>36750000</v>
      </c>
      <c r="N145" s="632" t="s">
        <v>51</v>
      </c>
      <c r="O145" s="632" t="s">
        <v>36</v>
      </c>
      <c r="P145" s="632" t="s">
        <v>522</v>
      </c>
      <c r="Q145" s="649"/>
      <c r="R145" s="637" t="s">
        <v>842</v>
      </c>
      <c r="S145" s="637" t="s">
        <v>843</v>
      </c>
      <c r="T145" s="653">
        <v>43109</v>
      </c>
      <c r="U145" s="637" t="s">
        <v>844</v>
      </c>
      <c r="V145" s="637" t="s">
        <v>659</v>
      </c>
      <c r="W145" s="654">
        <v>36750000</v>
      </c>
      <c r="X145" s="654">
        <v>32585000</v>
      </c>
      <c r="Y145" s="654">
        <f>W145-X145</f>
        <v>4165000</v>
      </c>
      <c r="Z145" s="654">
        <f t="shared" si="11"/>
        <v>4165000</v>
      </c>
      <c r="AA145" s="654"/>
      <c r="AB145" s="637" t="s">
        <v>845</v>
      </c>
      <c r="AC145" s="637" t="s">
        <v>1290</v>
      </c>
      <c r="AD145" s="637" t="s">
        <v>680</v>
      </c>
      <c r="AE145" s="653">
        <v>43109</v>
      </c>
      <c r="AF145" s="653">
        <v>43259</v>
      </c>
      <c r="AG145" s="637" t="s">
        <v>839</v>
      </c>
      <c r="AH145" s="637" t="s">
        <v>830</v>
      </c>
    </row>
    <row r="146" spans="1:34" ht="114.95" customHeight="1" x14ac:dyDescent="0.25">
      <c r="A146" s="638">
        <f t="shared" si="9"/>
        <v>100</v>
      </c>
      <c r="B146" s="632" t="s">
        <v>171</v>
      </c>
      <c r="C146" s="633">
        <v>80101706</v>
      </c>
      <c r="D146" s="634" t="s">
        <v>523</v>
      </c>
      <c r="E146" s="632" t="s">
        <v>48</v>
      </c>
      <c r="F146" s="632">
        <v>1</v>
      </c>
      <c r="G146" s="844" t="s">
        <v>73</v>
      </c>
      <c r="H146" s="845">
        <v>5</v>
      </c>
      <c r="I146" s="632" t="s">
        <v>61</v>
      </c>
      <c r="J146" s="632" t="s">
        <v>66</v>
      </c>
      <c r="K146" s="632" t="s">
        <v>464</v>
      </c>
      <c r="L146" s="635">
        <v>8425000</v>
      </c>
      <c r="M146" s="636">
        <v>8425000</v>
      </c>
      <c r="N146" s="632" t="s">
        <v>51</v>
      </c>
      <c r="O146" s="632" t="s">
        <v>36</v>
      </c>
      <c r="P146" s="632" t="s">
        <v>524</v>
      </c>
      <c r="Q146" s="649"/>
      <c r="R146" s="637" t="s">
        <v>846</v>
      </c>
      <c r="S146" s="637" t="s">
        <v>847</v>
      </c>
      <c r="T146" s="653">
        <v>43109</v>
      </c>
      <c r="U146" s="637" t="s">
        <v>848</v>
      </c>
      <c r="V146" s="637" t="s">
        <v>666</v>
      </c>
      <c r="W146" s="654">
        <v>8425000</v>
      </c>
      <c r="X146" s="654">
        <v>1685000</v>
      </c>
      <c r="Y146" s="654">
        <f>W146+X146</f>
        <v>10110000</v>
      </c>
      <c r="Z146" s="654">
        <f t="shared" si="11"/>
        <v>10110000</v>
      </c>
      <c r="AA146" s="654"/>
      <c r="AB146" s="637" t="s">
        <v>849</v>
      </c>
      <c r="AC146" s="637" t="s">
        <v>1291</v>
      </c>
      <c r="AD146" s="637" t="s">
        <v>680</v>
      </c>
      <c r="AE146" s="653">
        <v>43110</v>
      </c>
      <c r="AF146" s="653">
        <v>43260</v>
      </c>
      <c r="AG146" s="637" t="s">
        <v>850</v>
      </c>
      <c r="AH146" s="637" t="s">
        <v>851</v>
      </c>
    </row>
    <row r="147" spans="1:34" ht="132.94999999999999" customHeight="1" x14ac:dyDescent="0.25">
      <c r="A147" s="638">
        <v>101</v>
      </c>
      <c r="B147" s="632" t="s">
        <v>171</v>
      </c>
      <c r="C147" s="633">
        <v>80101706</v>
      </c>
      <c r="D147" s="634" t="s">
        <v>525</v>
      </c>
      <c r="E147" s="632" t="s">
        <v>48</v>
      </c>
      <c r="F147" s="632">
        <v>1</v>
      </c>
      <c r="G147" s="844" t="s">
        <v>73</v>
      </c>
      <c r="H147" s="845">
        <v>5</v>
      </c>
      <c r="I147" s="632" t="s">
        <v>61</v>
      </c>
      <c r="J147" s="632" t="s">
        <v>66</v>
      </c>
      <c r="K147" s="632" t="s">
        <v>464</v>
      </c>
      <c r="L147" s="635">
        <v>12920000</v>
      </c>
      <c r="M147" s="635">
        <v>12920000</v>
      </c>
      <c r="N147" s="632" t="s">
        <v>51</v>
      </c>
      <c r="O147" s="632" t="s">
        <v>36</v>
      </c>
      <c r="P147" s="632" t="s">
        <v>524</v>
      </c>
      <c r="Q147" s="649"/>
      <c r="R147" s="637" t="s">
        <v>852</v>
      </c>
      <c r="S147" s="637" t="s">
        <v>853</v>
      </c>
      <c r="T147" s="653">
        <v>43119</v>
      </c>
      <c r="U147" s="637" t="s">
        <v>854</v>
      </c>
      <c r="V147" s="637" t="s">
        <v>659</v>
      </c>
      <c r="W147" s="654">
        <v>12920000</v>
      </c>
      <c r="X147" s="654">
        <v>0</v>
      </c>
      <c r="Y147" s="654">
        <v>12920000</v>
      </c>
      <c r="Z147" s="654">
        <v>12920000</v>
      </c>
      <c r="AA147" s="654"/>
      <c r="AB147" s="637" t="s">
        <v>855</v>
      </c>
      <c r="AC147" s="637" t="s">
        <v>1292</v>
      </c>
      <c r="AD147" s="637" t="s">
        <v>834</v>
      </c>
      <c r="AE147" s="653">
        <v>43122</v>
      </c>
      <c r="AF147" s="653">
        <v>43272</v>
      </c>
      <c r="AG147" s="637" t="s">
        <v>850</v>
      </c>
      <c r="AH147" s="637" t="s">
        <v>851</v>
      </c>
    </row>
    <row r="148" spans="1:34" ht="114.95" customHeight="1" x14ac:dyDescent="0.25">
      <c r="A148" s="638">
        <f t="shared" ref="A148:A153" si="12">SUM(A147+1)</f>
        <v>102</v>
      </c>
      <c r="B148" s="632" t="s">
        <v>171</v>
      </c>
      <c r="C148" s="633">
        <v>80101706</v>
      </c>
      <c r="D148" s="634" t="s">
        <v>525</v>
      </c>
      <c r="E148" s="632" t="s">
        <v>48</v>
      </c>
      <c r="F148" s="632">
        <v>1</v>
      </c>
      <c r="G148" s="844" t="s">
        <v>73</v>
      </c>
      <c r="H148" s="845">
        <v>5</v>
      </c>
      <c r="I148" s="632" t="s">
        <v>61</v>
      </c>
      <c r="J148" s="632" t="s">
        <v>66</v>
      </c>
      <c r="K148" s="632" t="s">
        <v>464</v>
      </c>
      <c r="L148" s="635">
        <v>36750000</v>
      </c>
      <c r="M148" s="636">
        <v>36750000</v>
      </c>
      <c r="N148" s="632" t="s">
        <v>51</v>
      </c>
      <c r="O148" s="632" t="s">
        <v>36</v>
      </c>
      <c r="P148" s="632" t="s">
        <v>524</v>
      </c>
      <c r="Q148" s="649"/>
      <c r="R148" s="637" t="s">
        <v>856</v>
      </c>
      <c r="S148" s="637" t="s">
        <v>857</v>
      </c>
      <c r="T148" s="653">
        <v>43109</v>
      </c>
      <c r="U148" s="637" t="s">
        <v>858</v>
      </c>
      <c r="V148" s="637" t="s">
        <v>659</v>
      </c>
      <c r="W148" s="654">
        <v>36750000</v>
      </c>
      <c r="X148" s="654">
        <v>7350000</v>
      </c>
      <c r="Y148" s="654">
        <f>W148+X148</f>
        <v>44100000</v>
      </c>
      <c r="Z148" s="654">
        <f>Y148</f>
        <v>44100000</v>
      </c>
      <c r="AA148" s="654"/>
      <c r="AB148" s="637" t="s">
        <v>859</v>
      </c>
      <c r="AC148" s="637" t="s">
        <v>1293</v>
      </c>
      <c r="AD148" s="637" t="s">
        <v>680</v>
      </c>
      <c r="AE148" s="653">
        <v>43118</v>
      </c>
      <c r="AF148" s="653">
        <v>43268</v>
      </c>
      <c r="AG148" s="637" t="s">
        <v>850</v>
      </c>
      <c r="AH148" s="637" t="s">
        <v>851</v>
      </c>
    </row>
    <row r="149" spans="1:34" ht="92.45" customHeight="1" x14ac:dyDescent="0.25">
      <c r="A149" s="638">
        <f t="shared" si="12"/>
        <v>103</v>
      </c>
      <c r="B149" s="632" t="s">
        <v>529</v>
      </c>
      <c r="C149" s="633">
        <v>80101706</v>
      </c>
      <c r="D149" s="634" t="s">
        <v>530</v>
      </c>
      <c r="E149" s="632" t="s">
        <v>48</v>
      </c>
      <c r="F149" s="632">
        <v>1</v>
      </c>
      <c r="G149" s="844" t="s">
        <v>73</v>
      </c>
      <c r="H149" s="845">
        <v>5</v>
      </c>
      <c r="I149" s="632" t="s">
        <v>61</v>
      </c>
      <c r="J149" s="632" t="s">
        <v>66</v>
      </c>
      <c r="K149" s="632" t="s">
        <v>464</v>
      </c>
      <c r="L149" s="635">
        <v>23500000</v>
      </c>
      <c r="M149" s="636">
        <v>23500000</v>
      </c>
      <c r="N149" s="632" t="s">
        <v>51</v>
      </c>
      <c r="O149" s="632" t="s">
        <v>36</v>
      </c>
      <c r="P149" s="632" t="s">
        <v>531</v>
      </c>
      <c r="Q149" s="649"/>
      <c r="R149" s="637" t="s">
        <v>860</v>
      </c>
      <c r="S149" s="637" t="s">
        <v>861</v>
      </c>
      <c r="T149" s="653">
        <v>43110</v>
      </c>
      <c r="U149" s="637" t="s">
        <v>862</v>
      </c>
      <c r="V149" s="637" t="s">
        <v>659</v>
      </c>
      <c r="W149" s="654">
        <v>23500000</v>
      </c>
      <c r="X149" s="654">
        <v>4700000</v>
      </c>
      <c r="Y149" s="654">
        <f>W149+X149</f>
        <v>28200000</v>
      </c>
      <c r="Z149" s="654">
        <f>Y149</f>
        <v>28200000</v>
      </c>
      <c r="AA149" s="654"/>
      <c r="AB149" s="637" t="s">
        <v>863</v>
      </c>
      <c r="AC149" s="637" t="s">
        <v>1284</v>
      </c>
      <c r="AD149" s="637" t="s">
        <v>680</v>
      </c>
      <c r="AE149" s="653">
        <v>43115</v>
      </c>
      <c r="AF149" s="653">
        <v>43265</v>
      </c>
      <c r="AG149" s="637" t="s">
        <v>864</v>
      </c>
      <c r="AH149" s="637" t="s">
        <v>529</v>
      </c>
    </row>
    <row r="150" spans="1:34" ht="92.45" customHeight="1" x14ac:dyDescent="0.25">
      <c r="A150" s="638">
        <f t="shared" si="12"/>
        <v>104</v>
      </c>
      <c r="B150" s="632" t="s">
        <v>529</v>
      </c>
      <c r="C150" s="633">
        <v>80101706</v>
      </c>
      <c r="D150" s="634" t="s">
        <v>530</v>
      </c>
      <c r="E150" s="632" t="s">
        <v>48</v>
      </c>
      <c r="F150" s="632">
        <v>1</v>
      </c>
      <c r="G150" s="844" t="s">
        <v>73</v>
      </c>
      <c r="H150" s="845">
        <v>5</v>
      </c>
      <c r="I150" s="632" t="s">
        <v>61</v>
      </c>
      <c r="J150" s="632" t="s">
        <v>66</v>
      </c>
      <c r="K150" s="632" t="s">
        <v>464</v>
      </c>
      <c r="L150" s="635">
        <v>19000000</v>
      </c>
      <c r="M150" s="636">
        <v>19000000</v>
      </c>
      <c r="N150" s="632" t="s">
        <v>51</v>
      </c>
      <c r="O150" s="632" t="s">
        <v>36</v>
      </c>
      <c r="P150" s="632" t="s">
        <v>531</v>
      </c>
      <c r="Q150" s="649"/>
      <c r="R150" s="637" t="s">
        <v>865</v>
      </c>
      <c r="S150" s="637" t="s">
        <v>866</v>
      </c>
      <c r="T150" s="653">
        <v>43109</v>
      </c>
      <c r="U150" s="637" t="s">
        <v>867</v>
      </c>
      <c r="V150" s="637" t="s">
        <v>659</v>
      </c>
      <c r="W150" s="654">
        <v>19000000</v>
      </c>
      <c r="X150" s="654">
        <v>3800000</v>
      </c>
      <c r="Y150" s="654">
        <f>W150+X150</f>
        <v>22800000</v>
      </c>
      <c r="Z150" s="654">
        <f>Y150</f>
        <v>22800000</v>
      </c>
      <c r="AA150" s="654"/>
      <c r="AB150" s="637" t="s">
        <v>868</v>
      </c>
      <c r="AC150" s="637" t="s">
        <v>1294</v>
      </c>
      <c r="AD150" s="637" t="s">
        <v>680</v>
      </c>
      <c r="AE150" s="653">
        <v>43116</v>
      </c>
      <c r="AF150" s="653">
        <v>43266</v>
      </c>
      <c r="AG150" s="637" t="s">
        <v>864</v>
      </c>
      <c r="AH150" s="637" t="s">
        <v>529</v>
      </c>
    </row>
    <row r="151" spans="1:34" ht="94.15" customHeight="1" x14ac:dyDescent="0.25">
      <c r="A151" s="638">
        <f t="shared" si="12"/>
        <v>105</v>
      </c>
      <c r="B151" s="632" t="s">
        <v>529</v>
      </c>
      <c r="C151" s="633">
        <v>80101706</v>
      </c>
      <c r="D151" s="634" t="s">
        <v>530</v>
      </c>
      <c r="E151" s="632" t="s">
        <v>48</v>
      </c>
      <c r="F151" s="632">
        <v>1</v>
      </c>
      <c r="G151" s="844" t="s">
        <v>73</v>
      </c>
      <c r="H151" s="845">
        <v>5</v>
      </c>
      <c r="I151" s="632" t="s">
        <v>61</v>
      </c>
      <c r="J151" s="632" t="s">
        <v>66</v>
      </c>
      <c r="K151" s="632" t="s">
        <v>464</v>
      </c>
      <c r="L151" s="635">
        <v>21000000</v>
      </c>
      <c r="M151" s="636">
        <v>21000000</v>
      </c>
      <c r="N151" s="632" t="s">
        <v>51</v>
      </c>
      <c r="O151" s="632" t="s">
        <v>36</v>
      </c>
      <c r="P151" s="632" t="s">
        <v>531</v>
      </c>
      <c r="Q151" s="649"/>
      <c r="R151" s="637" t="s">
        <v>869</v>
      </c>
      <c r="S151" s="637" t="s">
        <v>870</v>
      </c>
      <c r="T151" s="653">
        <v>43109</v>
      </c>
      <c r="U151" s="637" t="s">
        <v>871</v>
      </c>
      <c r="V151" s="637" t="s">
        <v>659</v>
      </c>
      <c r="W151" s="654">
        <v>21000000</v>
      </c>
      <c r="X151" s="654">
        <v>4200000</v>
      </c>
      <c r="Y151" s="654">
        <f>W151+X151</f>
        <v>25200000</v>
      </c>
      <c r="Z151" s="654">
        <f>Y151</f>
        <v>25200000</v>
      </c>
      <c r="AA151" s="654"/>
      <c r="AB151" s="637" t="s">
        <v>872</v>
      </c>
      <c r="AC151" s="637" t="s">
        <v>1295</v>
      </c>
      <c r="AD151" s="637" t="s">
        <v>680</v>
      </c>
      <c r="AE151" s="653">
        <v>43112</v>
      </c>
      <c r="AF151" s="653">
        <v>43262</v>
      </c>
      <c r="AG151" s="637" t="s">
        <v>864</v>
      </c>
      <c r="AH151" s="637" t="s">
        <v>529</v>
      </c>
    </row>
    <row r="152" spans="1:34" ht="114.95" customHeight="1" x14ac:dyDescent="0.25">
      <c r="A152" s="638">
        <f t="shared" si="12"/>
        <v>106</v>
      </c>
      <c r="B152" s="632" t="s">
        <v>171</v>
      </c>
      <c r="C152" s="633">
        <v>81100000</v>
      </c>
      <c r="D152" s="634" t="s">
        <v>60</v>
      </c>
      <c r="E152" s="632" t="s">
        <v>48</v>
      </c>
      <c r="F152" s="632">
        <v>1</v>
      </c>
      <c r="G152" s="844" t="s">
        <v>180</v>
      </c>
      <c r="H152" s="845">
        <v>12</v>
      </c>
      <c r="I152" s="632" t="s">
        <v>55</v>
      </c>
      <c r="J152" s="632" t="s">
        <v>35</v>
      </c>
      <c r="K152" s="632" t="s">
        <v>38</v>
      </c>
      <c r="L152" s="635">
        <v>5500000</v>
      </c>
      <c r="M152" s="636">
        <v>5500000</v>
      </c>
      <c r="N152" s="632" t="s">
        <v>51</v>
      </c>
      <c r="O152" s="632" t="s">
        <v>36</v>
      </c>
      <c r="P152" s="632" t="s">
        <v>524</v>
      </c>
      <c r="Q152" s="649"/>
      <c r="R152" s="637" t="s">
        <v>148</v>
      </c>
      <c r="S152" s="637" t="s">
        <v>148</v>
      </c>
      <c r="T152" s="653" t="s">
        <v>148</v>
      </c>
      <c r="U152" s="637" t="s">
        <v>148</v>
      </c>
      <c r="V152" s="637" t="s">
        <v>148</v>
      </c>
      <c r="W152" s="654">
        <v>0</v>
      </c>
      <c r="X152" s="654">
        <v>0</v>
      </c>
      <c r="Y152" s="654">
        <v>0</v>
      </c>
      <c r="Z152" s="654">
        <v>0</v>
      </c>
      <c r="AA152" s="654"/>
      <c r="AB152" s="637" t="s">
        <v>148</v>
      </c>
      <c r="AC152" s="637" t="s">
        <v>148</v>
      </c>
      <c r="AD152" s="637" t="s">
        <v>148</v>
      </c>
      <c r="AE152" s="653" t="s">
        <v>148</v>
      </c>
      <c r="AF152" s="653" t="s">
        <v>148</v>
      </c>
      <c r="AG152" s="637" t="s">
        <v>148</v>
      </c>
      <c r="AH152" s="637" t="s">
        <v>148</v>
      </c>
    </row>
    <row r="153" spans="1:34" s="704" customFormat="1" ht="114.95" customHeight="1" x14ac:dyDescent="0.25">
      <c r="A153" s="638">
        <f t="shared" si="12"/>
        <v>107</v>
      </c>
      <c r="B153" s="632" t="s">
        <v>171</v>
      </c>
      <c r="C153" s="633" t="s">
        <v>526</v>
      </c>
      <c r="D153" s="634" t="s">
        <v>527</v>
      </c>
      <c r="E153" s="632" t="s">
        <v>48</v>
      </c>
      <c r="F153" s="632">
        <v>1</v>
      </c>
      <c r="G153" s="844" t="s">
        <v>166</v>
      </c>
      <c r="H153" s="845">
        <v>12</v>
      </c>
      <c r="I153" s="632" t="s">
        <v>55</v>
      </c>
      <c r="J153" s="632" t="s">
        <v>35</v>
      </c>
      <c r="K153" s="632" t="s">
        <v>430</v>
      </c>
      <c r="L153" s="635">
        <v>21000000</v>
      </c>
      <c r="M153" s="636">
        <v>21000000</v>
      </c>
      <c r="N153" s="632" t="s">
        <v>49</v>
      </c>
      <c r="O153" s="632" t="s">
        <v>436</v>
      </c>
      <c r="P153" s="632" t="s">
        <v>524</v>
      </c>
      <c r="Q153" s="649"/>
      <c r="R153" s="637" t="s">
        <v>1864</v>
      </c>
      <c r="S153" s="637" t="s">
        <v>1907</v>
      </c>
      <c r="T153" s="653">
        <v>43313</v>
      </c>
      <c r="U153" s="637" t="s">
        <v>1908</v>
      </c>
      <c r="V153" s="637" t="s">
        <v>644</v>
      </c>
      <c r="W153" s="654">
        <v>5801250</v>
      </c>
      <c r="X153" s="654">
        <v>0</v>
      </c>
      <c r="Y153" s="654">
        <v>5801250</v>
      </c>
      <c r="Z153" s="654">
        <v>5801250</v>
      </c>
      <c r="AA153" s="654"/>
      <c r="AB153" s="637" t="s">
        <v>1909</v>
      </c>
      <c r="AC153" s="637">
        <v>31718</v>
      </c>
      <c r="AD153" s="637" t="s">
        <v>1910</v>
      </c>
      <c r="AE153" s="653">
        <v>43318</v>
      </c>
      <c r="AF153" s="653">
        <v>43454</v>
      </c>
      <c r="AG153" s="637" t="s">
        <v>1911</v>
      </c>
      <c r="AH153" s="637" t="s">
        <v>851</v>
      </c>
    </row>
    <row r="154" spans="1:34" ht="189.95" customHeight="1" x14ac:dyDescent="0.25">
      <c r="A154" s="638">
        <v>108</v>
      </c>
      <c r="B154" s="632" t="s">
        <v>481</v>
      </c>
      <c r="C154" s="633">
        <v>80101706</v>
      </c>
      <c r="D154" s="634" t="s">
        <v>528</v>
      </c>
      <c r="E154" s="632" t="s">
        <v>48</v>
      </c>
      <c r="F154" s="632">
        <v>1</v>
      </c>
      <c r="G154" s="844" t="s">
        <v>73</v>
      </c>
      <c r="H154" s="845">
        <v>5</v>
      </c>
      <c r="I154" s="632" t="s">
        <v>61</v>
      </c>
      <c r="J154" s="632" t="s">
        <v>66</v>
      </c>
      <c r="K154" s="632" t="s">
        <v>574</v>
      </c>
      <c r="L154" s="635">
        <v>21200000</v>
      </c>
      <c r="M154" s="636">
        <v>21200000</v>
      </c>
      <c r="N154" s="632" t="s">
        <v>51</v>
      </c>
      <c r="O154" s="632" t="s">
        <v>36</v>
      </c>
      <c r="P154" s="632" t="s">
        <v>306</v>
      </c>
      <c r="Q154" s="649"/>
      <c r="R154" s="637" t="s">
        <v>873</v>
      </c>
      <c r="S154" s="637" t="s">
        <v>564</v>
      </c>
      <c r="T154" s="653">
        <v>43105</v>
      </c>
      <c r="U154" s="637" t="s">
        <v>874</v>
      </c>
      <c r="V154" s="637" t="s">
        <v>659</v>
      </c>
      <c r="W154" s="654">
        <v>21200000</v>
      </c>
      <c r="X154" s="654">
        <v>16960000</v>
      </c>
      <c r="Y154" s="654">
        <f>W154-X154</f>
        <v>4240000</v>
      </c>
      <c r="Z154" s="654">
        <f t="shared" ref="Z154:Z162" si="13">Y154</f>
        <v>4240000</v>
      </c>
      <c r="AA154" s="654"/>
      <c r="AB154" s="637" t="s">
        <v>875</v>
      </c>
      <c r="AC154" s="637" t="s">
        <v>1296</v>
      </c>
      <c r="AD154" s="637" t="s">
        <v>680</v>
      </c>
      <c r="AE154" s="653">
        <v>43105</v>
      </c>
      <c r="AF154" s="653">
        <v>43255</v>
      </c>
      <c r="AG154" s="637" t="s">
        <v>876</v>
      </c>
      <c r="AH154" s="637" t="s">
        <v>877</v>
      </c>
    </row>
    <row r="155" spans="1:34" ht="171" customHeight="1" x14ac:dyDescent="0.25">
      <c r="A155" s="638">
        <f t="shared" ref="A155:A218" si="14">SUM(A154+1)</f>
        <v>109</v>
      </c>
      <c r="B155" s="632" t="s">
        <v>481</v>
      </c>
      <c r="C155" s="633">
        <v>80101706</v>
      </c>
      <c r="D155" s="634" t="s">
        <v>528</v>
      </c>
      <c r="E155" s="632" t="s">
        <v>48</v>
      </c>
      <c r="F155" s="632">
        <v>1</v>
      </c>
      <c r="G155" s="844" t="s">
        <v>73</v>
      </c>
      <c r="H155" s="845">
        <v>5</v>
      </c>
      <c r="I155" s="632" t="s">
        <v>61</v>
      </c>
      <c r="J155" s="632" t="s">
        <v>66</v>
      </c>
      <c r="K155" s="632" t="s">
        <v>574</v>
      </c>
      <c r="L155" s="635">
        <v>21200000</v>
      </c>
      <c r="M155" s="636">
        <v>21200000</v>
      </c>
      <c r="N155" s="632" t="s">
        <v>51</v>
      </c>
      <c r="O155" s="632" t="s">
        <v>36</v>
      </c>
      <c r="P155" s="632" t="s">
        <v>306</v>
      </c>
      <c r="Q155" s="649"/>
      <c r="R155" s="637" t="s">
        <v>878</v>
      </c>
      <c r="S155" s="637" t="s">
        <v>879</v>
      </c>
      <c r="T155" s="653">
        <v>43109</v>
      </c>
      <c r="U155" s="637" t="s">
        <v>880</v>
      </c>
      <c r="V155" s="637" t="s">
        <v>659</v>
      </c>
      <c r="W155" s="654">
        <v>21200000</v>
      </c>
      <c r="X155" s="654">
        <v>4240000</v>
      </c>
      <c r="Y155" s="654">
        <f t="shared" ref="Y155:Y160" si="15">W155+X155</f>
        <v>25440000</v>
      </c>
      <c r="Z155" s="654">
        <f t="shared" si="13"/>
        <v>25440000</v>
      </c>
      <c r="AA155" s="654"/>
      <c r="AB155" s="637" t="s">
        <v>875</v>
      </c>
      <c r="AC155" s="637" t="s">
        <v>1288</v>
      </c>
      <c r="AD155" s="637" t="s">
        <v>680</v>
      </c>
      <c r="AE155" s="653">
        <v>43109</v>
      </c>
      <c r="AF155" s="653">
        <v>43259</v>
      </c>
      <c r="AG155" s="637" t="s">
        <v>876</v>
      </c>
      <c r="AH155" s="637" t="s">
        <v>877</v>
      </c>
    </row>
    <row r="156" spans="1:34" ht="189.95" customHeight="1" x14ac:dyDescent="0.25">
      <c r="A156" s="638">
        <f t="shared" si="14"/>
        <v>110</v>
      </c>
      <c r="B156" s="632" t="s">
        <v>481</v>
      </c>
      <c r="C156" s="633">
        <v>80101706</v>
      </c>
      <c r="D156" s="634" t="s">
        <v>528</v>
      </c>
      <c r="E156" s="632" t="s">
        <v>48</v>
      </c>
      <c r="F156" s="632">
        <v>1</v>
      </c>
      <c r="G156" s="844" t="s">
        <v>73</v>
      </c>
      <c r="H156" s="845">
        <v>5</v>
      </c>
      <c r="I156" s="632" t="s">
        <v>61</v>
      </c>
      <c r="J156" s="632" t="s">
        <v>66</v>
      </c>
      <c r="K156" s="632" t="s">
        <v>574</v>
      </c>
      <c r="L156" s="635">
        <v>35000000</v>
      </c>
      <c r="M156" s="636">
        <v>35000000</v>
      </c>
      <c r="N156" s="632" t="s">
        <v>51</v>
      </c>
      <c r="O156" s="632" t="s">
        <v>36</v>
      </c>
      <c r="P156" s="632" t="s">
        <v>306</v>
      </c>
      <c r="Q156" s="649"/>
      <c r="R156" s="637" t="s">
        <v>881</v>
      </c>
      <c r="S156" s="637" t="s">
        <v>882</v>
      </c>
      <c r="T156" s="653">
        <v>43109</v>
      </c>
      <c r="U156" s="637" t="s">
        <v>883</v>
      </c>
      <c r="V156" s="637" t="s">
        <v>659</v>
      </c>
      <c r="W156" s="654">
        <v>35000000</v>
      </c>
      <c r="X156" s="654">
        <v>7000000</v>
      </c>
      <c r="Y156" s="654">
        <f t="shared" si="15"/>
        <v>42000000</v>
      </c>
      <c r="Z156" s="654">
        <f t="shared" si="13"/>
        <v>42000000</v>
      </c>
      <c r="AA156" s="654"/>
      <c r="AB156" s="637" t="s">
        <v>884</v>
      </c>
      <c r="AC156" s="637" t="s">
        <v>1297</v>
      </c>
      <c r="AD156" s="637" t="s">
        <v>680</v>
      </c>
      <c r="AE156" s="653">
        <v>43115</v>
      </c>
      <c r="AF156" s="653">
        <v>43265</v>
      </c>
      <c r="AG156" s="637" t="s">
        <v>885</v>
      </c>
      <c r="AH156" s="637" t="s">
        <v>877</v>
      </c>
    </row>
    <row r="157" spans="1:34" ht="171" customHeight="1" x14ac:dyDescent="0.25">
      <c r="A157" s="638">
        <f t="shared" si="14"/>
        <v>111</v>
      </c>
      <c r="B157" s="632" t="s">
        <v>481</v>
      </c>
      <c r="C157" s="633">
        <v>80101706</v>
      </c>
      <c r="D157" s="634" t="s">
        <v>528</v>
      </c>
      <c r="E157" s="632" t="s">
        <v>48</v>
      </c>
      <c r="F157" s="632">
        <v>1</v>
      </c>
      <c r="G157" s="844" t="s">
        <v>73</v>
      </c>
      <c r="H157" s="845">
        <v>5</v>
      </c>
      <c r="I157" s="632" t="s">
        <v>61</v>
      </c>
      <c r="J157" s="632" t="s">
        <v>66</v>
      </c>
      <c r="K157" s="632" t="s">
        <v>574</v>
      </c>
      <c r="L157" s="635">
        <v>32550000</v>
      </c>
      <c r="M157" s="636">
        <v>32550000</v>
      </c>
      <c r="N157" s="632" t="s">
        <v>51</v>
      </c>
      <c r="O157" s="632" t="s">
        <v>36</v>
      </c>
      <c r="P157" s="632" t="s">
        <v>306</v>
      </c>
      <c r="Q157" s="649"/>
      <c r="R157" s="637" t="s">
        <v>886</v>
      </c>
      <c r="S157" s="637" t="s">
        <v>242</v>
      </c>
      <c r="T157" s="653">
        <v>43109</v>
      </c>
      <c r="U157" s="637" t="s">
        <v>887</v>
      </c>
      <c r="V157" s="637" t="s">
        <v>659</v>
      </c>
      <c r="W157" s="654">
        <v>32550000</v>
      </c>
      <c r="X157" s="654">
        <v>6510000</v>
      </c>
      <c r="Y157" s="654">
        <f t="shared" si="15"/>
        <v>39060000</v>
      </c>
      <c r="Z157" s="654">
        <f t="shared" si="13"/>
        <v>39060000</v>
      </c>
      <c r="AA157" s="654"/>
      <c r="AB157" s="637" t="s">
        <v>888</v>
      </c>
      <c r="AC157" s="637" t="s">
        <v>1298</v>
      </c>
      <c r="AD157" s="637" t="s">
        <v>680</v>
      </c>
      <c r="AE157" s="653">
        <v>43109</v>
      </c>
      <c r="AF157" s="653">
        <v>43259</v>
      </c>
      <c r="AG157" s="637" t="s">
        <v>889</v>
      </c>
      <c r="AH157" s="637" t="s">
        <v>877</v>
      </c>
    </row>
    <row r="158" spans="1:34" ht="171" customHeight="1" x14ac:dyDescent="0.25">
      <c r="A158" s="638">
        <f t="shared" si="14"/>
        <v>112</v>
      </c>
      <c r="B158" s="632" t="s">
        <v>481</v>
      </c>
      <c r="C158" s="633">
        <v>80101706</v>
      </c>
      <c r="D158" s="634" t="s">
        <v>528</v>
      </c>
      <c r="E158" s="632" t="s">
        <v>48</v>
      </c>
      <c r="F158" s="632">
        <v>1</v>
      </c>
      <c r="G158" s="844" t="s">
        <v>73</v>
      </c>
      <c r="H158" s="845">
        <v>5</v>
      </c>
      <c r="I158" s="632" t="s">
        <v>61</v>
      </c>
      <c r="J158" s="632" t="s">
        <v>66</v>
      </c>
      <c r="K158" s="632" t="s">
        <v>574</v>
      </c>
      <c r="L158" s="635">
        <v>32550000</v>
      </c>
      <c r="M158" s="636">
        <v>32550000</v>
      </c>
      <c r="N158" s="632" t="s">
        <v>51</v>
      </c>
      <c r="O158" s="632" t="s">
        <v>36</v>
      </c>
      <c r="P158" s="632" t="s">
        <v>306</v>
      </c>
      <c r="Q158" s="649"/>
      <c r="R158" s="637" t="s">
        <v>890</v>
      </c>
      <c r="S158" s="637" t="s">
        <v>891</v>
      </c>
      <c r="T158" s="653">
        <v>43109</v>
      </c>
      <c r="U158" s="637" t="s">
        <v>892</v>
      </c>
      <c r="V158" s="637" t="s">
        <v>659</v>
      </c>
      <c r="W158" s="654">
        <v>32550000</v>
      </c>
      <c r="X158" s="654">
        <v>6510000</v>
      </c>
      <c r="Y158" s="654">
        <f t="shared" si="15"/>
        <v>39060000</v>
      </c>
      <c r="Z158" s="654">
        <f t="shared" si="13"/>
        <v>39060000</v>
      </c>
      <c r="AA158" s="654"/>
      <c r="AB158" s="637" t="s">
        <v>888</v>
      </c>
      <c r="AC158" s="637" t="s">
        <v>1299</v>
      </c>
      <c r="AD158" s="637" t="s">
        <v>680</v>
      </c>
      <c r="AE158" s="653">
        <v>43110</v>
      </c>
      <c r="AF158" s="653">
        <v>43260</v>
      </c>
      <c r="AG158" s="637" t="s">
        <v>893</v>
      </c>
      <c r="AH158" s="637" t="s">
        <v>877</v>
      </c>
    </row>
    <row r="159" spans="1:34" ht="171" customHeight="1" x14ac:dyDescent="0.25">
      <c r="A159" s="638">
        <f t="shared" si="14"/>
        <v>113</v>
      </c>
      <c r="B159" s="632" t="s">
        <v>481</v>
      </c>
      <c r="C159" s="633">
        <v>80101706</v>
      </c>
      <c r="D159" s="634" t="s">
        <v>528</v>
      </c>
      <c r="E159" s="632" t="s">
        <v>48</v>
      </c>
      <c r="F159" s="632">
        <v>1</v>
      </c>
      <c r="G159" s="844" t="s">
        <v>73</v>
      </c>
      <c r="H159" s="845">
        <v>5</v>
      </c>
      <c r="I159" s="632" t="s">
        <v>61</v>
      </c>
      <c r="J159" s="632" t="s">
        <v>66</v>
      </c>
      <c r="K159" s="632" t="s">
        <v>574</v>
      </c>
      <c r="L159" s="635">
        <v>32550000</v>
      </c>
      <c r="M159" s="636">
        <v>32550000</v>
      </c>
      <c r="N159" s="632" t="s">
        <v>51</v>
      </c>
      <c r="O159" s="632" t="s">
        <v>36</v>
      </c>
      <c r="P159" s="632" t="s">
        <v>306</v>
      </c>
      <c r="Q159" s="649"/>
      <c r="R159" s="637" t="s">
        <v>894</v>
      </c>
      <c r="S159" s="637" t="s">
        <v>895</v>
      </c>
      <c r="T159" s="653">
        <v>43109</v>
      </c>
      <c r="U159" s="637" t="s">
        <v>887</v>
      </c>
      <c r="V159" s="637" t="s">
        <v>659</v>
      </c>
      <c r="W159" s="654">
        <v>32550000</v>
      </c>
      <c r="X159" s="654">
        <v>6510000</v>
      </c>
      <c r="Y159" s="654">
        <f t="shared" si="15"/>
        <v>39060000</v>
      </c>
      <c r="Z159" s="654">
        <f t="shared" si="13"/>
        <v>39060000</v>
      </c>
      <c r="AA159" s="654"/>
      <c r="AB159" s="637" t="s">
        <v>896</v>
      </c>
      <c r="AC159" s="637" t="s">
        <v>1300</v>
      </c>
      <c r="AD159" s="637" t="s">
        <v>680</v>
      </c>
      <c r="AE159" s="653">
        <v>43110</v>
      </c>
      <c r="AF159" s="653">
        <v>43260</v>
      </c>
      <c r="AG159" s="637" t="s">
        <v>885</v>
      </c>
      <c r="AH159" s="637" t="s">
        <v>877</v>
      </c>
    </row>
    <row r="160" spans="1:34" ht="152.1" customHeight="1" x14ac:dyDescent="0.25">
      <c r="A160" s="638">
        <f t="shared" si="14"/>
        <v>114</v>
      </c>
      <c r="B160" s="632" t="s">
        <v>234</v>
      </c>
      <c r="C160" s="633">
        <v>80101706</v>
      </c>
      <c r="D160" s="634" t="s">
        <v>532</v>
      </c>
      <c r="E160" s="632" t="s">
        <v>48</v>
      </c>
      <c r="F160" s="632">
        <v>1</v>
      </c>
      <c r="G160" s="844" t="s">
        <v>73</v>
      </c>
      <c r="H160" s="845">
        <v>5</v>
      </c>
      <c r="I160" s="632" t="s">
        <v>61</v>
      </c>
      <c r="J160" s="632" t="s">
        <v>66</v>
      </c>
      <c r="K160" s="632" t="s">
        <v>464</v>
      </c>
      <c r="L160" s="635">
        <v>18020000</v>
      </c>
      <c r="M160" s="636">
        <v>18020000</v>
      </c>
      <c r="N160" s="632" t="s">
        <v>51</v>
      </c>
      <c r="O160" s="632" t="s">
        <v>36</v>
      </c>
      <c r="P160" s="632" t="s">
        <v>490</v>
      </c>
      <c r="Q160" s="649"/>
      <c r="R160" s="637" t="s">
        <v>897</v>
      </c>
      <c r="S160" s="637" t="s">
        <v>305</v>
      </c>
      <c r="T160" s="653">
        <v>43109</v>
      </c>
      <c r="U160" s="637" t="s">
        <v>898</v>
      </c>
      <c r="V160" s="637" t="s">
        <v>659</v>
      </c>
      <c r="W160" s="654">
        <v>18020000</v>
      </c>
      <c r="X160" s="654">
        <v>3604000</v>
      </c>
      <c r="Y160" s="654">
        <f t="shared" si="15"/>
        <v>21624000</v>
      </c>
      <c r="Z160" s="654">
        <f t="shared" si="13"/>
        <v>21624000</v>
      </c>
      <c r="AA160" s="654"/>
      <c r="AB160" s="637" t="s">
        <v>1238</v>
      </c>
      <c r="AC160" s="637" t="s">
        <v>1301</v>
      </c>
      <c r="AD160" s="637" t="s">
        <v>680</v>
      </c>
      <c r="AE160" s="653">
        <v>43110</v>
      </c>
      <c r="AF160" s="653">
        <v>43260</v>
      </c>
      <c r="AG160" s="637" t="s">
        <v>681</v>
      </c>
      <c r="AH160" s="637" t="s">
        <v>234</v>
      </c>
    </row>
    <row r="161" spans="1:34" ht="132.94999999999999" customHeight="1" x14ac:dyDescent="0.25">
      <c r="A161" s="638">
        <f t="shared" si="14"/>
        <v>115</v>
      </c>
      <c r="B161" s="632" t="s">
        <v>234</v>
      </c>
      <c r="C161" s="633">
        <v>80101706</v>
      </c>
      <c r="D161" s="634" t="s">
        <v>532</v>
      </c>
      <c r="E161" s="632" t="s">
        <v>48</v>
      </c>
      <c r="F161" s="632">
        <v>1</v>
      </c>
      <c r="G161" s="844" t="s">
        <v>73</v>
      </c>
      <c r="H161" s="845">
        <v>5</v>
      </c>
      <c r="I161" s="632" t="s">
        <v>61</v>
      </c>
      <c r="J161" s="632" t="s">
        <v>66</v>
      </c>
      <c r="K161" s="632" t="s">
        <v>464</v>
      </c>
      <c r="L161" s="635">
        <v>27560000</v>
      </c>
      <c r="M161" s="636">
        <v>27560000</v>
      </c>
      <c r="N161" s="632" t="s">
        <v>51</v>
      </c>
      <c r="O161" s="632" t="s">
        <v>36</v>
      </c>
      <c r="P161" s="632" t="s">
        <v>490</v>
      </c>
      <c r="Q161" s="649"/>
      <c r="R161" s="637" t="s">
        <v>899</v>
      </c>
      <c r="S161" s="637" t="s">
        <v>900</v>
      </c>
      <c r="T161" s="653">
        <v>43109</v>
      </c>
      <c r="U161" s="637" t="s">
        <v>901</v>
      </c>
      <c r="V161" s="637" t="s">
        <v>659</v>
      </c>
      <c r="W161" s="654">
        <v>27560000</v>
      </c>
      <c r="X161" s="654">
        <v>5512000</v>
      </c>
      <c r="Y161" s="654">
        <f>W161+X161</f>
        <v>33072000</v>
      </c>
      <c r="Z161" s="654">
        <f t="shared" si="13"/>
        <v>33072000</v>
      </c>
      <c r="AA161" s="654"/>
      <c r="AB161" s="637" t="s">
        <v>902</v>
      </c>
      <c r="AC161" s="637" t="s">
        <v>1302</v>
      </c>
      <c r="AD161" s="637" t="s">
        <v>680</v>
      </c>
      <c r="AE161" s="653">
        <v>43111</v>
      </c>
      <c r="AF161" s="653">
        <v>43261</v>
      </c>
      <c r="AG161" s="637" t="s">
        <v>690</v>
      </c>
      <c r="AH161" s="637" t="s">
        <v>234</v>
      </c>
    </row>
    <row r="162" spans="1:34" ht="95.1" customHeight="1" x14ac:dyDescent="0.25">
      <c r="A162" s="638">
        <f t="shared" si="14"/>
        <v>116</v>
      </c>
      <c r="B162" s="632" t="s">
        <v>234</v>
      </c>
      <c r="C162" s="633">
        <v>80101706</v>
      </c>
      <c r="D162" s="634" t="s">
        <v>532</v>
      </c>
      <c r="E162" s="632" t="s">
        <v>48</v>
      </c>
      <c r="F162" s="632">
        <v>1</v>
      </c>
      <c r="G162" s="844" t="s">
        <v>73</v>
      </c>
      <c r="H162" s="845">
        <v>5</v>
      </c>
      <c r="I162" s="632" t="s">
        <v>61</v>
      </c>
      <c r="J162" s="632" t="s">
        <v>66</v>
      </c>
      <c r="K162" s="632" t="s">
        <v>464</v>
      </c>
      <c r="L162" s="635">
        <v>25040000</v>
      </c>
      <c r="M162" s="636">
        <v>25040000</v>
      </c>
      <c r="N162" s="632" t="s">
        <v>51</v>
      </c>
      <c r="O162" s="632" t="s">
        <v>36</v>
      </c>
      <c r="P162" s="632" t="s">
        <v>490</v>
      </c>
      <c r="Q162" s="649"/>
      <c r="R162" s="637" t="s">
        <v>903</v>
      </c>
      <c r="S162" s="637" t="s">
        <v>904</v>
      </c>
      <c r="T162" s="653">
        <v>43109</v>
      </c>
      <c r="U162" s="637" t="s">
        <v>678</v>
      </c>
      <c r="V162" s="637" t="s">
        <v>659</v>
      </c>
      <c r="W162" s="654">
        <v>25040000</v>
      </c>
      <c r="X162" s="654">
        <v>5008000</v>
      </c>
      <c r="Y162" s="654">
        <f>W162+X162</f>
        <v>30048000</v>
      </c>
      <c r="Z162" s="654">
        <f t="shared" si="13"/>
        <v>30048000</v>
      </c>
      <c r="AA162" s="654"/>
      <c r="AB162" s="637" t="s">
        <v>905</v>
      </c>
      <c r="AC162" s="637" t="s">
        <v>1303</v>
      </c>
      <c r="AD162" s="637" t="s">
        <v>680</v>
      </c>
      <c r="AE162" s="653">
        <v>43118</v>
      </c>
      <c r="AF162" s="653">
        <v>43268</v>
      </c>
      <c r="AG162" s="637" t="s">
        <v>681</v>
      </c>
      <c r="AH162" s="637" t="s">
        <v>234</v>
      </c>
    </row>
    <row r="163" spans="1:34" ht="95.1" customHeight="1" x14ac:dyDescent="0.25">
      <c r="A163" s="638">
        <f t="shared" si="14"/>
        <v>117</v>
      </c>
      <c r="B163" s="632" t="s">
        <v>263</v>
      </c>
      <c r="C163" s="633">
        <v>80101706</v>
      </c>
      <c r="D163" s="634" t="s">
        <v>492</v>
      </c>
      <c r="E163" s="632" t="s">
        <v>48</v>
      </c>
      <c r="F163" s="632">
        <v>1</v>
      </c>
      <c r="G163" s="844" t="s">
        <v>73</v>
      </c>
      <c r="H163" s="845">
        <v>3</v>
      </c>
      <c r="I163" s="632" t="s">
        <v>61</v>
      </c>
      <c r="J163" s="632" t="s">
        <v>66</v>
      </c>
      <c r="K163" s="632" t="s">
        <v>589</v>
      </c>
      <c r="L163" s="635">
        <v>21498000</v>
      </c>
      <c r="M163" s="636">
        <v>21498000</v>
      </c>
      <c r="N163" s="632" t="s">
        <v>51</v>
      </c>
      <c r="O163" s="632" t="s">
        <v>36</v>
      </c>
      <c r="P163" s="632" t="s">
        <v>493</v>
      </c>
      <c r="Q163" s="649"/>
      <c r="R163" s="637" t="s">
        <v>906</v>
      </c>
      <c r="S163" s="637" t="s">
        <v>907</v>
      </c>
      <c r="T163" s="653">
        <v>43117</v>
      </c>
      <c r="U163" s="637" t="s">
        <v>908</v>
      </c>
      <c r="V163" s="637" t="s">
        <v>659</v>
      </c>
      <c r="W163" s="654">
        <v>21498000</v>
      </c>
      <c r="X163" s="654">
        <v>0</v>
      </c>
      <c r="Y163" s="654">
        <v>21498000</v>
      </c>
      <c r="Z163" s="654">
        <v>21498000</v>
      </c>
      <c r="AA163" s="654">
        <f t="shared" ref="AA163:AA208" si="16">Z163-Y163</f>
        <v>0</v>
      </c>
      <c r="AB163" s="637" t="s">
        <v>909</v>
      </c>
      <c r="AC163" s="637" t="s">
        <v>1304</v>
      </c>
      <c r="AD163" s="637" t="s">
        <v>910</v>
      </c>
      <c r="AE163" s="653">
        <v>43122</v>
      </c>
      <c r="AF163" s="653">
        <v>43211</v>
      </c>
      <c r="AG163" s="637" t="s">
        <v>815</v>
      </c>
      <c r="AH163" s="637" t="s">
        <v>816</v>
      </c>
    </row>
    <row r="164" spans="1:34" ht="95.1" customHeight="1" x14ac:dyDescent="0.25">
      <c r="A164" s="638">
        <f t="shared" si="14"/>
        <v>118</v>
      </c>
      <c r="B164" s="632" t="s">
        <v>263</v>
      </c>
      <c r="C164" s="633">
        <v>80101706</v>
      </c>
      <c r="D164" s="634" t="s">
        <v>492</v>
      </c>
      <c r="E164" s="632" t="s">
        <v>48</v>
      </c>
      <c r="F164" s="632">
        <v>1</v>
      </c>
      <c r="G164" s="844" t="s">
        <v>73</v>
      </c>
      <c r="H164" s="845">
        <v>3</v>
      </c>
      <c r="I164" s="632" t="s">
        <v>61</v>
      </c>
      <c r="J164" s="632" t="s">
        <v>66</v>
      </c>
      <c r="K164" s="632" t="s">
        <v>589</v>
      </c>
      <c r="L164" s="635">
        <v>15693000</v>
      </c>
      <c r="M164" s="636">
        <v>15693000</v>
      </c>
      <c r="N164" s="632" t="s">
        <v>51</v>
      </c>
      <c r="O164" s="632" t="s">
        <v>36</v>
      </c>
      <c r="P164" s="632" t="s">
        <v>493</v>
      </c>
      <c r="Q164" s="649"/>
      <c r="R164" s="637" t="s">
        <v>911</v>
      </c>
      <c r="S164" s="637" t="s">
        <v>912</v>
      </c>
      <c r="T164" s="653">
        <v>43117</v>
      </c>
      <c r="U164" s="637" t="s">
        <v>913</v>
      </c>
      <c r="V164" s="637" t="s">
        <v>659</v>
      </c>
      <c r="W164" s="654">
        <v>15693000</v>
      </c>
      <c r="X164" s="654">
        <v>0</v>
      </c>
      <c r="Y164" s="654">
        <v>15693000</v>
      </c>
      <c r="Z164" s="654">
        <v>15693000</v>
      </c>
      <c r="AA164" s="654">
        <f t="shared" si="16"/>
        <v>0</v>
      </c>
      <c r="AB164" s="637" t="s">
        <v>914</v>
      </c>
      <c r="AC164" s="637" t="s">
        <v>1305</v>
      </c>
      <c r="AD164" s="637" t="s">
        <v>910</v>
      </c>
      <c r="AE164" s="653">
        <v>43122</v>
      </c>
      <c r="AF164" s="653">
        <v>43211</v>
      </c>
      <c r="AG164" s="637" t="s">
        <v>815</v>
      </c>
      <c r="AH164" s="637" t="s">
        <v>816</v>
      </c>
    </row>
    <row r="165" spans="1:34" ht="132.94999999999999" customHeight="1" x14ac:dyDescent="0.25">
      <c r="A165" s="638">
        <f t="shared" si="14"/>
        <v>119</v>
      </c>
      <c r="B165" s="632" t="s">
        <v>263</v>
      </c>
      <c r="C165" s="633">
        <v>80101706</v>
      </c>
      <c r="D165" s="634" t="s">
        <v>492</v>
      </c>
      <c r="E165" s="632" t="s">
        <v>48</v>
      </c>
      <c r="F165" s="632">
        <v>1</v>
      </c>
      <c r="G165" s="844" t="s">
        <v>73</v>
      </c>
      <c r="H165" s="845">
        <v>3</v>
      </c>
      <c r="I165" s="632" t="s">
        <v>61</v>
      </c>
      <c r="J165" s="632" t="s">
        <v>66</v>
      </c>
      <c r="K165" s="632" t="s">
        <v>589</v>
      </c>
      <c r="L165" s="635">
        <v>19182000</v>
      </c>
      <c r="M165" s="636">
        <v>19182000</v>
      </c>
      <c r="N165" s="632" t="s">
        <v>51</v>
      </c>
      <c r="O165" s="632" t="s">
        <v>36</v>
      </c>
      <c r="P165" s="632" t="s">
        <v>493</v>
      </c>
      <c r="Q165" s="649"/>
      <c r="R165" s="637" t="s">
        <v>915</v>
      </c>
      <c r="S165" s="637" t="s">
        <v>916</v>
      </c>
      <c r="T165" s="653">
        <v>43117</v>
      </c>
      <c r="U165" s="637" t="s">
        <v>917</v>
      </c>
      <c r="V165" s="637" t="s">
        <v>659</v>
      </c>
      <c r="W165" s="654">
        <v>19182000</v>
      </c>
      <c r="X165" s="654">
        <v>0</v>
      </c>
      <c r="Y165" s="654">
        <v>19182000</v>
      </c>
      <c r="Z165" s="654">
        <v>19182000</v>
      </c>
      <c r="AA165" s="654">
        <f t="shared" si="16"/>
        <v>0</v>
      </c>
      <c r="AB165" s="637" t="s">
        <v>918</v>
      </c>
      <c r="AC165" s="637" t="s">
        <v>1306</v>
      </c>
      <c r="AD165" s="637" t="s">
        <v>910</v>
      </c>
      <c r="AE165" s="653">
        <v>43122</v>
      </c>
      <c r="AF165" s="653">
        <v>43211</v>
      </c>
      <c r="AG165" s="637" t="s">
        <v>815</v>
      </c>
      <c r="AH165" s="637" t="s">
        <v>816</v>
      </c>
    </row>
    <row r="166" spans="1:34" ht="94.15" customHeight="1" x14ac:dyDescent="0.25">
      <c r="A166" s="638">
        <f t="shared" si="14"/>
        <v>120</v>
      </c>
      <c r="B166" s="632" t="s">
        <v>263</v>
      </c>
      <c r="C166" s="633">
        <v>80101706</v>
      </c>
      <c r="D166" s="634" t="s">
        <v>624</v>
      </c>
      <c r="E166" s="632" t="s">
        <v>48</v>
      </c>
      <c r="F166" s="632">
        <v>1</v>
      </c>
      <c r="G166" s="844" t="s">
        <v>73</v>
      </c>
      <c r="H166" s="845">
        <v>3</v>
      </c>
      <c r="I166" s="632" t="s">
        <v>61</v>
      </c>
      <c r="J166" s="632" t="s">
        <v>66</v>
      </c>
      <c r="K166" s="632" t="s">
        <v>589</v>
      </c>
      <c r="L166" s="635">
        <v>4050000</v>
      </c>
      <c r="M166" s="636">
        <f t="shared" ref="M166:M172" si="17">+L166</f>
        <v>4050000</v>
      </c>
      <c r="N166" s="632" t="s">
        <v>51</v>
      </c>
      <c r="O166" s="632" t="s">
        <v>36</v>
      </c>
      <c r="P166" s="632" t="s">
        <v>493</v>
      </c>
      <c r="Q166" s="649"/>
      <c r="R166" s="637" t="s">
        <v>919</v>
      </c>
      <c r="S166" s="637" t="s">
        <v>920</v>
      </c>
      <c r="T166" s="653">
        <v>43117</v>
      </c>
      <c r="U166" s="637" t="s">
        <v>921</v>
      </c>
      <c r="V166" s="637" t="s">
        <v>666</v>
      </c>
      <c r="W166" s="654">
        <v>4050000</v>
      </c>
      <c r="X166" s="654">
        <v>0</v>
      </c>
      <c r="Y166" s="654">
        <v>4050000</v>
      </c>
      <c r="Z166" s="654">
        <v>4050000</v>
      </c>
      <c r="AA166" s="654">
        <f t="shared" si="16"/>
        <v>0</v>
      </c>
      <c r="AB166" s="637" t="s">
        <v>922</v>
      </c>
      <c r="AC166" s="637" t="s">
        <v>1307</v>
      </c>
      <c r="AD166" s="637" t="s">
        <v>910</v>
      </c>
      <c r="AE166" s="653">
        <v>43122</v>
      </c>
      <c r="AF166" s="653">
        <v>43211</v>
      </c>
      <c r="AG166" s="637" t="s">
        <v>815</v>
      </c>
      <c r="AH166" s="637" t="s">
        <v>816</v>
      </c>
    </row>
    <row r="167" spans="1:34" ht="90.6" customHeight="1" x14ac:dyDescent="0.25">
      <c r="A167" s="638">
        <f t="shared" si="14"/>
        <v>121</v>
      </c>
      <c r="B167" s="632" t="s">
        <v>263</v>
      </c>
      <c r="C167" s="633">
        <v>80101706</v>
      </c>
      <c r="D167" s="634" t="s">
        <v>492</v>
      </c>
      <c r="E167" s="632" t="s">
        <v>48</v>
      </c>
      <c r="F167" s="632">
        <v>1</v>
      </c>
      <c r="G167" s="844" t="s">
        <v>73</v>
      </c>
      <c r="H167" s="845">
        <v>5</v>
      </c>
      <c r="I167" s="632" t="s">
        <v>61</v>
      </c>
      <c r="J167" s="632" t="s">
        <v>66</v>
      </c>
      <c r="K167" s="632" t="s">
        <v>589</v>
      </c>
      <c r="L167" s="635">
        <v>10000000</v>
      </c>
      <c r="M167" s="636">
        <f t="shared" si="17"/>
        <v>10000000</v>
      </c>
      <c r="N167" s="632" t="s">
        <v>51</v>
      </c>
      <c r="O167" s="632" t="s">
        <v>36</v>
      </c>
      <c r="P167" s="632" t="s">
        <v>493</v>
      </c>
      <c r="Q167" s="649"/>
      <c r="R167" s="637" t="s">
        <v>923</v>
      </c>
      <c r="S167" s="637" t="s">
        <v>296</v>
      </c>
      <c r="T167" s="653">
        <v>43115</v>
      </c>
      <c r="U167" s="637" t="s">
        <v>924</v>
      </c>
      <c r="V167" s="637" t="s">
        <v>659</v>
      </c>
      <c r="W167" s="654">
        <v>10000000</v>
      </c>
      <c r="X167" s="654">
        <v>0</v>
      </c>
      <c r="Y167" s="654">
        <v>10000000</v>
      </c>
      <c r="Z167" s="654">
        <v>10000000</v>
      </c>
      <c r="AA167" s="654">
        <f t="shared" si="16"/>
        <v>0</v>
      </c>
      <c r="AB167" s="637" t="s">
        <v>925</v>
      </c>
      <c r="AC167" s="637" t="s">
        <v>1308</v>
      </c>
      <c r="AD167" s="637" t="s">
        <v>680</v>
      </c>
      <c r="AE167" s="653">
        <v>43116</v>
      </c>
      <c r="AF167" s="653">
        <v>43266</v>
      </c>
      <c r="AG167" s="637" t="s">
        <v>926</v>
      </c>
      <c r="AH167" s="637" t="s">
        <v>669</v>
      </c>
    </row>
    <row r="168" spans="1:34" ht="98.45" customHeight="1" x14ac:dyDescent="0.25">
      <c r="A168" s="638">
        <f t="shared" si="14"/>
        <v>122</v>
      </c>
      <c r="B168" s="632" t="s">
        <v>494</v>
      </c>
      <c r="C168" s="633">
        <v>80101706</v>
      </c>
      <c r="D168" s="634" t="s">
        <v>495</v>
      </c>
      <c r="E168" s="632" t="s">
        <v>48</v>
      </c>
      <c r="F168" s="632">
        <v>1</v>
      </c>
      <c r="G168" s="844" t="s">
        <v>73</v>
      </c>
      <c r="H168" s="845">
        <v>8</v>
      </c>
      <c r="I168" s="632" t="s">
        <v>61</v>
      </c>
      <c r="J168" s="632" t="s">
        <v>66</v>
      </c>
      <c r="K168" s="632" t="s">
        <v>589</v>
      </c>
      <c r="L168" s="635">
        <v>31160000</v>
      </c>
      <c r="M168" s="636">
        <f t="shared" si="17"/>
        <v>31160000</v>
      </c>
      <c r="N168" s="632" t="s">
        <v>51</v>
      </c>
      <c r="O168" s="632" t="s">
        <v>36</v>
      </c>
      <c r="P168" s="632" t="s">
        <v>493</v>
      </c>
      <c r="Q168" s="649"/>
      <c r="R168" s="637" t="s">
        <v>927</v>
      </c>
      <c r="S168" s="637" t="s">
        <v>928</v>
      </c>
      <c r="T168" s="653">
        <v>43124</v>
      </c>
      <c r="U168" s="637" t="s">
        <v>929</v>
      </c>
      <c r="V168" s="637" t="s">
        <v>659</v>
      </c>
      <c r="W168" s="654">
        <v>31160000</v>
      </c>
      <c r="X168" s="654">
        <v>0</v>
      </c>
      <c r="Y168" s="654">
        <v>31160000</v>
      </c>
      <c r="Z168" s="654">
        <v>31160000</v>
      </c>
      <c r="AA168" s="654">
        <f t="shared" si="16"/>
        <v>0</v>
      </c>
      <c r="AB168" s="637" t="s">
        <v>930</v>
      </c>
      <c r="AC168" s="637" t="s">
        <v>1309</v>
      </c>
      <c r="AD168" s="637" t="s">
        <v>668</v>
      </c>
      <c r="AE168" s="653">
        <v>43124</v>
      </c>
      <c r="AF168" s="653">
        <v>43366</v>
      </c>
      <c r="AG168" s="637" t="s">
        <v>1237</v>
      </c>
      <c r="AH168" s="637" t="s">
        <v>669</v>
      </c>
    </row>
    <row r="169" spans="1:34" ht="152.1" customHeight="1" x14ac:dyDescent="0.25">
      <c r="A169" s="638">
        <f t="shared" si="14"/>
        <v>123</v>
      </c>
      <c r="B169" s="632" t="s">
        <v>264</v>
      </c>
      <c r="C169" s="633">
        <v>80101706</v>
      </c>
      <c r="D169" s="634" t="s">
        <v>517</v>
      </c>
      <c r="E169" s="632" t="s">
        <v>48</v>
      </c>
      <c r="F169" s="632">
        <v>1</v>
      </c>
      <c r="G169" s="844" t="s">
        <v>73</v>
      </c>
      <c r="H169" s="845" t="s">
        <v>639</v>
      </c>
      <c r="I169" s="632" t="s">
        <v>61</v>
      </c>
      <c r="J169" s="632" t="s">
        <v>66</v>
      </c>
      <c r="K169" s="632" t="s">
        <v>589</v>
      </c>
      <c r="L169" s="635">
        <v>29765000</v>
      </c>
      <c r="M169" s="636">
        <f t="shared" si="17"/>
        <v>29765000</v>
      </c>
      <c r="N169" s="632" t="s">
        <v>51</v>
      </c>
      <c r="O169" s="632" t="s">
        <v>36</v>
      </c>
      <c r="P169" s="632" t="s">
        <v>518</v>
      </c>
      <c r="Q169" s="649"/>
      <c r="R169" s="637" t="s">
        <v>931</v>
      </c>
      <c r="S169" s="637" t="s">
        <v>932</v>
      </c>
      <c r="T169" s="653">
        <v>43126</v>
      </c>
      <c r="U169" s="637" t="s">
        <v>933</v>
      </c>
      <c r="V169" s="637" t="s">
        <v>659</v>
      </c>
      <c r="W169" s="654">
        <v>29765000</v>
      </c>
      <c r="X169" s="654">
        <v>0</v>
      </c>
      <c r="Y169" s="654">
        <v>29765000</v>
      </c>
      <c r="Z169" s="654">
        <v>29765000</v>
      </c>
      <c r="AA169" s="654">
        <f t="shared" si="16"/>
        <v>0</v>
      </c>
      <c r="AB169" s="637" t="s">
        <v>934</v>
      </c>
      <c r="AC169" s="637" t="s">
        <v>1248</v>
      </c>
      <c r="AD169" s="637" t="s">
        <v>680</v>
      </c>
      <c r="AE169" s="653">
        <v>43126</v>
      </c>
      <c r="AF169" s="653">
        <v>43276</v>
      </c>
      <c r="AG169" s="637" t="s">
        <v>1241</v>
      </c>
      <c r="AH169" s="637" t="s">
        <v>816</v>
      </c>
    </row>
    <row r="170" spans="1:34" ht="114" customHeight="1" x14ac:dyDescent="0.25">
      <c r="A170" s="638">
        <f t="shared" si="14"/>
        <v>124</v>
      </c>
      <c r="B170" s="632" t="s">
        <v>264</v>
      </c>
      <c r="C170" s="633">
        <v>80101706</v>
      </c>
      <c r="D170" s="634" t="s">
        <v>517</v>
      </c>
      <c r="E170" s="632" t="s">
        <v>48</v>
      </c>
      <c r="F170" s="632">
        <v>1</v>
      </c>
      <c r="G170" s="844" t="s">
        <v>73</v>
      </c>
      <c r="H170" s="845">
        <v>2</v>
      </c>
      <c r="I170" s="632" t="s">
        <v>61</v>
      </c>
      <c r="J170" s="632" t="s">
        <v>66</v>
      </c>
      <c r="K170" s="632" t="s">
        <v>589</v>
      </c>
      <c r="L170" s="635">
        <v>15000000</v>
      </c>
      <c r="M170" s="636">
        <f t="shared" si="17"/>
        <v>15000000</v>
      </c>
      <c r="N170" s="632" t="s">
        <v>51</v>
      </c>
      <c r="O170" s="632" t="s">
        <v>36</v>
      </c>
      <c r="P170" s="632" t="s">
        <v>518</v>
      </c>
      <c r="Q170" s="649"/>
      <c r="R170" s="637" t="s">
        <v>935</v>
      </c>
      <c r="S170" s="637" t="s">
        <v>936</v>
      </c>
      <c r="T170" s="653">
        <v>43118</v>
      </c>
      <c r="U170" s="637" t="s">
        <v>937</v>
      </c>
      <c r="V170" s="637" t="s">
        <v>659</v>
      </c>
      <c r="W170" s="654">
        <v>15000000</v>
      </c>
      <c r="X170" s="654">
        <v>0</v>
      </c>
      <c r="Y170" s="654">
        <v>15000000</v>
      </c>
      <c r="Z170" s="654">
        <v>15000000</v>
      </c>
      <c r="AA170" s="654">
        <f t="shared" si="16"/>
        <v>0</v>
      </c>
      <c r="AB170" s="637" t="s">
        <v>938</v>
      </c>
      <c r="AC170" s="637" t="s">
        <v>1310</v>
      </c>
      <c r="AD170" s="637" t="s">
        <v>939</v>
      </c>
      <c r="AE170" s="653">
        <v>43119</v>
      </c>
      <c r="AF170" s="653">
        <v>43179</v>
      </c>
      <c r="AG170" s="637" t="s">
        <v>815</v>
      </c>
      <c r="AH170" s="637" t="s">
        <v>816</v>
      </c>
    </row>
    <row r="171" spans="1:34" ht="189.95" customHeight="1" x14ac:dyDescent="0.25">
      <c r="A171" s="638">
        <f t="shared" si="14"/>
        <v>125</v>
      </c>
      <c r="B171" s="632" t="s">
        <v>264</v>
      </c>
      <c r="C171" s="633">
        <v>80101706</v>
      </c>
      <c r="D171" s="634" t="s">
        <v>517</v>
      </c>
      <c r="E171" s="632" t="s">
        <v>48</v>
      </c>
      <c r="F171" s="632">
        <v>1</v>
      </c>
      <c r="G171" s="844" t="s">
        <v>73</v>
      </c>
      <c r="H171" s="845">
        <v>2</v>
      </c>
      <c r="I171" s="632" t="s">
        <v>61</v>
      </c>
      <c r="J171" s="632" t="s">
        <v>66</v>
      </c>
      <c r="K171" s="632" t="s">
        <v>589</v>
      </c>
      <c r="L171" s="635">
        <v>15000000</v>
      </c>
      <c r="M171" s="636">
        <f t="shared" si="17"/>
        <v>15000000</v>
      </c>
      <c r="N171" s="632" t="s">
        <v>51</v>
      </c>
      <c r="O171" s="632" t="s">
        <v>36</v>
      </c>
      <c r="P171" s="632" t="s">
        <v>518</v>
      </c>
      <c r="Q171" s="649"/>
      <c r="R171" s="637" t="s">
        <v>940</v>
      </c>
      <c r="S171" s="637" t="s">
        <v>941</v>
      </c>
      <c r="T171" s="653">
        <v>43123</v>
      </c>
      <c r="U171" s="637" t="s">
        <v>942</v>
      </c>
      <c r="V171" s="637" t="s">
        <v>659</v>
      </c>
      <c r="W171" s="654">
        <v>15000000</v>
      </c>
      <c r="X171" s="654">
        <v>0</v>
      </c>
      <c r="Y171" s="654">
        <v>15000000</v>
      </c>
      <c r="Z171" s="654">
        <v>15000000</v>
      </c>
      <c r="AA171" s="654">
        <f t="shared" si="16"/>
        <v>0</v>
      </c>
      <c r="AB171" s="637" t="s">
        <v>693</v>
      </c>
      <c r="AC171" s="637" t="s">
        <v>1311</v>
      </c>
      <c r="AD171" s="637" t="s">
        <v>939</v>
      </c>
      <c r="AE171" s="653">
        <v>43125</v>
      </c>
      <c r="AF171" s="653">
        <v>43183</v>
      </c>
      <c r="AG171" s="637" t="s">
        <v>815</v>
      </c>
      <c r="AH171" s="637" t="s">
        <v>816</v>
      </c>
    </row>
    <row r="172" spans="1:34" ht="132.94999999999999" customHeight="1" x14ac:dyDescent="0.25">
      <c r="A172" s="638">
        <f t="shared" si="14"/>
        <v>126</v>
      </c>
      <c r="B172" s="632" t="s">
        <v>264</v>
      </c>
      <c r="C172" s="633">
        <v>80101706</v>
      </c>
      <c r="D172" s="634" t="s">
        <v>625</v>
      </c>
      <c r="E172" s="632" t="s">
        <v>48</v>
      </c>
      <c r="F172" s="632">
        <v>1</v>
      </c>
      <c r="G172" s="844" t="s">
        <v>73</v>
      </c>
      <c r="H172" s="845">
        <v>8</v>
      </c>
      <c r="I172" s="632" t="s">
        <v>61</v>
      </c>
      <c r="J172" s="632" t="s">
        <v>66</v>
      </c>
      <c r="K172" s="632" t="s">
        <v>589</v>
      </c>
      <c r="L172" s="635">
        <v>15272000</v>
      </c>
      <c r="M172" s="636">
        <f t="shared" si="17"/>
        <v>15272000</v>
      </c>
      <c r="N172" s="632" t="s">
        <v>51</v>
      </c>
      <c r="O172" s="632" t="s">
        <v>36</v>
      </c>
      <c r="P172" s="632" t="s">
        <v>518</v>
      </c>
      <c r="Q172" s="649"/>
      <c r="R172" s="637" t="s">
        <v>943</v>
      </c>
      <c r="S172" s="637" t="s">
        <v>944</v>
      </c>
      <c r="T172" s="653">
        <v>43118</v>
      </c>
      <c r="U172" s="637" t="s">
        <v>945</v>
      </c>
      <c r="V172" s="637" t="s">
        <v>666</v>
      </c>
      <c r="W172" s="654">
        <v>15272000</v>
      </c>
      <c r="X172" s="654">
        <v>5727000</v>
      </c>
      <c r="Y172" s="654">
        <v>20999000</v>
      </c>
      <c r="Z172" s="654">
        <v>20999000</v>
      </c>
      <c r="AA172" s="654">
        <f t="shared" si="16"/>
        <v>0</v>
      </c>
      <c r="AB172" s="637" t="s">
        <v>946</v>
      </c>
      <c r="AC172" s="637" t="s">
        <v>1312</v>
      </c>
      <c r="AD172" s="637" t="s">
        <v>668</v>
      </c>
      <c r="AE172" s="653">
        <v>43119</v>
      </c>
      <c r="AF172" s="653">
        <v>43361</v>
      </c>
      <c r="AG172" s="637" t="s">
        <v>815</v>
      </c>
      <c r="AH172" s="637" t="s">
        <v>816</v>
      </c>
    </row>
    <row r="173" spans="1:34" ht="152.1" customHeight="1" x14ac:dyDescent="0.25">
      <c r="A173" s="638">
        <f t="shared" si="14"/>
        <v>127</v>
      </c>
      <c r="B173" s="632" t="s">
        <v>520</v>
      </c>
      <c r="C173" s="633">
        <v>80101706</v>
      </c>
      <c r="D173" s="634" t="s">
        <v>521</v>
      </c>
      <c r="E173" s="632" t="s">
        <v>48</v>
      </c>
      <c r="F173" s="632">
        <v>1</v>
      </c>
      <c r="G173" s="844" t="s">
        <v>73</v>
      </c>
      <c r="H173" s="845" t="s">
        <v>231</v>
      </c>
      <c r="I173" s="632" t="s">
        <v>61</v>
      </c>
      <c r="J173" s="632" t="s">
        <v>66</v>
      </c>
      <c r="K173" s="632" t="s">
        <v>589</v>
      </c>
      <c r="L173" s="635">
        <v>45000000</v>
      </c>
      <c r="M173" s="636">
        <v>45000000</v>
      </c>
      <c r="N173" s="632" t="s">
        <v>51</v>
      </c>
      <c r="O173" s="632" t="s">
        <v>36</v>
      </c>
      <c r="P173" s="632" t="s">
        <v>522</v>
      </c>
      <c r="Q173" s="649"/>
      <c r="R173" s="637" t="s">
        <v>947</v>
      </c>
      <c r="S173" s="637" t="s">
        <v>948</v>
      </c>
      <c r="T173" s="653">
        <v>43123</v>
      </c>
      <c r="U173" s="637" t="s">
        <v>949</v>
      </c>
      <c r="V173" s="637" t="s">
        <v>659</v>
      </c>
      <c r="W173" s="654">
        <v>45000000</v>
      </c>
      <c r="X173" s="654">
        <v>0</v>
      </c>
      <c r="Y173" s="654">
        <v>45000000</v>
      </c>
      <c r="Z173" s="654">
        <v>45000000</v>
      </c>
      <c r="AA173" s="654">
        <f t="shared" si="16"/>
        <v>0</v>
      </c>
      <c r="AB173" s="637" t="s">
        <v>950</v>
      </c>
      <c r="AC173" s="637" t="s">
        <v>1313</v>
      </c>
      <c r="AD173" s="637" t="s">
        <v>910</v>
      </c>
      <c r="AE173" s="653">
        <v>43125</v>
      </c>
      <c r="AF173" s="653">
        <v>43214</v>
      </c>
      <c r="AG173" s="637" t="s">
        <v>951</v>
      </c>
      <c r="AH173" s="637" t="s">
        <v>830</v>
      </c>
    </row>
    <row r="174" spans="1:34" ht="266.10000000000002" customHeight="1" x14ac:dyDescent="0.25">
      <c r="A174" s="638">
        <f t="shared" si="14"/>
        <v>128</v>
      </c>
      <c r="B174" s="632" t="s">
        <v>520</v>
      </c>
      <c r="C174" s="633">
        <v>80101706</v>
      </c>
      <c r="D174" s="634" t="s">
        <v>521</v>
      </c>
      <c r="E174" s="632" t="s">
        <v>48</v>
      </c>
      <c r="F174" s="632">
        <v>1</v>
      </c>
      <c r="G174" s="844" t="s">
        <v>73</v>
      </c>
      <c r="H174" s="845">
        <v>8</v>
      </c>
      <c r="I174" s="632" t="s">
        <v>61</v>
      </c>
      <c r="J174" s="632" t="s">
        <v>66</v>
      </c>
      <c r="K174" s="632" t="s">
        <v>589</v>
      </c>
      <c r="L174" s="635">
        <v>58800000</v>
      </c>
      <c r="M174" s="636">
        <f t="shared" ref="M174:M189" si="18">+L174</f>
        <v>58800000</v>
      </c>
      <c r="N174" s="632" t="s">
        <v>51</v>
      </c>
      <c r="O174" s="632" t="s">
        <v>36</v>
      </c>
      <c r="P174" s="632" t="s">
        <v>522</v>
      </c>
      <c r="Q174" s="649"/>
      <c r="R174" s="637" t="s">
        <v>952</v>
      </c>
      <c r="S174" s="637" t="s">
        <v>953</v>
      </c>
      <c r="T174" s="653">
        <v>43112</v>
      </c>
      <c r="U174" s="637" t="s">
        <v>954</v>
      </c>
      <c r="V174" s="637" t="s">
        <v>659</v>
      </c>
      <c r="W174" s="654">
        <v>58800000</v>
      </c>
      <c r="X174" s="654">
        <v>0</v>
      </c>
      <c r="Y174" s="654">
        <v>58800000</v>
      </c>
      <c r="Z174" s="654">
        <v>58800000</v>
      </c>
      <c r="AA174" s="654">
        <f t="shared" si="16"/>
        <v>0</v>
      </c>
      <c r="AB174" s="637" t="s">
        <v>955</v>
      </c>
      <c r="AC174" s="637" t="s">
        <v>1314</v>
      </c>
      <c r="AD174" s="637" t="s">
        <v>956</v>
      </c>
      <c r="AE174" s="653">
        <v>43116</v>
      </c>
      <c r="AF174" s="653">
        <v>43358</v>
      </c>
      <c r="AG174" s="637" t="s">
        <v>835</v>
      </c>
      <c r="AH174" s="637" t="s">
        <v>830</v>
      </c>
    </row>
    <row r="175" spans="1:34" ht="132.94999999999999" customHeight="1" x14ac:dyDescent="0.25">
      <c r="A175" s="638">
        <f t="shared" si="14"/>
        <v>129</v>
      </c>
      <c r="B175" s="632" t="s">
        <v>520</v>
      </c>
      <c r="C175" s="633">
        <v>80101706</v>
      </c>
      <c r="D175" s="634" t="s">
        <v>521</v>
      </c>
      <c r="E175" s="632" t="s">
        <v>48</v>
      </c>
      <c r="F175" s="632">
        <v>1</v>
      </c>
      <c r="G175" s="844" t="s">
        <v>73</v>
      </c>
      <c r="H175" s="845">
        <v>8</v>
      </c>
      <c r="I175" s="632" t="s">
        <v>61</v>
      </c>
      <c r="J175" s="632" t="s">
        <v>66</v>
      </c>
      <c r="K175" s="632" t="s">
        <v>589</v>
      </c>
      <c r="L175" s="635">
        <v>48000000</v>
      </c>
      <c r="M175" s="636">
        <f t="shared" si="18"/>
        <v>48000000</v>
      </c>
      <c r="N175" s="632" t="s">
        <v>51</v>
      </c>
      <c r="O175" s="632" t="s">
        <v>36</v>
      </c>
      <c r="P175" s="632" t="s">
        <v>522</v>
      </c>
      <c r="Q175" s="649"/>
      <c r="R175" s="637" t="s">
        <v>957</v>
      </c>
      <c r="S175" s="637" t="s">
        <v>958</v>
      </c>
      <c r="T175" s="653">
        <v>43115</v>
      </c>
      <c r="U175" s="637" t="s">
        <v>959</v>
      </c>
      <c r="V175" s="637" t="s">
        <v>659</v>
      </c>
      <c r="W175" s="654">
        <v>28200000</v>
      </c>
      <c r="X175" s="654"/>
      <c r="Y175" s="654">
        <v>28200000</v>
      </c>
      <c r="Z175" s="654">
        <v>28200000</v>
      </c>
      <c r="AA175" s="654">
        <f t="shared" si="16"/>
        <v>0</v>
      </c>
      <c r="AB175" s="637" t="s">
        <v>960</v>
      </c>
      <c r="AC175" s="637" t="s">
        <v>1315</v>
      </c>
      <c r="AD175" s="637" t="s">
        <v>961</v>
      </c>
      <c r="AE175" s="653">
        <v>43118</v>
      </c>
      <c r="AF175" s="653">
        <v>43360</v>
      </c>
      <c r="AG175" s="637" t="s">
        <v>1196</v>
      </c>
      <c r="AH175" s="637" t="s">
        <v>830</v>
      </c>
    </row>
    <row r="176" spans="1:34" ht="90.6" customHeight="1" x14ac:dyDescent="0.25">
      <c r="A176" s="638">
        <f t="shared" si="14"/>
        <v>130</v>
      </c>
      <c r="B176" s="632" t="s">
        <v>481</v>
      </c>
      <c r="C176" s="633">
        <v>80101706</v>
      </c>
      <c r="D176" s="634" t="s">
        <v>528</v>
      </c>
      <c r="E176" s="632" t="s">
        <v>48</v>
      </c>
      <c r="F176" s="632">
        <v>1</v>
      </c>
      <c r="G176" s="844" t="s">
        <v>73</v>
      </c>
      <c r="H176" s="845">
        <v>5</v>
      </c>
      <c r="I176" s="632" t="s">
        <v>61</v>
      </c>
      <c r="J176" s="632" t="s">
        <v>66</v>
      </c>
      <c r="K176" s="632" t="s">
        <v>589</v>
      </c>
      <c r="L176" s="635">
        <v>32550000</v>
      </c>
      <c r="M176" s="636">
        <f t="shared" si="18"/>
        <v>32550000</v>
      </c>
      <c r="N176" s="632" t="s">
        <v>51</v>
      </c>
      <c r="O176" s="632" t="s">
        <v>36</v>
      </c>
      <c r="P176" s="632" t="s">
        <v>306</v>
      </c>
      <c r="Q176" s="649"/>
      <c r="R176" s="637" t="s">
        <v>962</v>
      </c>
      <c r="S176" s="637" t="s">
        <v>963</v>
      </c>
      <c r="T176" s="653">
        <v>43118</v>
      </c>
      <c r="U176" s="637" t="s">
        <v>964</v>
      </c>
      <c r="V176" s="637" t="s">
        <v>659</v>
      </c>
      <c r="W176" s="654">
        <v>32550000</v>
      </c>
      <c r="X176" s="654">
        <v>6510000</v>
      </c>
      <c r="Y176" s="654">
        <f>W176+X176</f>
        <v>39060000</v>
      </c>
      <c r="Z176" s="654">
        <f>Y176</f>
        <v>39060000</v>
      </c>
      <c r="AA176" s="654">
        <f t="shared" si="16"/>
        <v>0</v>
      </c>
      <c r="AB176" s="637" t="s">
        <v>965</v>
      </c>
      <c r="AC176" s="637" t="s">
        <v>1316</v>
      </c>
      <c r="AD176" s="637" t="s">
        <v>834</v>
      </c>
      <c r="AE176" s="653">
        <v>43119</v>
      </c>
      <c r="AF176" s="653">
        <v>43269</v>
      </c>
      <c r="AG176" s="637" t="s">
        <v>893</v>
      </c>
      <c r="AH176" s="637" t="s">
        <v>877</v>
      </c>
    </row>
    <row r="177" spans="1:34" ht="84.6" customHeight="1" x14ac:dyDescent="0.25">
      <c r="A177" s="638">
        <f t="shared" si="14"/>
        <v>131</v>
      </c>
      <c r="B177" s="632" t="s">
        <v>481</v>
      </c>
      <c r="C177" s="633">
        <v>80101706</v>
      </c>
      <c r="D177" s="634" t="s">
        <v>528</v>
      </c>
      <c r="E177" s="632" t="s">
        <v>48</v>
      </c>
      <c r="F177" s="632">
        <v>1</v>
      </c>
      <c r="G177" s="844" t="s">
        <v>73</v>
      </c>
      <c r="H177" s="845">
        <v>8</v>
      </c>
      <c r="I177" s="632" t="s">
        <v>61</v>
      </c>
      <c r="J177" s="632" t="s">
        <v>66</v>
      </c>
      <c r="K177" s="632" t="s">
        <v>589</v>
      </c>
      <c r="L177" s="635">
        <v>42400000</v>
      </c>
      <c r="M177" s="636">
        <f t="shared" si="18"/>
        <v>42400000</v>
      </c>
      <c r="N177" s="632" t="s">
        <v>51</v>
      </c>
      <c r="O177" s="632" t="s">
        <v>36</v>
      </c>
      <c r="P177" s="632" t="s">
        <v>306</v>
      </c>
      <c r="Q177" s="649"/>
      <c r="R177" s="637" t="s">
        <v>966</v>
      </c>
      <c r="S177" s="637" t="s">
        <v>967</v>
      </c>
      <c r="T177" s="653">
        <v>43110</v>
      </c>
      <c r="U177" s="637" t="s">
        <v>968</v>
      </c>
      <c r="V177" s="637" t="s">
        <v>659</v>
      </c>
      <c r="W177" s="654">
        <v>42400000</v>
      </c>
      <c r="X177" s="654">
        <v>15900000</v>
      </c>
      <c r="Y177" s="654">
        <v>58300000</v>
      </c>
      <c r="Z177" s="654">
        <v>58300000</v>
      </c>
      <c r="AA177" s="654">
        <f t="shared" si="16"/>
        <v>0</v>
      </c>
      <c r="AB177" s="637" t="s">
        <v>969</v>
      </c>
      <c r="AC177" s="637" t="s">
        <v>1317</v>
      </c>
      <c r="AD177" s="637" t="s">
        <v>956</v>
      </c>
      <c r="AE177" s="653">
        <v>43116</v>
      </c>
      <c r="AF177" s="653">
        <v>43358</v>
      </c>
      <c r="AG177" s="637" t="s">
        <v>970</v>
      </c>
      <c r="AH177" s="637" t="s">
        <v>877</v>
      </c>
    </row>
    <row r="178" spans="1:34" ht="88.15" customHeight="1" x14ac:dyDescent="0.25">
      <c r="A178" s="638">
        <f t="shared" si="14"/>
        <v>132</v>
      </c>
      <c r="B178" s="632" t="s">
        <v>481</v>
      </c>
      <c r="C178" s="633">
        <v>80101706</v>
      </c>
      <c r="D178" s="634" t="s">
        <v>528</v>
      </c>
      <c r="E178" s="632" t="s">
        <v>48</v>
      </c>
      <c r="F178" s="632">
        <v>1</v>
      </c>
      <c r="G178" s="844" t="s">
        <v>73</v>
      </c>
      <c r="H178" s="845">
        <v>8</v>
      </c>
      <c r="I178" s="632" t="s">
        <v>61</v>
      </c>
      <c r="J178" s="632" t="s">
        <v>66</v>
      </c>
      <c r="K178" s="632" t="s">
        <v>589</v>
      </c>
      <c r="L178" s="635">
        <v>52080000</v>
      </c>
      <c r="M178" s="636">
        <f t="shared" si="18"/>
        <v>52080000</v>
      </c>
      <c r="N178" s="632" t="s">
        <v>51</v>
      </c>
      <c r="O178" s="632" t="s">
        <v>36</v>
      </c>
      <c r="P178" s="632" t="s">
        <v>306</v>
      </c>
      <c r="Q178" s="649"/>
      <c r="R178" s="637" t="s">
        <v>971</v>
      </c>
      <c r="S178" s="637" t="s">
        <v>972</v>
      </c>
      <c r="T178" s="653">
        <v>43110</v>
      </c>
      <c r="U178" s="637" t="s">
        <v>973</v>
      </c>
      <c r="V178" s="637" t="s">
        <v>659</v>
      </c>
      <c r="W178" s="654">
        <v>52080000</v>
      </c>
      <c r="X178" s="654">
        <v>19530000</v>
      </c>
      <c r="Y178" s="654">
        <v>71610000</v>
      </c>
      <c r="Z178" s="654">
        <v>71610000</v>
      </c>
      <c r="AA178" s="654">
        <f t="shared" si="16"/>
        <v>0</v>
      </c>
      <c r="AB178" s="637" t="s">
        <v>974</v>
      </c>
      <c r="AC178" s="637" t="s">
        <v>1318</v>
      </c>
      <c r="AD178" s="637" t="s">
        <v>680</v>
      </c>
      <c r="AE178" s="653">
        <v>43116</v>
      </c>
      <c r="AF178" s="653">
        <v>43266</v>
      </c>
      <c r="AG178" s="637" t="s">
        <v>970</v>
      </c>
      <c r="AH178" s="637" t="s">
        <v>877</v>
      </c>
    </row>
    <row r="179" spans="1:34" ht="209.1" customHeight="1" x14ac:dyDescent="0.25">
      <c r="A179" s="638">
        <f t="shared" si="14"/>
        <v>133</v>
      </c>
      <c r="B179" s="632" t="s">
        <v>481</v>
      </c>
      <c r="C179" s="633">
        <v>80101706</v>
      </c>
      <c r="D179" s="634" t="s">
        <v>528</v>
      </c>
      <c r="E179" s="632" t="s">
        <v>48</v>
      </c>
      <c r="F179" s="632">
        <v>1</v>
      </c>
      <c r="G179" s="844" t="s">
        <v>73</v>
      </c>
      <c r="H179" s="845">
        <v>8</v>
      </c>
      <c r="I179" s="632" t="s">
        <v>61</v>
      </c>
      <c r="J179" s="632" t="s">
        <v>66</v>
      </c>
      <c r="K179" s="632" t="s">
        <v>589</v>
      </c>
      <c r="L179" s="635">
        <v>52080000</v>
      </c>
      <c r="M179" s="636">
        <f t="shared" si="18"/>
        <v>52080000</v>
      </c>
      <c r="N179" s="632" t="s">
        <v>51</v>
      </c>
      <c r="O179" s="632" t="s">
        <v>36</v>
      </c>
      <c r="P179" s="632" t="s">
        <v>306</v>
      </c>
      <c r="Q179" s="649"/>
      <c r="R179" s="637" t="s">
        <v>975</v>
      </c>
      <c r="S179" s="637" t="s">
        <v>976</v>
      </c>
      <c r="T179" s="653">
        <v>43110</v>
      </c>
      <c r="U179" s="637" t="s">
        <v>977</v>
      </c>
      <c r="V179" s="637" t="s">
        <v>659</v>
      </c>
      <c r="W179" s="654">
        <v>52080000</v>
      </c>
      <c r="X179" s="654">
        <v>19530000</v>
      </c>
      <c r="Y179" s="654">
        <v>71610000</v>
      </c>
      <c r="Z179" s="654">
        <v>71610000</v>
      </c>
      <c r="AA179" s="654">
        <f t="shared" si="16"/>
        <v>0</v>
      </c>
      <c r="AB179" s="637" t="s">
        <v>974</v>
      </c>
      <c r="AC179" s="637" t="s">
        <v>1319</v>
      </c>
      <c r="AD179" s="637" t="s">
        <v>956</v>
      </c>
      <c r="AE179" s="653">
        <v>43116</v>
      </c>
      <c r="AF179" s="653">
        <v>43358</v>
      </c>
      <c r="AG179" s="637" t="s">
        <v>970</v>
      </c>
      <c r="AH179" s="637" t="s">
        <v>877</v>
      </c>
    </row>
    <row r="180" spans="1:34" ht="132.94999999999999" customHeight="1" x14ac:dyDescent="0.25">
      <c r="A180" s="638">
        <f t="shared" si="14"/>
        <v>134</v>
      </c>
      <c r="B180" s="632" t="s">
        <v>529</v>
      </c>
      <c r="C180" s="633">
        <v>80101706</v>
      </c>
      <c r="D180" s="634" t="s">
        <v>530</v>
      </c>
      <c r="E180" s="632" t="s">
        <v>48</v>
      </c>
      <c r="F180" s="632">
        <v>1</v>
      </c>
      <c r="G180" s="844" t="s">
        <v>73</v>
      </c>
      <c r="H180" s="845">
        <v>8</v>
      </c>
      <c r="I180" s="632" t="s">
        <v>61</v>
      </c>
      <c r="J180" s="632" t="s">
        <v>66</v>
      </c>
      <c r="K180" s="632" t="s">
        <v>589</v>
      </c>
      <c r="L180" s="635">
        <v>48000000</v>
      </c>
      <c r="M180" s="636">
        <f t="shared" si="18"/>
        <v>48000000</v>
      </c>
      <c r="N180" s="632" t="s">
        <v>51</v>
      </c>
      <c r="O180" s="632" t="s">
        <v>36</v>
      </c>
      <c r="P180" s="632" t="s">
        <v>531</v>
      </c>
      <c r="Q180" s="649"/>
      <c r="R180" s="637" t="s">
        <v>978</v>
      </c>
      <c r="S180" s="637" t="s">
        <v>979</v>
      </c>
      <c r="T180" s="653">
        <v>43122</v>
      </c>
      <c r="U180" s="637" t="s">
        <v>980</v>
      </c>
      <c r="V180" s="637" t="s">
        <v>659</v>
      </c>
      <c r="W180" s="654">
        <v>48000000</v>
      </c>
      <c r="X180" s="654">
        <v>18000000</v>
      </c>
      <c r="Y180" s="654">
        <v>66000000</v>
      </c>
      <c r="Z180" s="654">
        <v>66000000</v>
      </c>
      <c r="AA180" s="654">
        <f t="shared" si="16"/>
        <v>0</v>
      </c>
      <c r="AB180" s="637" t="s">
        <v>981</v>
      </c>
      <c r="AC180" s="637" t="s">
        <v>1320</v>
      </c>
      <c r="AD180" s="637" t="s">
        <v>668</v>
      </c>
      <c r="AE180" s="653">
        <v>43126</v>
      </c>
      <c r="AF180" s="653">
        <v>43368</v>
      </c>
      <c r="AG180" s="637" t="s">
        <v>864</v>
      </c>
      <c r="AH180" s="637" t="s">
        <v>529</v>
      </c>
    </row>
    <row r="181" spans="1:34" ht="114" customHeight="1" x14ac:dyDescent="0.25">
      <c r="A181" s="638">
        <f t="shared" si="14"/>
        <v>135</v>
      </c>
      <c r="B181" s="632" t="s">
        <v>529</v>
      </c>
      <c r="C181" s="633">
        <v>80101706</v>
      </c>
      <c r="D181" s="634" t="s">
        <v>530</v>
      </c>
      <c r="E181" s="632" t="s">
        <v>48</v>
      </c>
      <c r="F181" s="632">
        <v>1</v>
      </c>
      <c r="G181" s="844" t="s">
        <v>73</v>
      </c>
      <c r="H181" s="845">
        <v>8</v>
      </c>
      <c r="I181" s="632" t="s">
        <v>61</v>
      </c>
      <c r="J181" s="632" t="s">
        <v>66</v>
      </c>
      <c r="K181" s="632" t="s">
        <v>589</v>
      </c>
      <c r="L181" s="635">
        <v>37600000</v>
      </c>
      <c r="M181" s="636">
        <f t="shared" si="18"/>
        <v>37600000</v>
      </c>
      <c r="N181" s="632" t="s">
        <v>51</v>
      </c>
      <c r="O181" s="632" t="s">
        <v>36</v>
      </c>
      <c r="P181" s="632" t="s">
        <v>531</v>
      </c>
      <c r="Q181" s="649"/>
      <c r="R181" s="637" t="s">
        <v>982</v>
      </c>
      <c r="S181" s="637" t="s">
        <v>983</v>
      </c>
      <c r="T181" s="653">
        <v>43117</v>
      </c>
      <c r="U181" s="637" t="s">
        <v>984</v>
      </c>
      <c r="V181" s="637" t="s">
        <v>659</v>
      </c>
      <c r="W181" s="654">
        <v>37600000</v>
      </c>
      <c r="X181" s="654">
        <v>14100000</v>
      </c>
      <c r="Y181" s="654">
        <v>51700000</v>
      </c>
      <c r="Z181" s="654">
        <v>51700000</v>
      </c>
      <c r="AA181" s="654">
        <f t="shared" si="16"/>
        <v>0</v>
      </c>
      <c r="AB181" s="637" t="s">
        <v>985</v>
      </c>
      <c r="AC181" s="637" t="s">
        <v>1321</v>
      </c>
      <c r="AD181" s="637" t="s">
        <v>668</v>
      </c>
      <c r="AE181" s="653">
        <v>43119</v>
      </c>
      <c r="AF181" s="653">
        <v>43361</v>
      </c>
      <c r="AG181" s="637" t="s">
        <v>864</v>
      </c>
      <c r="AH181" s="637" t="s">
        <v>529</v>
      </c>
    </row>
    <row r="182" spans="1:34" ht="114" customHeight="1" x14ac:dyDescent="0.25">
      <c r="A182" s="638">
        <f t="shared" si="14"/>
        <v>136</v>
      </c>
      <c r="B182" s="632" t="s">
        <v>590</v>
      </c>
      <c r="C182" s="633">
        <v>80101706</v>
      </c>
      <c r="D182" s="634" t="s">
        <v>591</v>
      </c>
      <c r="E182" s="632" t="s">
        <v>48</v>
      </c>
      <c r="F182" s="632">
        <v>1</v>
      </c>
      <c r="G182" s="844" t="s">
        <v>73</v>
      </c>
      <c r="H182" s="845">
        <v>8</v>
      </c>
      <c r="I182" s="632" t="s">
        <v>61</v>
      </c>
      <c r="J182" s="632" t="s">
        <v>66</v>
      </c>
      <c r="K182" s="632" t="s">
        <v>589</v>
      </c>
      <c r="L182" s="635">
        <v>74256000</v>
      </c>
      <c r="M182" s="636">
        <f t="shared" si="18"/>
        <v>74256000</v>
      </c>
      <c r="N182" s="632" t="s">
        <v>51</v>
      </c>
      <c r="O182" s="632" t="s">
        <v>36</v>
      </c>
      <c r="P182" s="632" t="s">
        <v>502</v>
      </c>
      <c r="Q182" s="649"/>
      <c r="R182" s="637" t="s">
        <v>986</v>
      </c>
      <c r="S182" s="637" t="s">
        <v>987</v>
      </c>
      <c r="T182" s="653">
        <v>43112</v>
      </c>
      <c r="U182" s="637" t="s">
        <v>988</v>
      </c>
      <c r="V182" s="637" t="s">
        <v>659</v>
      </c>
      <c r="W182" s="654">
        <v>74256000</v>
      </c>
      <c r="X182" s="654">
        <v>27846000</v>
      </c>
      <c r="Y182" s="654">
        <v>102102000</v>
      </c>
      <c r="Z182" s="654">
        <v>102102000</v>
      </c>
      <c r="AA182" s="654">
        <f t="shared" si="16"/>
        <v>0</v>
      </c>
      <c r="AB182" s="637" t="s">
        <v>989</v>
      </c>
      <c r="AC182" s="637" t="s">
        <v>1322</v>
      </c>
      <c r="AD182" s="637" t="s">
        <v>956</v>
      </c>
      <c r="AE182" s="653">
        <v>43116</v>
      </c>
      <c r="AF182" s="653">
        <v>43358</v>
      </c>
      <c r="AG182" s="637" t="s">
        <v>990</v>
      </c>
      <c r="AH182" s="637" t="s">
        <v>246</v>
      </c>
    </row>
    <row r="183" spans="1:34" ht="114" customHeight="1" x14ac:dyDescent="0.25">
      <c r="A183" s="638">
        <f t="shared" si="14"/>
        <v>137</v>
      </c>
      <c r="B183" s="632" t="s">
        <v>506</v>
      </c>
      <c r="C183" s="633">
        <v>80101706</v>
      </c>
      <c r="D183" s="634" t="s">
        <v>507</v>
      </c>
      <c r="E183" s="632" t="s">
        <v>48</v>
      </c>
      <c r="F183" s="632">
        <v>1</v>
      </c>
      <c r="G183" s="844" t="s">
        <v>73</v>
      </c>
      <c r="H183" s="845">
        <v>8</v>
      </c>
      <c r="I183" s="632" t="s">
        <v>61</v>
      </c>
      <c r="J183" s="632" t="s">
        <v>66</v>
      </c>
      <c r="K183" s="632" t="s">
        <v>589</v>
      </c>
      <c r="L183" s="635">
        <v>41848000</v>
      </c>
      <c r="M183" s="636">
        <f t="shared" si="18"/>
        <v>41848000</v>
      </c>
      <c r="N183" s="632" t="s">
        <v>51</v>
      </c>
      <c r="O183" s="632" t="s">
        <v>36</v>
      </c>
      <c r="P183" s="632" t="s">
        <v>508</v>
      </c>
      <c r="Q183" s="649"/>
      <c r="R183" s="637" t="s">
        <v>991</v>
      </c>
      <c r="S183" s="637" t="s">
        <v>992</v>
      </c>
      <c r="T183" s="653">
        <v>43117</v>
      </c>
      <c r="U183" s="637" t="s">
        <v>993</v>
      </c>
      <c r="V183" s="637" t="s">
        <v>659</v>
      </c>
      <c r="W183" s="654">
        <v>41848000</v>
      </c>
      <c r="X183" s="654">
        <v>15693000</v>
      </c>
      <c r="Y183" s="654">
        <v>57541000</v>
      </c>
      <c r="Z183" s="654">
        <v>57541000</v>
      </c>
      <c r="AA183" s="654">
        <f t="shared" si="16"/>
        <v>0</v>
      </c>
      <c r="AB183" s="637" t="s">
        <v>994</v>
      </c>
      <c r="AC183" s="637" t="s">
        <v>1323</v>
      </c>
      <c r="AD183" s="637" t="s">
        <v>668</v>
      </c>
      <c r="AE183" s="653">
        <v>43117</v>
      </c>
      <c r="AF183" s="653">
        <v>43359</v>
      </c>
      <c r="AG183" s="637" t="s">
        <v>757</v>
      </c>
      <c r="AH183" s="637" t="s">
        <v>758</v>
      </c>
    </row>
    <row r="184" spans="1:34" ht="114" customHeight="1" x14ac:dyDescent="0.25">
      <c r="A184" s="638">
        <f t="shared" si="14"/>
        <v>138</v>
      </c>
      <c r="B184" s="632" t="s">
        <v>506</v>
      </c>
      <c r="C184" s="633">
        <v>80101706</v>
      </c>
      <c r="D184" s="634" t="s">
        <v>507</v>
      </c>
      <c r="E184" s="632" t="s">
        <v>48</v>
      </c>
      <c r="F184" s="632">
        <v>1</v>
      </c>
      <c r="G184" s="844" t="s">
        <v>73</v>
      </c>
      <c r="H184" s="845">
        <v>8</v>
      </c>
      <c r="I184" s="632" t="s">
        <v>61</v>
      </c>
      <c r="J184" s="632" t="s">
        <v>66</v>
      </c>
      <c r="K184" s="632" t="s">
        <v>589</v>
      </c>
      <c r="L184" s="635">
        <v>41848000</v>
      </c>
      <c r="M184" s="636">
        <f t="shared" si="18"/>
        <v>41848000</v>
      </c>
      <c r="N184" s="632" t="s">
        <v>51</v>
      </c>
      <c r="O184" s="632" t="s">
        <v>36</v>
      </c>
      <c r="P184" s="632" t="s">
        <v>508</v>
      </c>
      <c r="Q184" s="649"/>
      <c r="R184" s="637" t="s">
        <v>995</v>
      </c>
      <c r="S184" s="637" t="s">
        <v>279</v>
      </c>
      <c r="T184" s="653">
        <v>43112</v>
      </c>
      <c r="U184" s="637" t="s">
        <v>993</v>
      </c>
      <c r="V184" s="637" t="s">
        <v>659</v>
      </c>
      <c r="W184" s="654">
        <v>41848000</v>
      </c>
      <c r="X184" s="654">
        <v>15693000</v>
      </c>
      <c r="Y184" s="654">
        <v>57541000</v>
      </c>
      <c r="Z184" s="654">
        <v>57541000</v>
      </c>
      <c r="AA184" s="654">
        <f t="shared" si="16"/>
        <v>0</v>
      </c>
      <c r="AB184" s="637" t="s">
        <v>996</v>
      </c>
      <c r="AC184" s="637" t="s">
        <v>1324</v>
      </c>
      <c r="AD184" s="637" t="s">
        <v>956</v>
      </c>
      <c r="AE184" s="653">
        <v>43116</v>
      </c>
      <c r="AF184" s="653">
        <v>43358</v>
      </c>
      <c r="AG184" s="637" t="s">
        <v>757</v>
      </c>
      <c r="AH184" s="637" t="s">
        <v>758</v>
      </c>
    </row>
    <row r="185" spans="1:34" ht="95.1" customHeight="1" x14ac:dyDescent="0.25">
      <c r="A185" s="638">
        <f t="shared" si="14"/>
        <v>139</v>
      </c>
      <c r="B185" s="632" t="s">
        <v>506</v>
      </c>
      <c r="C185" s="633">
        <v>80101706</v>
      </c>
      <c r="D185" s="634" t="s">
        <v>507</v>
      </c>
      <c r="E185" s="632" t="s">
        <v>48</v>
      </c>
      <c r="F185" s="632">
        <v>1</v>
      </c>
      <c r="G185" s="844" t="s">
        <v>73</v>
      </c>
      <c r="H185" s="845">
        <v>8</v>
      </c>
      <c r="I185" s="632" t="s">
        <v>61</v>
      </c>
      <c r="J185" s="632" t="s">
        <v>66</v>
      </c>
      <c r="K185" s="632" t="s">
        <v>589</v>
      </c>
      <c r="L185" s="635">
        <v>31160000</v>
      </c>
      <c r="M185" s="636">
        <f t="shared" si="18"/>
        <v>31160000</v>
      </c>
      <c r="N185" s="632" t="s">
        <v>51</v>
      </c>
      <c r="O185" s="632" t="s">
        <v>36</v>
      </c>
      <c r="P185" s="632" t="s">
        <v>508</v>
      </c>
      <c r="Q185" s="649"/>
      <c r="R185" s="637" t="s">
        <v>997</v>
      </c>
      <c r="S185" s="637" t="s">
        <v>998</v>
      </c>
      <c r="T185" s="653">
        <v>43115</v>
      </c>
      <c r="U185" s="637" t="s">
        <v>999</v>
      </c>
      <c r="V185" s="637" t="s">
        <v>659</v>
      </c>
      <c r="W185" s="654">
        <v>31160000</v>
      </c>
      <c r="X185" s="654">
        <v>0</v>
      </c>
      <c r="Y185" s="654">
        <v>31160000</v>
      </c>
      <c r="Z185" s="654">
        <v>31160000</v>
      </c>
      <c r="AA185" s="654">
        <f t="shared" si="16"/>
        <v>0</v>
      </c>
      <c r="AB185" s="637" t="s">
        <v>1000</v>
      </c>
      <c r="AC185" s="637" t="s">
        <v>1325</v>
      </c>
      <c r="AD185" s="637" t="s">
        <v>961</v>
      </c>
      <c r="AE185" s="653">
        <v>43117</v>
      </c>
      <c r="AF185" s="653">
        <v>43359</v>
      </c>
      <c r="AG185" s="637" t="s">
        <v>757</v>
      </c>
      <c r="AH185" s="637" t="s">
        <v>758</v>
      </c>
    </row>
    <row r="186" spans="1:34" ht="95.1" customHeight="1" x14ac:dyDescent="0.25">
      <c r="A186" s="638">
        <f t="shared" si="14"/>
        <v>140</v>
      </c>
      <c r="B186" s="632" t="s">
        <v>506</v>
      </c>
      <c r="C186" s="633">
        <v>80101706</v>
      </c>
      <c r="D186" s="634" t="s">
        <v>507</v>
      </c>
      <c r="E186" s="632" t="s">
        <v>48</v>
      </c>
      <c r="F186" s="632">
        <v>1</v>
      </c>
      <c r="G186" s="844" t="s">
        <v>73</v>
      </c>
      <c r="H186" s="845">
        <v>8</v>
      </c>
      <c r="I186" s="632" t="s">
        <v>61</v>
      </c>
      <c r="J186" s="632" t="s">
        <v>66</v>
      </c>
      <c r="K186" s="632" t="s">
        <v>589</v>
      </c>
      <c r="L186" s="635">
        <v>31160000</v>
      </c>
      <c r="M186" s="636">
        <f t="shared" si="18"/>
        <v>31160000</v>
      </c>
      <c r="N186" s="632" t="s">
        <v>51</v>
      </c>
      <c r="O186" s="632" t="s">
        <v>36</v>
      </c>
      <c r="P186" s="632" t="s">
        <v>508</v>
      </c>
      <c r="Q186" s="649"/>
      <c r="R186" s="637" t="s">
        <v>1001</v>
      </c>
      <c r="S186" s="637" t="s">
        <v>1002</v>
      </c>
      <c r="T186" s="653">
        <v>43115</v>
      </c>
      <c r="U186" s="637" t="s">
        <v>999</v>
      </c>
      <c r="V186" s="637" t="s">
        <v>659</v>
      </c>
      <c r="W186" s="654">
        <v>31160000</v>
      </c>
      <c r="X186" s="654">
        <v>11685000</v>
      </c>
      <c r="Y186" s="654">
        <v>42845000</v>
      </c>
      <c r="Z186" s="654">
        <v>42845000</v>
      </c>
      <c r="AA186" s="654">
        <f t="shared" si="16"/>
        <v>0</v>
      </c>
      <c r="AB186" s="637" t="s">
        <v>1000</v>
      </c>
      <c r="AC186" s="637" t="s">
        <v>1326</v>
      </c>
      <c r="AD186" s="637" t="s">
        <v>961</v>
      </c>
      <c r="AE186" s="653">
        <v>43116</v>
      </c>
      <c r="AF186" s="653">
        <v>43358</v>
      </c>
      <c r="AG186" s="637" t="s">
        <v>757</v>
      </c>
      <c r="AH186" s="637" t="s">
        <v>758</v>
      </c>
    </row>
    <row r="187" spans="1:34" ht="95.1" customHeight="1" x14ac:dyDescent="0.25">
      <c r="A187" s="638">
        <f t="shared" si="14"/>
        <v>141</v>
      </c>
      <c r="B187" s="632" t="s">
        <v>506</v>
      </c>
      <c r="C187" s="633">
        <v>80101706</v>
      </c>
      <c r="D187" s="634" t="s">
        <v>507</v>
      </c>
      <c r="E187" s="632" t="s">
        <v>48</v>
      </c>
      <c r="F187" s="632">
        <v>1</v>
      </c>
      <c r="G187" s="844" t="s">
        <v>73</v>
      </c>
      <c r="H187" s="845">
        <v>8</v>
      </c>
      <c r="I187" s="632" t="s">
        <v>61</v>
      </c>
      <c r="J187" s="632" t="s">
        <v>66</v>
      </c>
      <c r="K187" s="632" t="s">
        <v>589</v>
      </c>
      <c r="L187" s="635">
        <v>31160000</v>
      </c>
      <c r="M187" s="636">
        <f t="shared" si="18"/>
        <v>31160000</v>
      </c>
      <c r="N187" s="632" t="s">
        <v>51</v>
      </c>
      <c r="O187" s="632" t="s">
        <v>36</v>
      </c>
      <c r="P187" s="632" t="s">
        <v>508</v>
      </c>
      <c r="Q187" s="649"/>
      <c r="R187" s="637" t="s">
        <v>1003</v>
      </c>
      <c r="S187" s="637" t="s">
        <v>1004</v>
      </c>
      <c r="T187" s="653">
        <v>43117</v>
      </c>
      <c r="U187" s="637" t="s">
        <v>999</v>
      </c>
      <c r="V187" s="637" t="s">
        <v>659</v>
      </c>
      <c r="W187" s="654">
        <v>31160000</v>
      </c>
      <c r="X187" s="654">
        <v>11685000</v>
      </c>
      <c r="Y187" s="654">
        <v>42845000</v>
      </c>
      <c r="Z187" s="654">
        <v>42845000</v>
      </c>
      <c r="AA187" s="654">
        <f t="shared" si="16"/>
        <v>0</v>
      </c>
      <c r="AB187" s="637" t="s">
        <v>1000</v>
      </c>
      <c r="AC187" s="637" t="s">
        <v>1327</v>
      </c>
      <c r="AD187" s="637" t="s">
        <v>668</v>
      </c>
      <c r="AE187" s="653">
        <v>43118</v>
      </c>
      <c r="AF187" s="653">
        <v>43360</v>
      </c>
      <c r="AG187" s="637" t="s">
        <v>757</v>
      </c>
      <c r="AH187" s="637" t="s">
        <v>758</v>
      </c>
    </row>
    <row r="188" spans="1:34" ht="114" customHeight="1" x14ac:dyDescent="0.25">
      <c r="A188" s="638">
        <f t="shared" si="14"/>
        <v>142</v>
      </c>
      <c r="B188" s="632" t="s">
        <v>592</v>
      </c>
      <c r="C188" s="633">
        <v>80101706</v>
      </c>
      <c r="D188" s="634" t="s">
        <v>593</v>
      </c>
      <c r="E188" s="632" t="s">
        <v>48</v>
      </c>
      <c r="F188" s="632">
        <v>1</v>
      </c>
      <c r="G188" s="844" t="s">
        <v>73</v>
      </c>
      <c r="H188" s="845">
        <v>8</v>
      </c>
      <c r="I188" s="632" t="s">
        <v>61</v>
      </c>
      <c r="J188" s="632" t="s">
        <v>66</v>
      </c>
      <c r="K188" s="632" t="s">
        <v>589</v>
      </c>
      <c r="L188" s="635">
        <v>40000000</v>
      </c>
      <c r="M188" s="636">
        <f t="shared" si="18"/>
        <v>40000000</v>
      </c>
      <c r="N188" s="632" t="s">
        <v>51</v>
      </c>
      <c r="O188" s="632" t="s">
        <v>36</v>
      </c>
      <c r="P188" s="632" t="s">
        <v>316</v>
      </c>
      <c r="Q188" s="649"/>
      <c r="R188" s="637" t="s">
        <v>1005</v>
      </c>
      <c r="S188" s="637" t="s">
        <v>1006</v>
      </c>
      <c r="T188" s="653">
        <v>43119</v>
      </c>
      <c r="U188" s="637" t="s">
        <v>1007</v>
      </c>
      <c r="V188" s="637" t="s">
        <v>659</v>
      </c>
      <c r="W188" s="654">
        <v>40000000</v>
      </c>
      <c r="X188" s="654">
        <v>0</v>
      </c>
      <c r="Y188" s="654">
        <v>40000000</v>
      </c>
      <c r="Z188" s="654">
        <v>40000000</v>
      </c>
      <c r="AA188" s="654">
        <f t="shared" si="16"/>
        <v>0</v>
      </c>
      <c r="AB188" s="637" t="s">
        <v>1008</v>
      </c>
      <c r="AC188" s="637" t="s">
        <v>1328</v>
      </c>
      <c r="AD188" s="637" t="s">
        <v>668</v>
      </c>
      <c r="AE188" s="653">
        <v>43123</v>
      </c>
      <c r="AF188" s="653">
        <v>43365</v>
      </c>
      <c r="AG188" s="637" t="s">
        <v>1009</v>
      </c>
      <c r="AH188" s="637" t="s">
        <v>810</v>
      </c>
    </row>
    <row r="189" spans="1:34" ht="95.1" customHeight="1" x14ac:dyDescent="0.25">
      <c r="A189" s="638">
        <f t="shared" si="14"/>
        <v>143</v>
      </c>
      <c r="B189" s="632" t="s">
        <v>594</v>
      </c>
      <c r="C189" s="633">
        <v>80101706</v>
      </c>
      <c r="D189" s="634" t="s">
        <v>595</v>
      </c>
      <c r="E189" s="632" t="s">
        <v>48</v>
      </c>
      <c r="F189" s="632">
        <v>1</v>
      </c>
      <c r="G189" s="844" t="s">
        <v>73</v>
      </c>
      <c r="H189" s="845">
        <v>8</v>
      </c>
      <c r="I189" s="632" t="s">
        <v>61</v>
      </c>
      <c r="J189" s="632" t="s">
        <v>66</v>
      </c>
      <c r="K189" s="632" t="s">
        <v>589</v>
      </c>
      <c r="L189" s="635">
        <v>41848000</v>
      </c>
      <c r="M189" s="636">
        <f t="shared" si="18"/>
        <v>41848000</v>
      </c>
      <c r="N189" s="632" t="s">
        <v>51</v>
      </c>
      <c r="O189" s="632" t="s">
        <v>36</v>
      </c>
      <c r="P189" s="632" t="s">
        <v>596</v>
      </c>
      <c r="Q189" s="649"/>
      <c r="R189" s="637" t="s">
        <v>1010</v>
      </c>
      <c r="S189" s="637" t="s">
        <v>597</v>
      </c>
      <c r="T189" s="653">
        <v>43116</v>
      </c>
      <c r="U189" s="637" t="s">
        <v>1011</v>
      </c>
      <c r="V189" s="637" t="s">
        <v>659</v>
      </c>
      <c r="W189" s="654">
        <v>41848000</v>
      </c>
      <c r="X189" s="654">
        <v>15693000</v>
      </c>
      <c r="Y189" s="654">
        <v>57541000</v>
      </c>
      <c r="Z189" s="654">
        <v>57541000</v>
      </c>
      <c r="AA189" s="654">
        <f t="shared" si="16"/>
        <v>0</v>
      </c>
      <c r="AB189" s="637" t="s">
        <v>1012</v>
      </c>
      <c r="AC189" s="637" t="s">
        <v>1329</v>
      </c>
      <c r="AD189" s="637" t="s">
        <v>961</v>
      </c>
      <c r="AE189" s="653">
        <v>43118</v>
      </c>
      <c r="AF189" s="653">
        <v>43360</v>
      </c>
      <c r="AG189" s="637" t="s">
        <v>1013</v>
      </c>
      <c r="AH189" s="637" t="s">
        <v>1014</v>
      </c>
    </row>
    <row r="190" spans="1:34" ht="92.1" customHeight="1" x14ac:dyDescent="0.25">
      <c r="A190" s="639">
        <f t="shared" si="14"/>
        <v>144</v>
      </c>
      <c r="B190" s="640" t="s">
        <v>170</v>
      </c>
      <c r="C190" s="641">
        <v>80101706</v>
      </c>
      <c r="D190" s="642" t="s">
        <v>515</v>
      </c>
      <c r="E190" s="640" t="s">
        <v>48</v>
      </c>
      <c r="F190" s="640">
        <v>1</v>
      </c>
      <c r="G190" s="643" t="s">
        <v>73</v>
      </c>
      <c r="H190" s="644">
        <v>7</v>
      </c>
      <c r="I190" s="640" t="s">
        <v>61</v>
      </c>
      <c r="J190" s="640" t="s">
        <v>66</v>
      </c>
      <c r="K190" s="640" t="s">
        <v>589</v>
      </c>
      <c r="L190" s="645"/>
      <c r="M190" s="646"/>
      <c r="N190" s="640" t="s">
        <v>51</v>
      </c>
      <c r="O190" s="640" t="s">
        <v>36</v>
      </c>
      <c r="P190" s="640" t="s">
        <v>516</v>
      </c>
      <c r="Q190" s="649"/>
      <c r="R190" s="637" t="s">
        <v>148</v>
      </c>
      <c r="S190" s="637" t="s">
        <v>148</v>
      </c>
      <c r="T190" s="653" t="s">
        <v>148</v>
      </c>
      <c r="U190" s="637" t="s">
        <v>148</v>
      </c>
      <c r="V190" s="637" t="s">
        <v>148</v>
      </c>
      <c r="W190" s="654">
        <v>0</v>
      </c>
      <c r="X190" s="654">
        <v>0</v>
      </c>
      <c r="Y190" s="654">
        <v>0</v>
      </c>
      <c r="Z190" s="654">
        <v>0</v>
      </c>
      <c r="AA190" s="654">
        <f t="shared" si="16"/>
        <v>0</v>
      </c>
      <c r="AB190" s="637" t="s">
        <v>148</v>
      </c>
      <c r="AC190" s="637" t="s">
        <v>148</v>
      </c>
      <c r="AD190" s="637" t="s">
        <v>148</v>
      </c>
      <c r="AE190" s="653" t="s">
        <v>148</v>
      </c>
      <c r="AF190" s="653" t="s">
        <v>148</v>
      </c>
      <c r="AG190" s="637" t="s">
        <v>148</v>
      </c>
      <c r="AH190" s="637" t="s">
        <v>148</v>
      </c>
    </row>
    <row r="191" spans="1:34" ht="171" customHeight="1" x14ac:dyDescent="0.25">
      <c r="A191" s="638">
        <f t="shared" si="14"/>
        <v>145</v>
      </c>
      <c r="B191" s="632" t="s">
        <v>170</v>
      </c>
      <c r="C191" s="633">
        <v>80101706</v>
      </c>
      <c r="D191" s="634" t="s">
        <v>515</v>
      </c>
      <c r="E191" s="632" t="s">
        <v>48</v>
      </c>
      <c r="F191" s="632">
        <v>1</v>
      </c>
      <c r="G191" s="844" t="s">
        <v>73</v>
      </c>
      <c r="H191" s="845">
        <v>6</v>
      </c>
      <c r="I191" s="632" t="s">
        <v>61</v>
      </c>
      <c r="J191" s="632" t="s">
        <v>66</v>
      </c>
      <c r="K191" s="632" t="s">
        <v>589</v>
      </c>
      <c r="L191" s="635">
        <v>39000000</v>
      </c>
      <c r="M191" s="636">
        <f t="shared" ref="M191:M205" si="19">+L191</f>
        <v>39000000</v>
      </c>
      <c r="N191" s="632" t="s">
        <v>51</v>
      </c>
      <c r="O191" s="632" t="s">
        <v>36</v>
      </c>
      <c r="P191" s="632" t="s">
        <v>516</v>
      </c>
      <c r="Q191" s="649"/>
      <c r="R191" s="637" t="s">
        <v>1015</v>
      </c>
      <c r="S191" s="637" t="s">
        <v>1016</v>
      </c>
      <c r="T191" s="653">
        <v>43116</v>
      </c>
      <c r="U191" s="637" t="s">
        <v>1017</v>
      </c>
      <c r="V191" s="637" t="s">
        <v>659</v>
      </c>
      <c r="W191" s="654">
        <v>39000000</v>
      </c>
      <c r="X191" s="654">
        <v>0</v>
      </c>
      <c r="Y191" s="654">
        <v>39000000</v>
      </c>
      <c r="Z191" s="654">
        <v>39000000</v>
      </c>
      <c r="AA191" s="654">
        <f t="shared" si="16"/>
        <v>0</v>
      </c>
      <c r="AB191" s="637" t="s">
        <v>1018</v>
      </c>
      <c r="AC191" s="637" t="s">
        <v>1330</v>
      </c>
      <c r="AD191" s="637" t="s">
        <v>1019</v>
      </c>
      <c r="AE191" s="653">
        <v>43118</v>
      </c>
      <c r="AF191" s="653">
        <v>43298</v>
      </c>
      <c r="AG191" s="637" t="s">
        <v>1020</v>
      </c>
      <c r="AH191" s="637" t="s">
        <v>768</v>
      </c>
    </row>
    <row r="192" spans="1:34" ht="114" customHeight="1" x14ac:dyDescent="0.25">
      <c r="A192" s="638">
        <f t="shared" si="14"/>
        <v>146</v>
      </c>
      <c r="B192" s="632" t="s">
        <v>299</v>
      </c>
      <c r="C192" s="633">
        <v>80101706</v>
      </c>
      <c r="D192" s="634" t="s">
        <v>500</v>
      </c>
      <c r="E192" s="632" t="s">
        <v>48</v>
      </c>
      <c r="F192" s="632">
        <v>1</v>
      </c>
      <c r="G192" s="844" t="s">
        <v>73</v>
      </c>
      <c r="H192" s="845">
        <v>8</v>
      </c>
      <c r="I192" s="632" t="s">
        <v>61</v>
      </c>
      <c r="J192" s="632" t="s">
        <v>66</v>
      </c>
      <c r="K192" s="632" t="s">
        <v>589</v>
      </c>
      <c r="L192" s="635">
        <v>64000000</v>
      </c>
      <c r="M192" s="636">
        <f t="shared" si="19"/>
        <v>64000000</v>
      </c>
      <c r="N192" s="632" t="s">
        <v>51</v>
      </c>
      <c r="O192" s="632" t="s">
        <v>36</v>
      </c>
      <c r="P192" s="632" t="s">
        <v>493</v>
      </c>
      <c r="Q192" s="649"/>
      <c r="R192" s="637" t="s">
        <v>1021</v>
      </c>
      <c r="S192" s="637" t="s">
        <v>1022</v>
      </c>
      <c r="T192" s="653">
        <v>43116</v>
      </c>
      <c r="U192" s="637" t="s">
        <v>1023</v>
      </c>
      <c r="V192" s="637" t="s">
        <v>659</v>
      </c>
      <c r="W192" s="654">
        <v>64000000</v>
      </c>
      <c r="X192" s="654">
        <v>0</v>
      </c>
      <c r="Y192" s="654">
        <v>64000000</v>
      </c>
      <c r="Z192" s="654">
        <v>64000000</v>
      </c>
      <c r="AA192" s="654">
        <f t="shared" si="16"/>
        <v>0</v>
      </c>
      <c r="AB192" s="637" t="s">
        <v>1024</v>
      </c>
      <c r="AC192" s="637" t="s">
        <v>1331</v>
      </c>
      <c r="AD192" s="637" t="s">
        <v>961</v>
      </c>
      <c r="AE192" s="653">
        <v>43117</v>
      </c>
      <c r="AF192" s="653">
        <v>43359</v>
      </c>
      <c r="AG192" s="637" t="s">
        <v>1025</v>
      </c>
      <c r="AH192" s="637" t="s">
        <v>299</v>
      </c>
    </row>
    <row r="193" spans="1:34" ht="171" customHeight="1" x14ac:dyDescent="0.25">
      <c r="A193" s="638">
        <f t="shared" si="14"/>
        <v>147</v>
      </c>
      <c r="B193" s="632" t="s">
        <v>265</v>
      </c>
      <c r="C193" s="633">
        <v>80101706</v>
      </c>
      <c r="D193" s="634" t="s">
        <v>519</v>
      </c>
      <c r="E193" s="632" t="s">
        <v>48</v>
      </c>
      <c r="F193" s="632">
        <v>1</v>
      </c>
      <c r="G193" s="844" t="s">
        <v>73</v>
      </c>
      <c r="H193" s="845">
        <v>8</v>
      </c>
      <c r="I193" s="632" t="s">
        <v>61</v>
      </c>
      <c r="J193" s="632" t="s">
        <v>66</v>
      </c>
      <c r="K193" s="632" t="s">
        <v>589</v>
      </c>
      <c r="L193" s="635">
        <v>44000000</v>
      </c>
      <c r="M193" s="636">
        <f t="shared" si="19"/>
        <v>44000000</v>
      </c>
      <c r="N193" s="632" t="s">
        <v>51</v>
      </c>
      <c r="O193" s="632" t="s">
        <v>36</v>
      </c>
      <c r="P193" s="632" t="s">
        <v>535</v>
      </c>
      <c r="Q193" s="649"/>
      <c r="R193" s="637" t="s">
        <v>1026</v>
      </c>
      <c r="S193" s="637" t="s">
        <v>1027</v>
      </c>
      <c r="T193" s="653">
        <v>43119</v>
      </c>
      <c r="U193" s="637" t="s">
        <v>1028</v>
      </c>
      <c r="V193" s="637" t="s">
        <v>659</v>
      </c>
      <c r="W193" s="654">
        <v>44000000</v>
      </c>
      <c r="X193" s="654">
        <v>16500000</v>
      </c>
      <c r="Y193" s="654">
        <v>60500000</v>
      </c>
      <c r="Z193" s="654">
        <v>60500000</v>
      </c>
      <c r="AA193" s="654">
        <f t="shared" si="16"/>
        <v>0</v>
      </c>
      <c r="AB193" s="637" t="s">
        <v>1029</v>
      </c>
      <c r="AC193" s="637" t="s">
        <v>1332</v>
      </c>
      <c r="AD193" s="637" t="s">
        <v>668</v>
      </c>
      <c r="AE193" s="653">
        <v>43122</v>
      </c>
      <c r="AF193" s="653">
        <v>43364</v>
      </c>
      <c r="AG193" s="637" t="s">
        <v>1030</v>
      </c>
      <c r="AH193" s="637" t="s">
        <v>825</v>
      </c>
    </row>
    <row r="194" spans="1:34" ht="171" customHeight="1" x14ac:dyDescent="0.25">
      <c r="A194" s="638">
        <f t="shared" si="14"/>
        <v>148</v>
      </c>
      <c r="B194" s="632" t="s">
        <v>265</v>
      </c>
      <c r="C194" s="633">
        <v>80101706</v>
      </c>
      <c r="D194" s="634" t="s">
        <v>519</v>
      </c>
      <c r="E194" s="632" t="s">
        <v>48</v>
      </c>
      <c r="F194" s="632">
        <v>1</v>
      </c>
      <c r="G194" s="844" t="s">
        <v>73</v>
      </c>
      <c r="H194" s="845">
        <v>8</v>
      </c>
      <c r="I194" s="632" t="s">
        <v>61</v>
      </c>
      <c r="J194" s="632" t="s">
        <v>66</v>
      </c>
      <c r="K194" s="632" t="s">
        <v>589</v>
      </c>
      <c r="L194" s="635">
        <v>44000000</v>
      </c>
      <c r="M194" s="636">
        <f t="shared" si="19"/>
        <v>44000000</v>
      </c>
      <c r="N194" s="632" t="s">
        <v>51</v>
      </c>
      <c r="O194" s="632" t="s">
        <v>36</v>
      </c>
      <c r="P194" s="632" t="s">
        <v>535</v>
      </c>
      <c r="Q194" s="649"/>
      <c r="R194" s="637" t="s">
        <v>1031</v>
      </c>
      <c r="S194" s="637" t="s">
        <v>1032</v>
      </c>
      <c r="T194" s="653">
        <v>43118</v>
      </c>
      <c r="U194" s="637" t="s">
        <v>1033</v>
      </c>
      <c r="V194" s="637" t="s">
        <v>659</v>
      </c>
      <c r="W194" s="654">
        <v>44000000</v>
      </c>
      <c r="X194" s="654">
        <v>0</v>
      </c>
      <c r="Y194" s="654">
        <v>44000000</v>
      </c>
      <c r="Z194" s="654">
        <v>44000000</v>
      </c>
      <c r="AA194" s="654">
        <f t="shared" si="16"/>
        <v>0</v>
      </c>
      <c r="AB194" s="637" t="s">
        <v>1029</v>
      </c>
      <c r="AC194" s="637" t="s">
        <v>1333</v>
      </c>
      <c r="AD194" s="637" t="s">
        <v>668</v>
      </c>
      <c r="AE194" s="653">
        <v>43122</v>
      </c>
      <c r="AF194" s="653">
        <v>43364</v>
      </c>
      <c r="AG194" s="637" t="s">
        <v>1030</v>
      </c>
      <c r="AH194" s="637" t="s">
        <v>825</v>
      </c>
    </row>
    <row r="195" spans="1:34" ht="132.94999999999999" customHeight="1" x14ac:dyDescent="0.25">
      <c r="A195" s="638">
        <f t="shared" si="14"/>
        <v>149</v>
      </c>
      <c r="B195" s="632" t="s">
        <v>265</v>
      </c>
      <c r="C195" s="633">
        <v>80101706</v>
      </c>
      <c r="D195" s="634" t="s">
        <v>519</v>
      </c>
      <c r="E195" s="632" t="s">
        <v>48</v>
      </c>
      <c r="F195" s="632">
        <v>1</v>
      </c>
      <c r="G195" s="844" t="s">
        <v>73</v>
      </c>
      <c r="H195" s="845">
        <v>6</v>
      </c>
      <c r="I195" s="632" t="s">
        <v>61</v>
      </c>
      <c r="J195" s="632" t="s">
        <v>66</v>
      </c>
      <c r="K195" s="632" t="s">
        <v>589</v>
      </c>
      <c r="L195" s="635">
        <v>32100000</v>
      </c>
      <c r="M195" s="636">
        <f t="shared" si="19"/>
        <v>32100000</v>
      </c>
      <c r="N195" s="632" t="s">
        <v>51</v>
      </c>
      <c r="O195" s="632" t="s">
        <v>36</v>
      </c>
      <c r="P195" s="632" t="s">
        <v>535</v>
      </c>
      <c r="Q195" s="649"/>
      <c r="R195" s="637" t="s">
        <v>1034</v>
      </c>
      <c r="S195" s="637" t="s">
        <v>1035</v>
      </c>
      <c r="T195" s="653">
        <v>43123</v>
      </c>
      <c r="U195" s="637" t="s">
        <v>1036</v>
      </c>
      <c r="V195" s="637" t="s">
        <v>659</v>
      </c>
      <c r="W195" s="654">
        <v>32100000</v>
      </c>
      <c r="X195" s="654">
        <v>16050000</v>
      </c>
      <c r="Y195" s="654">
        <v>48150000</v>
      </c>
      <c r="Z195" s="654">
        <v>48150000</v>
      </c>
      <c r="AA195" s="654">
        <f t="shared" si="16"/>
        <v>0</v>
      </c>
      <c r="AB195" s="637" t="s">
        <v>1037</v>
      </c>
      <c r="AC195" s="637" t="s">
        <v>1334</v>
      </c>
      <c r="AD195" s="637" t="s">
        <v>1038</v>
      </c>
      <c r="AE195" s="653">
        <v>43125</v>
      </c>
      <c r="AF195" s="653">
        <v>43305</v>
      </c>
      <c r="AG195" s="637" t="s">
        <v>1039</v>
      </c>
      <c r="AH195" s="637" t="s">
        <v>825</v>
      </c>
    </row>
    <row r="196" spans="1:34" ht="114" customHeight="1" x14ac:dyDescent="0.25">
      <c r="A196" s="638">
        <f t="shared" si="14"/>
        <v>150</v>
      </c>
      <c r="B196" s="632" t="s">
        <v>265</v>
      </c>
      <c r="C196" s="633">
        <v>80101706</v>
      </c>
      <c r="D196" s="634" t="s">
        <v>519</v>
      </c>
      <c r="E196" s="632" t="s">
        <v>48</v>
      </c>
      <c r="F196" s="632">
        <v>1</v>
      </c>
      <c r="G196" s="844" t="s">
        <v>73</v>
      </c>
      <c r="H196" s="845">
        <v>8</v>
      </c>
      <c r="I196" s="632" t="s">
        <v>61</v>
      </c>
      <c r="J196" s="632" t="s">
        <v>66</v>
      </c>
      <c r="K196" s="632" t="s">
        <v>589</v>
      </c>
      <c r="L196" s="635">
        <v>29384000</v>
      </c>
      <c r="M196" s="636">
        <f t="shared" si="19"/>
        <v>29384000</v>
      </c>
      <c r="N196" s="632" t="s">
        <v>51</v>
      </c>
      <c r="O196" s="632" t="s">
        <v>36</v>
      </c>
      <c r="P196" s="632" t="s">
        <v>535</v>
      </c>
      <c r="Q196" s="649"/>
      <c r="R196" s="637" t="s">
        <v>1040</v>
      </c>
      <c r="S196" s="637" t="s">
        <v>1041</v>
      </c>
      <c r="T196" s="653">
        <v>43112</v>
      </c>
      <c r="U196" s="637" t="s">
        <v>1042</v>
      </c>
      <c r="V196" s="637" t="s">
        <v>659</v>
      </c>
      <c r="W196" s="654">
        <v>29384000</v>
      </c>
      <c r="X196" s="654">
        <v>9182500</v>
      </c>
      <c r="Y196" s="654">
        <v>38566500</v>
      </c>
      <c r="Z196" s="654">
        <v>38566500</v>
      </c>
      <c r="AA196" s="654">
        <f t="shared" si="16"/>
        <v>0</v>
      </c>
      <c r="AB196" s="637" t="s">
        <v>1043</v>
      </c>
      <c r="AC196" s="637" t="s">
        <v>1335</v>
      </c>
      <c r="AD196" s="637" t="s">
        <v>956</v>
      </c>
      <c r="AE196" s="653">
        <v>43116</v>
      </c>
      <c r="AF196" s="653">
        <v>43358</v>
      </c>
      <c r="AG196" s="637" t="s">
        <v>1044</v>
      </c>
      <c r="AH196" s="637" t="s">
        <v>825</v>
      </c>
    </row>
    <row r="197" spans="1:34" ht="114" customHeight="1" x14ac:dyDescent="0.25">
      <c r="A197" s="638">
        <f t="shared" si="14"/>
        <v>151</v>
      </c>
      <c r="B197" s="632" t="s">
        <v>265</v>
      </c>
      <c r="C197" s="633">
        <v>80101706</v>
      </c>
      <c r="D197" s="634" t="s">
        <v>519</v>
      </c>
      <c r="E197" s="632" t="s">
        <v>48</v>
      </c>
      <c r="F197" s="632">
        <v>1</v>
      </c>
      <c r="G197" s="844" t="s">
        <v>73</v>
      </c>
      <c r="H197" s="845">
        <v>8</v>
      </c>
      <c r="I197" s="632" t="s">
        <v>61</v>
      </c>
      <c r="J197" s="632" t="s">
        <v>66</v>
      </c>
      <c r="K197" s="632" t="s">
        <v>589</v>
      </c>
      <c r="L197" s="635">
        <v>29384000</v>
      </c>
      <c r="M197" s="636">
        <f t="shared" si="19"/>
        <v>29384000</v>
      </c>
      <c r="N197" s="632" t="s">
        <v>51</v>
      </c>
      <c r="O197" s="632" t="s">
        <v>36</v>
      </c>
      <c r="P197" s="632" t="s">
        <v>535</v>
      </c>
      <c r="Q197" s="649"/>
      <c r="R197" s="637" t="s">
        <v>1045</v>
      </c>
      <c r="S197" s="637" t="s">
        <v>1046</v>
      </c>
      <c r="T197" s="653">
        <v>43115</v>
      </c>
      <c r="U197" s="637" t="s">
        <v>1042</v>
      </c>
      <c r="V197" s="637" t="s">
        <v>659</v>
      </c>
      <c r="W197" s="654">
        <v>29384000</v>
      </c>
      <c r="X197" s="654">
        <v>8325467</v>
      </c>
      <c r="Y197" s="654">
        <v>37709467</v>
      </c>
      <c r="Z197" s="654">
        <v>37709467</v>
      </c>
      <c r="AA197" s="654">
        <f t="shared" si="16"/>
        <v>0</v>
      </c>
      <c r="AB197" s="637" t="s">
        <v>1043</v>
      </c>
      <c r="AC197" s="637" t="s">
        <v>1336</v>
      </c>
      <c r="AD197" s="637" t="s">
        <v>961</v>
      </c>
      <c r="AE197" s="653">
        <v>43117</v>
      </c>
      <c r="AF197" s="653">
        <v>43359</v>
      </c>
      <c r="AG197" s="637" t="s">
        <v>1047</v>
      </c>
      <c r="AH197" s="637" t="s">
        <v>825</v>
      </c>
    </row>
    <row r="198" spans="1:34" ht="132.94999999999999" customHeight="1" x14ac:dyDescent="0.25">
      <c r="A198" s="638">
        <f t="shared" si="14"/>
        <v>152</v>
      </c>
      <c r="B198" s="632" t="s">
        <v>265</v>
      </c>
      <c r="C198" s="633">
        <v>80101706</v>
      </c>
      <c r="D198" s="634" t="s">
        <v>623</v>
      </c>
      <c r="E198" s="632" t="s">
        <v>48</v>
      </c>
      <c r="F198" s="632">
        <v>1</v>
      </c>
      <c r="G198" s="844" t="s">
        <v>73</v>
      </c>
      <c r="H198" s="845">
        <v>8</v>
      </c>
      <c r="I198" s="632" t="s">
        <v>61</v>
      </c>
      <c r="J198" s="632" t="s">
        <v>66</v>
      </c>
      <c r="K198" s="632" t="s">
        <v>589</v>
      </c>
      <c r="L198" s="635">
        <v>15272000</v>
      </c>
      <c r="M198" s="636">
        <f t="shared" si="19"/>
        <v>15272000</v>
      </c>
      <c r="N198" s="632" t="s">
        <v>51</v>
      </c>
      <c r="O198" s="632" t="s">
        <v>36</v>
      </c>
      <c r="P198" s="632" t="s">
        <v>535</v>
      </c>
      <c r="Q198" s="649"/>
      <c r="R198" s="637" t="s">
        <v>1048</v>
      </c>
      <c r="S198" s="637" t="s">
        <v>1049</v>
      </c>
      <c r="T198" s="653">
        <v>43118</v>
      </c>
      <c r="U198" s="637" t="s">
        <v>1050</v>
      </c>
      <c r="V198" s="637" t="s">
        <v>666</v>
      </c>
      <c r="W198" s="654">
        <v>15272000</v>
      </c>
      <c r="X198" s="654">
        <v>5345200</v>
      </c>
      <c r="Y198" s="654">
        <v>20617200</v>
      </c>
      <c r="Z198" s="654">
        <v>20617200</v>
      </c>
      <c r="AA198" s="654">
        <f t="shared" si="16"/>
        <v>0</v>
      </c>
      <c r="AB198" s="637" t="s">
        <v>946</v>
      </c>
      <c r="AC198" s="637" t="s">
        <v>1337</v>
      </c>
      <c r="AD198" s="637" t="s">
        <v>668</v>
      </c>
      <c r="AE198" s="653">
        <v>43122</v>
      </c>
      <c r="AF198" s="653">
        <v>43364</v>
      </c>
      <c r="AG198" s="637" t="s">
        <v>1039</v>
      </c>
      <c r="AH198" s="637" t="s">
        <v>825</v>
      </c>
    </row>
    <row r="199" spans="1:34" ht="114" customHeight="1" x14ac:dyDescent="0.25">
      <c r="A199" s="638">
        <f t="shared" si="14"/>
        <v>153</v>
      </c>
      <c r="B199" s="632" t="s">
        <v>512</v>
      </c>
      <c r="C199" s="633">
        <v>80101706</v>
      </c>
      <c r="D199" s="634" t="s">
        <v>513</v>
      </c>
      <c r="E199" s="632" t="s">
        <v>48</v>
      </c>
      <c r="F199" s="632">
        <v>1</v>
      </c>
      <c r="G199" s="844" t="s">
        <v>73</v>
      </c>
      <c r="H199" s="845">
        <v>5</v>
      </c>
      <c r="I199" s="632" t="s">
        <v>61</v>
      </c>
      <c r="J199" s="632" t="s">
        <v>66</v>
      </c>
      <c r="K199" s="632" t="s">
        <v>589</v>
      </c>
      <c r="L199" s="635">
        <v>61800000</v>
      </c>
      <c r="M199" s="636">
        <f t="shared" si="19"/>
        <v>61800000</v>
      </c>
      <c r="N199" s="632" t="s">
        <v>51</v>
      </c>
      <c r="O199" s="632" t="s">
        <v>36</v>
      </c>
      <c r="P199" s="632" t="s">
        <v>514</v>
      </c>
      <c r="Q199" s="649"/>
      <c r="R199" s="637" t="s">
        <v>1051</v>
      </c>
      <c r="S199" s="637" t="s">
        <v>1052</v>
      </c>
      <c r="T199" s="653">
        <v>43118</v>
      </c>
      <c r="U199" s="637" t="s">
        <v>1053</v>
      </c>
      <c r="V199" s="637" t="s">
        <v>659</v>
      </c>
      <c r="W199" s="654">
        <v>61800000</v>
      </c>
      <c r="X199" s="654">
        <v>0</v>
      </c>
      <c r="Y199" s="654">
        <v>61800000</v>
      </c>
      <c r="Z199" s="654">
        <v>61800000</v>
      </c>
      <c r="AA199" s="654">
        <f t="shared" si="16"/>
        <v>0</v>
      </c>
      <c r="AB199" s="637" t="s">
        <v>1054</v>
      </c>
      <c r="AC199" s="637" t="s">
        <v>1338</v>
      </c>
      <c r="AD199" s="637" t="s">
        <v>834</v>
      </c>
      <c r="AE199" s="653">
        <v>43122</v>
      </c>
      <c r="AF199" s="653">
        <v>43272</v>
      </c>
      <c r="AG199" s="637" t="s">
        <v>1055</v>
      </c>
      <c r="AH199" s="637" t="s">
        <v>792</v>
      </c>
    </row>
    <row r="200" spans="1:34" ht="114" customHeight="1" x14ac:dyDescent="0.25">
      <c r="A200" s="638">
        <f t="shared" si="14"/>
        <v>154</v>
      </c>
      <c r="B200" s="632" t="s">
        <v>512</v>
      </c>
      <c r="C200" s="633">
        <v>80101706</v>
      </c>
      <c r="D200" s="634" t="s">
        <v>513</v>
      </c>
      <c r="E200" s="632" t="s">
        <v>48</v>
      </c>
      <c r="F200" s="632">
        <v>1</v>
      </c>
      <c r="G200" s="844" t="s">
        <v>73</v>
      </c>
      <c r="H200" s="845">
        <v>5</v>
      </c>
      <c r="I200" s="632" t="s">
        <v>61</v>
      </c>
      <c r="J200" s="632" t="s">
        <v>66</v>
      </c>
      <c r="K200" s="632" t="s">
        <v>589</v>
      </c>
      <c r="L200" s="635">
        <v>61800000</v>
      </c>
      <c r="M200" s="636">
        <f t="shared" si="19"/>
        <v>61800000</v>
      </c>
      <c r="N200" s="632" t="s">
        <v>51</v>
      </c>
      <c r="O200" s="632" t="s">
        <v>36</v>
      </c>
      <c r="P200" s="632" t="s">
        <v>514</v>
      </c>
      <c r="Q200" s="649"/>
      <c r="R200" s="637" t="s">
        <v>1056</v>
      </c>
      <c r="S200" s="637" t="s">
        <v>1057</v>
      </c>
      <c r="T200" s="653">
        <v>43118</v>
      </c>
      <c r="U200" s="637" t="s">
        <v>1053</v>
      </c>
      <c r="V200" s="637" t="s">
        <v>659</v>
      </c>
      <c r="W200" s="654">
        <v>61800000</v>
      </c>
      <c r="X200" s="654">
        <v>0</v>
      </c>
      <c r="Y200" s="654">
        <v>61800000</v>
      </c>
      <c r="Z200" s="654">
        <v>61800000</v>
      </c>
      <c r="AA200" s="654">
        <f t="shared" si="16"/>
        <v>0</v>
      </c>
      <c r="AB200" s="637" t="s">
        <v>1054</v>
      </c>
      <c r="AC200" s="637" t="s">
        <v>1339</v>
      </c>
      <c r="AD200" s="637" t="s">
        <v>834</v>
      </c>
      <c r="AE200" s="653">
        <v>43122</v>
      </c>
      <c r="AF200" s="653">
        <v>43272</v>
      </c>
      <c r="AG200" s="637" t="s">
        <v>1055</v>
      </c>
      <c r="AH200" s="637" t="s">
        <v>792</v>
      </c>
    </row>
    <row r="201" spans="1:34" ht="114" customHeight="1" x14ac:dyDescent="0.25">
      <c r="A201" s="638">
        <f t="shared" si="14"/>
        <v>155</v>
      </c>
      <c r="B201" s="632" t="s">
        <v>512</v>
      </c>
      <c r="C201" s="633">
        <v>80101706</v>
      </c>
      <c r="D201" s="634" t="s">
        <v>513</v>
      </c>
      <c r="E201" s="632" t="s">
        <v>48</v>
      </c>
      <c r="F201" s="632">
        <v>1</v>
      </c>
      <c r="G201" s="844" t="s">
        <v>73</v>
      </c>
      <c r="H201" s="845">
        <v>5</v>
      </c>
      <c r="I201" s="632" t="s">
        <v>61</v>
      </c>
      <c r="J201" s="632" t="s">
        <v>66</v>
      </c>
      <c r="K201" s="632" t="s">
        <v>589</v>
      </c>
      <c r="L201" s="635">
        <v>61800000</v>
      </c>
      <c r="M201" s="636">
        <f t="shared" si="19"/>
        <v>61800000</v>
      </c>
      <c r="N201" s="632" t="s">
        <v>51</v>
      </c>
      <c r="O201" s="632" t="s">
        <v>36</v>
      </c>
      <c r="P201" s="632" t="s">
        <v>514</v>
      </c>
      <c r="Q201" s="649"/>
      <c r="R201" s="637" t="s">
        <v>1058</v>
      </c>
      <c r="S201" s="637" t="s">
        <v>1059</v>
      </c>
      <c r="T201" s="653">
        <v>43118</v>
      </c>
      <c r="U201" s="637" t="s">
        <v>1053</v>
      </c>
      <c r="V201" s="637" t="s">
        <v>659</v>
      </c>
      <c r="W201" s="654">
        <v>61800000</v>
      </c>
      <c r="X201" s="654">
        <v>0</v>
      </c>
      <c r="Y201" s="654">
        <v>61800000</v>
      </c>
      <c r="Z201" s="654">
        <v>61800000</v>
      </c>
      <c r="AA201" s="654">
        <f t="shared" si="16"/>
        <v>0</v>
      </c>
      <c r="AB201" s="637" t="s">
        <v>1054</v>
      </c>
      <c r="AC201" s="637" t="s">
        <v>1340</v>
      </c>
      <c r="AD201" s="637" t="s">
        <v>834</v>
      </c>
      <c r="AE201" s="653">
        <v>43122</v>
      </c>
      <c r="AF201" s="653">
        <v>43272</v>
      </c>
      <c r="AG201" s="637" t="s">
        <v>1055</v>
      </c>
      <c r="AH201" s="637" t="s">
        <v>792</v>
      </c>
    </row>
    <row r="202" spans="1:34" ht="114" customHeight="1" x14ac:dyDescent="0.25">
      <c r="A202" s="638">
        <f t="shared" si="14"/>
        <v>156</v>
      </c>
      <c r="B202" s="632" t="s">
        <v>512</v>
      </c>
      <c r="C202" s="633">
        <v>80101706</v>
      </c>
      <c r="D202" s="634" t="s">
        <v>513</v>
      </c>
      <c r="E202" s="632" t="s">
        <v>48</v>
      </c>
      <c r="F202" s="632">
        <v>1</v>
      </c>
      <c r="G202" s="844" t="s">
        <v>73</v>
      </c>
      <c r="H202" s="845">
        <v>5</v>
      </c>
      <c r="I202" s="632" t="s">
        <v>61</v>
      </c>
      <c r="J202" s="632" t="s">
        <v>66</v>
      </c>
      <c r="K202" s="632" t="s">
        <v>589</v>
      </c>
      <c r="L202" s="635">
        <v>61800000</v>
      </c>
      <c r="M202" s="636">
        <f t="shared" si="19"/>
        <v>61800000</v>
      </c>
      <c r="N202" s="632" t="s">
        <v>51</v>
      </c>
      <c r="O202" s="632" t="s">
        <v>36</v>
      </c>
      <c r="P202" s="632" t="s">
        <v>514</v>
      </c>
      <c r="Q202" s="649"/>
      <c r="R202" s="637" t="s">
        <v>1060</v>
      </c>
      <c r="S202" s="637" t="s">
        <v>1061</v>
      </c>
      <c r="T202" s="653">
        <v>43118</v>
      </c>
      <c r="U202" s="637" t="s">
        <v>1053</v>
      </c>
      <c r="V202" s="637" t="s">
        <v>659</v>
      </c>
      <c r="W202" s="654">
        <v>61800000</v>
      </c>
      <c r="X202" s="654">
        <v>0</v>
      </c>
      <c r="Y202" s="654">
        <v>61800000</v>
      </c>
      <c r="Z202" s="654">
        <v>61800000</v>
      </c>
      <c r="AA202" s="654">
        <f t="shared" si="16"/>
        <v>0</v>
      </c>
      <c r="AB202" s="637" t="s">
        <v>1054</v>
      </c>
      <c r="AC202" s="637" t="s">
        <v>1341</v>
      </c>
      <c r="AD202" s="637" t="s">
        <v>834</v>
      </c>
      <c r="AE202" s="653">
        <v>43122</v>
      </c>
      <c r="AF202" s="653">
        <v>43272</v>
      </c>
      <c r="AG202" s="637" t="s">
        <v>1055</v>
      </c>
      <c r="AH202" s="637" t="s">
        <v>792</v>
      </c>
    </row>
    <row r="203" spans="1:34" ht="114.95" customHeight="1" x14ac:dyDescent="0.25">
      <c r="A203" s="638">
        <f t="shared" si="14"/>
        <v>157</v>
      </c>
      <c r="B203" s="632" t="s">
        <v>171</v>
      </c>
      <c r="C203" s="633">
        <v>80101706</v>
      </c>
      <c r="D203" s="634" t="s">
        <v>525</v>
      </c>
      <c r="E203" s="632" t="s">
        <v>48</v>
      </c>
      <c r="F203" s="632">
        <v>1</v>
      </c>
      <c r="G203" s="844" t="s">
        <v>73</v>
      </c>
      <c r="H203" s="845">
        <v>8</v>
      </c>
      <c r="I203" s="632" t="s">
        <v>61</v>
      </c>
      <c r="J203" s="632" t="s">
        <v>66</v>
      </c>
      <c r="K203" s="632" t="s">
        <v>589</v>
      </c>
      <c r="L203" s="635">
        <v>35616000</v>
      </c>
      <c r="M203" s="636">
        <f t="shared" si="19"/>
        <v>35616000</v>
      </c>
      <c r="N203" s="632" t="s">
        <v>51</v>
      </c>
      <c r="O203" s="632" t="s">
        <v>36</v>
      </c>
      <c r="P203" s="632" t="s">
        <v>524</v>
      </c>
      <c r="Q203" s="649"/>
      <c r="R203" s="637" t="s">
        <v>1062</v>
      </c>
      <c r="S203" s="637" t="s">
        <v>1063</v>
      </c>
      <c r="T203" s="653">
        <v>43112</v>
      </c>
      <c r="U203" s="637" t="s">
        <v>1064</v>
      </c>
      <c r="V203" s="637" t="s">
        <v>659</v>
      </c>
      <c r="W203" s="654">
        <v>35616000</v>
      </c>
      <c r="X203" s="654">
        <v>0</v>
      </c>
      <c r="Y203" s="654">
        <v>35616000</v>
      </c>
      <c r="Z203" s="654">
        <v>35616000</v>
      </c>
      <c r="AA203" s="654">
        <f t="shared" si="16"/>
        <v>0</v>
      </c>
      <c r="AB203" s="637" t="s">
        <v>1065</v>
      </c>
      <c r="AC203" s="637" t="s">
        <v>1342</v>
      </c>
      <c r="AD203" s="637" t="s">
        <v>956</v>
      </c>
      <c r="AE203" s="653">
        <v>43116</v>
      </c>
      <c r="AF203" s="653">
        <v>43358</v>
      </c>
      <c r="AG203" s="637" t="s">
        <v>1066</v>
      </c>
      <c r="AH203" s="637" t="s">
        <v>851</v>
      </c>
    </row>
    <row r="204" spans="1:34" ht="114.95" customHeight="1" x14ac:dyDescent="0.25">
      <c r="A204" s="638">
        <f t="shared" si="14"/>
        <v>158</v>
      </c>
      <c r="B204" s="632" t="s">
        <v>171</v>
      </c>
      <c r="C204" s="633">
        <v>80101706</v>
      </c>
      <c r="D204" s="634" t="s">
        <v>525</v>
      </c>
      <c r="E204" s="632" t="s">
        <v>48</v>
      </c>
      <c r="F204" s="632">
        <v>1</v>
      </c>
      <c r="G204" s="844" t="s">
        <v>73</v>
      </c>
      <c r="H204" s="845">
        <v>8</v>
      </c>
      <c r="I204" s="632" t="s">
        <v>61</v>
      </c>
      <c r="J204" s="632" t="s">
        <v>66</v>
      </c>
      <c r="K204" s="632" t="s">
        <v>589</v>
      </c>
      <c r="L204" s="635">
        <v>35616000</v>
      </c>
      <c r="M204" s="636">
        <f t="shared" si="19"/>
        <v>35616000</v>
      </c>
      <c r="N204" s="632" t="s">
        <v>51</v>
      </c>
      <c r="O204" s="632" t="s">
        <v>36</v>
      </c>
      <c r="P204" s="632" t="s">
        <v>524</v>
      </c>
      <c r="Q204" s="649"/>
      <c r="R204" s="637" t="s">
        <v>1067</v>
      </c>
      <c r="S204" s="637" t="s">
        <v>1068</v>
      </c>
      <c r="T204" s="653">
        <v>43118</v>
      </c>
      <c r="U204" s="637" t="s">
        <v>1069</v>
      </c>
      <c r="V204" s="637" t="s">
        <v>659</v>
      </c>
      <c r="W204" s="654">
        <v>35616000</v>
      </c>
      <c r="X204" s="654">
        <v>13356000</v>
      </c>
      <c r="Y204" s="654">
        <v>48972000</v>
      </c>
      <c r="Z204" s="654">
        <v>48972000</v>
      </c>
      <c r="AA204" s="654">
        <f t="shared" si="16"/>
        <v>0</v>
      </c>
      <c r="AB204" s="637" t="s">
        <v>1070</v>
      </c>
      <c r="AC204" s="637" t="s">
        <v>1343</v>
      </c>
      <c r="AD204" s="637" t="s">
        <v>668</v>
      </c>
      <c r="AE204" s="653">
        <v>43122</v>
      </c>
      <c r="AF204" s="653">
        <v>43364</v>
      </c>
      <c r="AG204" s="637" t="s">
        <v>850</v>
      </c>
      <c r="AH204" s="637" t="s">
        <v>851</v>
      </c>
    </row>
    <row r="205" spans="1:34" ht="114.95" customHeight="1" x14ac:dyDescent="0.25">
      <c r="A205" s="638">
        <f t="shared" si="14"/>
        <v>159</v>
      </c>
      <c r="B205" s="632" t="s">
        <v>171</v>
      </c>
      <c r="C205" s="633">
        <v>80101706</v>
      </c>
      <c r="D205" s="634" t="s">
        <v>525</v>
      </c>
      <c r="E205" s="632" t="s">
        <v>48</v>
      </c>
      <c r="F205" s="632">
        <v>1</v>
      </c>
      <c r="G205" s="844" t="s">
        <v>73</v>
      </c>
      <c r="H205" s="845">
        <v>8</v>
      </c>
      <c r="I205" s="632" t="s">
        <v>61</v>
      </c>
      <c r="J205" s="632" t="s">
        <v>66</v>
      </c>
      <c r="K205" s="632" t="s">
        <v>589</v>
      </c>
      <c r="L205" s="635">
        <v>35616000</v>
      </c>
      <c r="M205" s="636">
        <f t="shared" si="19"/>
        <v>35616000</v>
      </c>
      <c r="N205" s="632" t="s">
        <v>51</v>
      </c>
      <c r="O205" s="632" t="s">
        <v>36</v>
      </c>
      <c r="P205" s="632" t="s">
        <v>524</v>
      </c>
      <c r="Q205" s="649"/>
      <c r="R205" s="637" t="s">
        <v>1071</v>
      </c>
      <c r="S205" s="637" t="s">
        <v>1072</v>
      </c>
      <c r="T205" s="653">
        <v>43118</v>
      </c>
      <c r="U205" s="637" t="s">
        <v>1069</v>
      </c>
      <c r="V205" s="637" t="s">
        <v>659</v>
      </c>
      <c r="W205" s="654">
        <v>35616000</v>
      </c>
      <c r="X205" s="654">
        <v>0</v>
      </c>
      <c r="Y205" s="654">
        <v>35616000</v>
      </c>
      <c r="Z205" s="654">
        <v>35616000</v>
      </c>
      <c r="AA205" s="654">
        <f t="shared" si="16"/>
        <v>0</v>
      </c>
      <c r="AB205" s="637" t="s">
        <v>1070</v>
      </c>
      <c r="AC205" s="637" t="s">
        <v>1344</v>
      </c>
      <c r="AD205" s="637" t="s">
        <v>668</v>
      </c>
      <c r="AE205" s="653">
        <v>43122</v>
      </c>
      <c r="AF205" s="653">
        <v>43364</v>
      </c>
      <c r="AG205" s="637" t="s">
        <v>850</v>
      </c>
      <c r="AH205" s="637" t="s">
        <v>851</v>
      </c>
    </row>
    <row r="206" spans="1:34" ht="189.95" customHeight="1" x14ac:dyDescent="0.25">
      <c r="A206" s="638">
        <f t="shared" si="14"/>
        <v>160</v>
      </c>
      <c r="B206" s="632" t="s">
        <v>171</v>
      </c>
      <c r="C206" s="633">
        <v>80101706</v>
      </c>
      <c r="D206" s="634" t="s">
        <v>525</v>
      </c>
      <c r="E206" s="632" t="s">
        <v>48</v>
      </c>
      <c r="F206" s="632">
        <v>1</v>
      </c>
      <c r="G206" s="844" t="s">
        <v>73</v>
      </c>
      <c r="H206" s="845">
        <v>8</v>
      </c>
      <c r="I206" s="632" t="s">
        <v>61</v>
      </c>
      <c r="J206" s="632" t="s">
        <v>66</v>
      </c>
      <c r="K206" s="632" t="s">
        <v>589</v>
      </c>
      <c r="L206" s="635">
        <v>48000000</v>
      </c>
      <c r="M206" s="636">
        <v>48000000</v>
      </c>
      <c r="N206" s="632" t="s">
        <v>51</v>
      </c>
      <c r="O206" s="632" t="s">
        <v>36</v>
      </c>
      <c r="P206" s="632" t="s">
        <v>524</v>
      </c>
      <c r="Q206" s="649"/>
      <c r="R206" s="637" t="s">
        <v>1073</v>
      </c>
      <c r="S206" s="637" t="s">
        <v>238</v>
      </c>
      <c r="T206" s="653">
        <v>43125</v>
      </c>
      <c r="U206" s="637" t="s">
        <v>1074</v>
      </c>
      <c r="V206" s="637" t="s">
        <v>659</v>
      </c>
      <c r="W206" s="654">
        <v>48000000</v>
      </c>
      <c r="X206" s="654">
        <v>0</v>
      </c>
      <c r="Y206" s="654">
        <v>48000000</v>
      </c>
      <c r="Z206" s="654">
        <v>48000000</v>
      </c>
      <c r="AA206" s="654">
        <f t="shared" si="16"/>
        <v>0</v>
      </c>
      <c r="AB206" s="637" t="s">
        <v>1075</v>
      </c>
      <c r="AC206" s="637" t="s">
        <v>1345</v>
      </c>
      <c r="AD206" s="637" t="s">
        <v>668</v>
      </c>
      <c r="AE206" s="653">
        <v>43126</v>
      </c>
      <c r="AF206" s="653">
        <v>43368</v>
      </c>
      <c r="AG206" s="637" t="s">
        <v>1076</v>
      </c>
      <c r="AH206" s="637" t="s">
        <v>851</v>
      </c>
    </row>
    <row r="207" spans="1:34" ht="114.95" customHeight="1" x14ac:dyDescent="0.25">
      <c r="A207" s="638">
        <f t="shared" si="14"/>
        <v>161</v>
      </c>
      <c r="B207" s="632" t="s">
        <v>171</v>
      </c>
      <c r="C207" s="633">
        <v>80101706</v>
      </c>
      <c r="D207" s="634" t="s">
        <v>525</v>
      </c>
      <c r="E207" s="632" t="s">
        <v>48</v>
      </c>
      <c r="F207" s="632">
        <v>1</v>
      </c>
      <c r="G207" s="844" t="s">
        <v>73</v>
      </c>
      <c r="H207" s="845">
        <v>8</v>
      </c>
      <c r="I207" s="632" t="s">
        <v>61</v>
      </c>
      <c r="J207" s="632" t="s">
        <v>66</v>
      </c>
      <c r="K207" s="632" t="s">
        <v>589</v>
      </c>
      <c r="L207" s="635">
        <v>35616000</v>
      </c>
      <c r="M207" s="636">
        <f t="shared" ref="M207:M243" si="20">+L207</f>
        <v>35616000</v>
      </c>
      <c r="N207" s="632" t="s">
        <v>51</v>
      </c>
      <c r="O207" s="632" t="s">
        <v>36</v>
      </c>
      <c r="P207" s="632" t="s">
        <v>524</v>
      </c>
      <c r="Q207" s="649"/>
      <c r="R207" s="637" t="s">
        <v>1077</v>
      </c>
      <c r="S207" s="637" t="s">
        <v>1078</v>
      </c>
      <c r="T207" s="653">
        <v>43119</v>
      </c>
      <c r="U207" s="637" t="s">
        <v>1079</v>
      </c>
      <c r="V207" s="637" t="s">
        <v>659</v>
      </c>
      <c r="W207" s="654">
        <v>35616000</v>
      </c>
      <c r="X207" s="654">
        <v>0</v>
      </c>
      <c r="Y207" s="654">
        <v>35616000</v>
      </c>
      <c r="Z207" s="654">
        <v>35616000</v>
      </c>
      <c r="AA207" s="654">
        <f t="shared" si="16"/>
        <v>0</v>
      </c>
      <c r="AB207" s="637" t="s">
        <v>1070</v>
      </c>
      <c r="AC207" s="637" t="s">
        <v>1346</v>
      </c>
      <c r="AD207" s="637" t="s">
        <v>668</v>
      </c>
      <c r="AE207" s="653">
        <v>43122</v>
      </c>
      <c r="AF207" s="653">
        <v>43364</v>
      </c>
      <c r="AG207" s="637" t="s">
        <v>1076</v>
      </c>
      <c r="AH207" s="637" t="s">
        <v>851</v>
      </c>
    </row>
    <row r="208" spans="1:34" ht="132.94999999999999" customHeight="1" x14ac:dyDescent="0.25">
      <c r="A208" s="638">
        <f t="shared" si="14"/>
        <v>162</v>
      </c>
      <c r="B208" s="632" t="s">
        <v>171</v>
      </c>
      <c r="C208" s="633">
        <v>80101706</v>
      </c>
      <c r="D208" s="634" t="s">
        <v>525</v>
      </c>
      <c r="E208" s="632" t="s">
        <v>48</v>
      </c>
      <c r="F208" s="632">
        <v>1</v>
      </c>
      <c r="G208" s="844" t="s">
        <v>73</v>
      </c>
      <c r="H208" s="845">
        <v>8</v>
      </c>
      <c r="I208" s="632" t="s">
        <v>61</v>
      </c>
      <c r="J208" s="632" t="s">
        <v>66</v>
      </c>
      <c r="K208" s="632" t="s">
        <v>589</v>
      </c>
      <c r="L208" s="635">
        <v>73484000</v>
      </c>
      <c r="M208" s="636">
        <f t="shared" si="20"/>
        <v>73484000</v>
      </c>
      <c r="N208" s="632" t="s">
        <v>51</v>
      </c>
      <c r="O208" s="632" t="s">
        <v>36</v>
      </c>
      <c r="P208" s="632" t="s">
        <v>524</v>
      </c>
      <c r="Q208" s="649"/>
      <c r="R208" s="637" t="s">
        <v>1080</v>
      </c>
      <c r="S208" s="637" t="s">
        <v>1081</v>
      </c>
      <c r="T208" s="653">
        <v>43111</v>
      </c>
      <c r="U208" s="637" t="s">
        <v>1082</v>
      </c>
      <c r="V208" s="637" t="s">
        <v>659</v>
      </c>
      <c r="W208" s="654">
        <v>45927500</v>
      </c>
      <c r="X208" s="654">
        <v>22963750</v>
      </c>
      <c r="Y208" s="654">
        <f>W208+X208</f>
        <v>68891250</v>
      </c>
      <c r="Z208" s="654">
        <f>Y208</f>
        <v>68891250</v>
      </c>
      <c r="AA208" s="654">
        <f t="shared" si="16"/>
        <v>0</v>
      </c>
      <c r="AB208" s="637" t="s">
        <v>1083</v>
      </c>
      <c r="AC208" s="637" t="s">
        <v>1347</v>
      </c>
      <c r="AD208" s="637" t="s">
        <v>680</v>
      </c>
      <c r="AE208" s="653">
        <v>43117</v>
      </c>
      <c r="AF208" s="653">
        <v>43267</v>
      </c>
      <c r="AG208" s="637" t="s">
        <v>1066</v>
      </c>
      <c r="AH208" s="637" t="s">
        <v>851</v>
      </c>
    </row>
    <row r="209" spans="1:34" ht="95.1" customHeight="1" x14ac:dyDescent="0.25">
      <c r="A209" s="638">
        <f t="shared" si="14"/>
        <v>163</v>
      </c>
      <c r="B209" s="632" t="s">
        <v>512</v>
      </c>
      <c r="C209" s="633">
        <v>80101706</v>
      </c>
      <c r="D209" s="634" t="s">
        <v>513</v>
      </c>
      <c r="E209" s="632" t="s">
        <v>48</v>
      </c>
      <c r="F209" s="632">
        <v>1</v>
      </c>
      <c r="G209" s="844" t="s">
        <v>73</v>
      </c>
      <c r="H209" s="845">
        <v>8</v>
      </c>
      <c r="I209" s="632" t="s">
        <v>61</v>
      </c>
      <c r="J209" s="632" t="s">
        <v>66</v>
      </c>
      <c r="K209" s="632" t="s">
        <v>598</v>
      </c>
      <c r="L209" s="635">
        <v>34720000</v>
      </c>
      <c r="M209" s="636">
        <f t="shared" si="20"/>
        <v>34720000</v>
      </c>
      <c r="N209" s="632" t="s">
        <v>51</v>
      </c>
      <c r="O209" s="632" t="s">
        <v>36</v>
      </c>
      <c r="P209" s="632" t="s">
        <v>514</v>
      </c>
      <c r="Q209" s="649"/>
      <c r="R209" s="637" t="s">
        <v>1084</v>
      </c>
      <c r="S209" s="637" t="s">
        <v>1085</v>
      </c>
      <c r="T209" s="653">
        <v>43116</v>
      </c>
      <c r="U209" s="637" t="s">
        <v>1086</v>
      </c>
      <c r="V209" s="637" t="s">
        <v>659</v>
      </c>
      <c r="W209" s="654">
        <v>34720000</v>
      </c>
      <c r="X209" s="654">
        <v>13743333</v>
      </c>
      <c r="Y209" s="654">
        <v>48463333</v>
      </c>
      <c r="Z209" s="654">
        <v>48463333</v>
      </c>
      <c r="AA209" s="654"/>
      <c r="AB209" s="637" t="s">
        <v>1087</v>
      </c>
      <c r="AC209" s="637" t="s">
        <v>1348</v>
      </c>
      <c r="AD209" s="637" t="s">
        <v>668</v>
      </c>
      <c r="AE209" s="653">
        <v>43117</v>
      </c>
      <c r="AF209" s="653">
        <v>43359</v>
      </c>
      <c r="AG209" s="637" t="s">
        <v>1055</v>
      </c>
      <c r="AH209" s="637" t="s">
        <v>792</v>
      </c>
    </row>
    <row r="210" spans="1:34" ht="132.94999999999999" customHeight="1" x14ac:dyDescent="0.25">
      <c r="A210" s="638">
        <f t="shared" si="14"/>
        <v>164</v>
      </c>
      <c r="B210" s="632" t="s">
        <v>512</v>
      </c>
      <c r="C210" s="633">
        <v>80101706</v>
      </c>
      <c r="D210" s="634" t="s">
        <v>513</v>
      </c>
      <c r="E210" s="632" t="s">
        <v>48</v>
      </c>
      <c r="F210" s="632">
        <v>1</v>
      </c>
      <c r="G210" s="844" t="s">
        <v>73</v>
      </c>
      <c r="H210" s="845">
        <v>8</v>
      </c>
      <c r="I210" s="632" t="s">
        <v>61</v>
      </c>
      <c r="J210" s="632" t="s">
        <v>66</v>
      </c>
      <c r="K210" s="632" t="s">
        <v>598</v>
      </c>
      <c r="L210" s="635">
        <v>32000000</v>
      </c>
      <c r="M210" s="636">
        <f t="shared" si="20"/>
        <v>32000000</v>
      </c>
      <c r="N210" s="632" t="s">
        <v>51</v>
      </c>
      <c r="O210" s="632" t="s">
        <v>36</v>
      </c>
      <c r="P210" s="632" t="s">
        <v>514</v>
      </c>
      <c r="Q210" s="649"/>
      <c r="R210" s="637" t="s">
        <v>1088</v>
      </c>
      <c r="S210" s="637" t="s">
        <v>1089</v>
      </c>
      <c r="T210" s="653">
        <v>43122</v>
      </c>
      <c r="U210" s="637" t="s">
        <v>1090</v>
      </c>
      <c r="V210" s="637" t="s">
        <v>659</v>
      </c>
      <c r="W210" s="654">
        <v>32000000</v>
      </c>
      <c r="X210" s="654">
        <v>10800000</v>
      </c>
      <c r="Y210" s="654">
        <v>42800000</v>
      </c>
      <c r="Z210" s="654">
        <v>42800000</v>
      </c>
      <c r="AA210" s="654"/>
      <c r="AB210" s="637" t="s">
        <v>1091</v>
      </c>
      <c r="AC210" s="637" t="s">
        <v>1349</v>
      </c>
      <c r="AD210" s="637" t="s">
        <v>668</v>
      </c>
      <c r="AE210" s="653">
        <v>43124</v>
      </c>
      <c r="AF210" s="653">
        <v>43366</v>
      </c>
      <c r="AG210" s="637" t="s">
        <v>1055</v>
      </c>
      <c r="AH210" s="637" t="s">
        <v>792</v>
      </c>
    </row>
    <row r="211" spans="1:34" ht="114" customHeight="1" x14ac:dyDescent="0.25">
      <c r="A211" s="638">
        <f t="shared" si="14"/>
        <v>165</v>
      </c>
      <c r="B211" s="632" t="s">
        <v>512</v>
      </c>
      <c r="C211" s="633">
        <v>80101706</v>
      </c>
      <c r="D211" s="634" t="s">
        <v>513</v>
      </c>
      <c r="E211" s="632" t="s">
        <v>48</v>
      </c>
      <c r="F211" s="632">
        <v>1</v>
      </c>
      <c r="G211" s="844" t="s">
        <v>73</v>
      </c>
      <c r="H211" s="845">
        <v>8</v>
      </c>
      <c r="I211" s="632" t="s">
        <v>61</v>
      </c>
      <c r="J211" s="632" t="s">
        <v>66</v>
      </c>
      <c r="K211" s="632" t="s">
        <v>598</v>
      </c>
      <c r="L211" s="635">
        <v>16000000</v>
      </c>
      <c r="M211" s="636">
        <f t="shared" si="20"/>
        <v>16000000</v>
      </c>
      <c r="N211" s="632" t="s">
        <v>51</v>
      </c>
      <c r="O211" s="632" t="s">
        <v>36</v>
      </c>
      <c r="P211" s="632" t="s">
        <v>514</v>
      </c>
      <c r="Q211" s="649"/>
      <c r="R211" s="637" t="s">
        <v>1092</v>
      </c>
      <c r="S211" s="637" t="s">
        <v>1093</v>
      </c>
      <c r="T211" s="653">
        <v>43117</v>
      </c>
      <c r="U211" s="637" t="s">
        <v>1094</v>
      </c>
      <c r="V211" s="637" t="s">
        <v>666</v>
      </c>
      <c r="W211" s="654">
        <v>16000000</v>
      </c>
      <c r="X211" s="654">
        <v>6266667</v>
      </c>
      <c r="Y211" s="654">
        <v>22266667</v>
      </c>
      <c r="Z211" s="654">
        <v>22266667</v>
      </c>
      <c r="AA211" s="654"/>
      <c r="AB211" s="637" t="s">
        <v>1095</v>
      </c>
      <c r="AC211" s="637" t="s">
        <v>1350</v>
      </c>
      <c r="AD211" s="637" t="s">
        <v>668</v>
      </c>
      <c r="AE211" s="653">
        <v>43118</v>
      </c>
      <c r="AF211" s="653">
        <v>43360</v>
      </c>
      <c r="AG211" s="637" t="s">
        <v>1055</v>
      </c>
      <c r="AH211" s="637" t="s">
        <v>792</v>
      </c>
    </row>
    <row r="212" spans="1:34" ht="132.94999999999999" customHeight="1" x14ac:dyDescent="0.25">
      <c r="A212" s="638">
        <f t="shared" si="14"/>
        <v>166</v>
      </c>
      <c r="B212" s="632" t="s">
        <v>512</v>
      </c>
      <c r="C212" s="633">
        <v>80101706</v>
      </c>
      <c r="D212" s="634" t="s">
        <v>513</v>
      </c>
      <c r="E212" s="632" t="s">
        <v>48</v>
      </c>
      <c r="F212" s="632">
        <v>1</v>
      </c>
      <c r="G212" s="844" t="s">
        <v>73</v>
      </c>
      <c r="H212" s="845">
        <v>8</v>
      </c>
      <c r="I212" s="632" t="s">
        <v>61</v>
      </c>
      <c r="J212" s="632" t="s">
        <v>66</v>
      </c>
      <c r="K212" s="632" t="s">
        <v>598</v>
      </c>
      <c r="L212" s="635">
        <v>40000000</v>
      </c>
      <c r="M212" s="636">
        <f t="shared" si="20"/>
        <v>40000000</v>
      </c>
      <c r="N212" s="632" t="s">
        <v>51</v>
      </c>
      <c r="O212" s="632" t="s">
        <v>36</v>
      </c>
      <c r="P212" s="632" t="s">
        <v>514</v>
      </c>
      <c r="Q212" s="649"/>
      <c r="R212" s="637" t="s">
        <v>1096</v>
      </c>
      <c r="S212" s="637" t="s">
        <v>1097</v>
      </c>
      <c r="T212" s="653">
        <v>43117</v>
      </c>
      <c r="U212" s="637" t="s">
        <v>1098</v>
      </c>
      <c r="V212" s="637" t="s">
        <v>659</v>
      </c>
      <c r="W212" s="654">
        <v>40000000</v>
      </c>
      <c r="X212" s="654">
        <v>15666667</v>
      </c>
      <c r="Y212" s="654">
        <v>55666667</v>
      </c>
      <c r="Z212" s="654">
        <v>55666667</v>
      </c>
      <c r="AA212" s="654"/>
      <c r="AB212" s="637" t="s">
        <v>1008</v>
      </c>
      <c r="AC212" s="637" t="s">
        <v>1351</v>
      </c>
      <c r="AD212" s="637" t="s">
        <v>668</v>
      </c>
      <c r="AE212" s="653">
        <v>43118</v>
      </c>
      <c r="AF212" s="653">
        <v>43360</v>
      </c>
      <c r="AG212" s="637" t="s">
        <v>1055</v>
      </c>
      <c r="AH212" s="637" t="s">
        <v>792</v>
      </c>
    </row>
    <row r="213" spans="1:34" ht="132.94999999999999" customHeight="1" x14ac:dyDescent="0.25">
      <c r="A213" s="638">
        <f t="shared" si="14"/>
        <v>167</v>
      </c>
      <c r="B213" s="632" t="s">
        <v>512</v>
      </c>
      <c r="C213" s="633">
        <v>80101706</v>
      </c>
      <c r="D213" s="634" t="s">
        <v>513</v>
      </c>
      <c r="E213" s="632" t="s">
        <v>48</v>
      </c>
      <c r="F213" s="632">
        <v>1</v>
      </c>
      <c r="G213" s="844" t="s">
        <v>73</v>
      </c>
      <c r="H213" s="845">
        <v>7</v>
      </c>
      <c r="I213" s="632" t="s">
        <v>61</v>
      </c>
      <c r="J213" s="632" t="s">
        <v>66</v>
      </c>
      <c r="K213" s="632" t="s">
        <v>598</v>
      </c>
      <c r="L213" s="635">
        <v>42000000</v>
      </c>
      <c r="M213" s="636">
        <f t="shared" si="20"/>
        <v>42000000</v>
      </c>
      <c r="N213" s="632" t="s">
        <v>51</v>
      </c>
      <c r="O213" s="632" t="s">
        <v>36</v>
      </c>
      <c r="P213" s="632" t="s">
        <v>514</v>
      </c>
      <c r="Q213" s="649"/>
      <c r="R213" s="637" t="s">
        <v>1099</v>
      </c>
      <c r="S213" s="637" t="s">
        <v>1100</v>
      </c>
      <c r="T213" s="653">
        <v>43122</v>
      </c>
      <c r="U213" s="637" t="s">
        <v>1101</v>
      </c>
      <c r="V213" s="637" t="s">
        <v>659</v>
      </c>
      <c r="W213" s="654">
        <v>42000000</v>
      </c>
      <c r="X213" s="654">
        <v>0</v>
      </c>
      <c r="Y213" s="654">
        <v>42000000</v>
      </c>
      <c r="Z213" s="654">
        <v>42000000</v>
      </c>
      <c r="AA213" s="654"/>
      <c r="AB213" s="637" t="s">
        <v>1102</v>
      </c>
      <c r="AC213" s="637" t="s">
        <v>1352</v>
      </c>
      <c r="AD213" s="637" t="s">
        <v>1103</v>
      </c>
      <c r="AE213" s="653">
        <v>43125</v>
      </c>
      <c r="AF213" s="653">
        <v>43333</v>
      </c>
      <c r="AG213" s="637" t="s">
        <v>1055</v>
      </c>
      <c r="AH213" s="637" t="s">
        <v>792</v>
      </c>
    </row>
    <row r="214" spans="1:34" ht="95.1" customHeight="1" x14ac:dyDescent="0.25">
      <c r="A214" s="638">
        <f t="shared" si="14"/>
        <v>168</v>
      </c>
      <c r="B214" s="632" t="s">
        <v>512</v>
      </c>
      <c r="C214" s="633">
        <v>80101706</v>
      </c>
      <c r="D214" s="634" t="s">
        <v>513</v>
      </c>
      <c r="E214" s="632" t="s">
        <v>48</v>
      </c>
      <c r="F214" s="632">
        <v>1</v>
      </c>
      <c r="G214" s="844" t="s">
        <v>73</v>
      </c>
      <c r="H214" s="845">
        <v>8</v>
      </c>
      <c r="I214" s="632" t="s">
        <v>61</v>
      </c>
      <c r="J214" s="632" t="s">
        <v>66</v>
      </c>
      <c r="K214" s="632" t="s">
        <v>598</v>
      </c>
      <c r="L214" s="635">
        <v>80000000</v>
      </c>
      <c r="M214" s="636">
        <f t="shared" si="20"/>
        <v>80000000</v>
      </c>
      <c r="N214" s="632" t="s">
        <v>51</v>
      </c>
      <c r="O214" s="632" t="s">
        <v>36</v>
      </c>
      <c r="P214" s="632" t="s">
        <v>514</v>
      </c>
      <c r="Q214" s="649"/>
      <c r="R214" s="637" t="s">
        <v>1104</v>
      </c>
      <c r="S214" s="637" t="s">
        <v>1105</v>
      </c>
      <c r="T214" s="653">
        <v>43116</v>
      </c>
      <c r="U214" s="637" t="s">
        <v>1106</v>
      </c>
      <c r="V214" s="637" t="s">
        <v>659</v>
      </c>
      <c r="W214" s="654">
        <v>80000000</v>
      </c>
      <c r="X214" s="654">
        <v>27666667</v>
      </c>
      <c r="Y214" s="654">
        <v>107666667</v>
      </c>
      <c r="Z214" s="654">
        <v>107666667</v>
      </c>
      <c r="AA214" s="654"/>
      <c r="AB214" s="637" t="s">
        <v>1107</v>
      </c>
      <c r="AC214" s="637" t="s">
        <v>1353</v>
      </c>
      <c r="AD214" s="637" t="s">
        <v>961</v>
      </c>
      <c r="AE214" s="653">
        <v>43122</v>
      </c>
      <c r="AF214" s="653">
        <v>43364</v>
      </c>
      <c r="AG214" s="637" t="s">
        <v>791</v>
      </c>
      <c r="AH214" s="637" t="s">
        <v>792</v>
      </c>
    </row>
    <row r="215" spans="1:34" ht="114" customHeight="1" x14ac:dyDescent="0.25">
      <c r="A215" s="638">
        <f t="shared" si="14"/>
        <v>169</v>
      </c>
      <c r="B215" s="632" t="s">
        <v>512</v>
      </c>
      <c r="C215" s="633">
        <v>80101706</v>
      </c>
      <c r="D215" s="634" t="s">
        <v>513</v>
      </c>
      <c r="E215" s="632" t="s">
        <v>48</v>
      </c>
      <c r="F215" s="632">
        <v>1</v>
      </c>
      <c r="G215" s="844" t="s">
        <v>73</v>
      </c>
      <c r="H215" s="845">
        <v>8</v>
      </c>
      <c r="I215" s="632" t="s">
        <v>61</v>
      </c>
      <c r="J215" s="632" t="s">
        <v>66</v>
      </c>
      <c r="K215" s="632" t="s">
        <v>598</v>
      </c>
      <c r="L215" s="635">
        <v>72000000</v>
      </c>
      <c r="M215" s="636">
        <f t="shared" si="20"/>
        <v>72000000</v>
      </c>
      <c r="N215" s="632" t="s">
        <v>51</v>
      </c>
      <c r="O215" s="632" t="s">
        <v>36</v>
      </c>
      <c r="P215" s="632" t="s">
        <v>514</v>
      </c>
      <c r="Q215" s="649"/>
      <c r="R215" s="637" t="s">
        <v>1108</v>
      </c>
      <c r="S215" s="637" t="s">
        <v>1109</v>
      </c>
      <c r="T215" s="653">
        <v>43116</v>
      </c>
      <c r="U215" s="637" t="s">
        <v>1110</v>
      </c>
      <c r="V215" s="637" t="s">
        <v>659</v>
      </c>
      <c r="W215" s="654">
        <v>72000000</v>
      </c>
      <c r="X215" s="654">
        <v>24900000</v>
      </c>
      <c r="Y215" s="654">
        <v>96900000</v>
      </c>
      <c r="Z215" s="654">
        <v>96900000</v>
      </c>
      <c r="AA215" s="654"/>
      <c r="AB215" s="637" t="s">
        <v>1111</v>
      </c>
      <c r="AC215" s="637" t="s">
        <v>1354</v>
      </c>
      <c r="AD215" s="637" t="s">
        <v>961</v>
      </c>
      <c r="AE215" s="653">
        <v>43122</v>
      </c>
      <c r="AF215" s="653">
        <v>43364</v>
      </c>
      <c r="AG215" s="637" t="s">
        <v>791</v>
      </c>
      <c r="AH215" s="637" t="s">
        <v>792</v>
      </c>
    </row>
    <row r="216" spans="1:34" ht="114" customHeight="1" x14ac:dyDescent="0.25">
      <c r="A216" s="638">
        <f t="shared" si="14"/>
        <v>170</v>
      </c>
      <c r="B216" s="632" t="s">
        <v>512</v>
      </c>
      <c r="C216" s="633">
        <v>80101706</v>
      </c>
      <c r="D216" s="634" t="s">
        <v>513</v>
      </c>
      <c r="E216" s="632" t="s">
        <v>48</v>
      </c>
      <c r="F216" s="632">
        <v>1</v>
      </c>
      <c r="G216" s="844" t="s">
        <v>73</v>
      </c>
      <c r="H216" s="845">
        <v>8</v>
      </c>
      <c r="I216" s="632" t="s">
        <v>61</v>
      </c>
      <c r="J216" s="632" t="s">
        <v>66</v>
      </c>
      <c r="K216" s="632" t="s">
        <v>598</v>
      </c>
      <c r="L216" s="635">
        <v>72000000</v>
      </c>
      <c r="M216" s="636">
        <f t="shared" si="20"/>
        <v>72000000</v>
      </c>
      <c r="N216" s="632" t="s">
        <v>51</v>
      </c>
      <c r="O216" s="632" t="s">
        <v>36</v>
      </c>
      <c r="P216" s="632" t="s">
        <v>514</v>
      </c>
      <c r="Q216" s="649"/>
      <c r="R216" s="637" t="s">
        <v>1112</v>
      </c>
      <c r="S216" s="637" t="s">
        <v>1113</v>
      </c>
      <c r="T216" s="653">
        <v>43115</v>
      </c>
      <c r="U216" s="637" t="s">
        <v>1110</v>
      </c>
      <c r="V216" s="637" t="s">
        <v>659</v>
      </c>
      <c r="W216" s="654">
        <v>72000000</v>
      </c>
      <c r="X216" s="654">
        <v>24900000</v>
      </c>
      <c r="Y216" s="654">
        <v>96900000</v>
      </c>
      <c r="Z216" s="654">
        <v>96900000</v>
      </c>
      <c r="AA216" s="654"/>
      <c r="AB216" s="637" t="s">
        <v>1111</v>
      </c>
      <c r="AC216" s="637" t="s">
        <v>1355</v>
      </c>
      <c r="AD216" s="637" t="s">
        <v>961</v>
      </c>
      <c r="AE216" s="653">
        <v>43122</v>
      </c>
      <c r="AF216" s="653">
        <v>43364</v>
      </c>
      <c r="AG216" s="637" t="s">
        <v>791</v>
      </c>
      <c r="AH216" s="637" t="s">
        <v>792</v>
      </c>
    </row>
    <row r="217" spans="1:34" ht="114" customHeight="1" x14ac:dyDescent="0.25">
      <c r="A217" s="638">
        <f t="shared" si="14"/>
        <v>171</v>
      </c>
      <c r="B217" s="632" t="s">
        <v>512</v>
      </c>
      <c r="C217" s="633">
        <v>80101706</v>
      </c>
      <c r="D217" s="634" t="s">
        <v>513</v>
      </c>
      <c r="E217" s="632" t="s">
        <v>48</v>
      </c>
      <c r="F217" s="632">
        <v>1</v>
      </c>
      <c r="G217" s="844" t="s">
        <v>73</v>
      </c>
      <c r="H217" s="845">
        <v>8</v>
      </c>
      <c r="I217" s="632" t="s">
        <v>61</v>
      </c>
      <c r="J217" s="632" t="s">
        <v>66</v>
      </c>
      <c r="K217" s="632" t="s">
        <v>598</v>
      </c>
      <c r="L217" s="635">
        <v>72000000</v>
      </c>
      <c r="M217" s="636">
        <f t="shared" si="20"/>
        <v>72000000</v>
      </c>
      <c r="N217" s="632" t="s">
        <v>51</v>
      </c>
      <c r="O217" s="632" t="s">
        <v>36</v>
      </c>
      <c r="P217" s="632" t="s">
        <v>514</v>
      </c>
      <c r="Q217" s="649"/>
      <c r="R217" s="637" t="s">
        <v>1114</v>
      </c>
      <c r="S217" s="637" t="s">
        <v>1115</v>
      </c>
      <c r="T217" s="653">
        <v>43116</v>
      </c>
      <c r="U217" s="637" t="s">
        <v>1110</v>
      </c>
      <c r="V217" s="637" t="s">
        <v>659</v>
      </c>
      <c r="W217" s="654">
        <v>72000000</v>
      </c>
      <c r="X217" s="654">
        <v>24900000</v>
      </c>
      <c r="Y217" s="654">
        <v>96900000</v>
      </c>
      <c r="Z217" s="654">
        <v>96900000</v>
      </c>
      <c r="AA217" s="654"/>
      <c r="AB217" s="637" t="s">
        <v>1111</v>
      </c>
      <c r="AC217" s="637" t="s">
        <v>1356</v>
      </c>
      <c r="AD217" s="637" t="s">
        <v>961</v>
      </c>
      <c r="AE217" s="653">
        <v>43122</v>
      </c>
      <c r="AF217" s="653">
        <v>43364</v>
      </c>
      <c r="AG217" s="637" t="s">
        <v>1055</v>
      </c>
      <c r="AH217" s="637" t="s">
        <v>792</v>
      </c>
    </row>
    <row r="218" spans="1:34" ht="114" customHeight="1" x14ac:dyDescent="0.25">
      <c r="A218" s="638">
        <f t="shared" si="14"/>
        <v>172</v>
      </c>
      <c r="B218" s="632" t="s">
        <v>512</v>
      </c>
      <c r="C218" s="633">
        <v>80101706</v>
      </c>
      <c r="D218" s="634" t="s">
        <v>513</v>
      </c>
      <c r="E218" s="632" t="s">
        <v>48</v>
      </c>
      <c r="F218" s="632">
        <v>1</v>
      </c>
      <c r="G218" s="844" t="s">
        <v>73</v>
      </c>
      <c r="H218" s="845">
        <v>8</v>
      </c>
      <c r="I218" s="632" t="s">
        <v>61</v>
      </c>
      <c r="J218" s="632" t="s">
        <v>66</v>
      </c>
      <c r="K218" s="632" t="s">
        <v>598</v>
      </c>
      <c r="L218" s="635">
        <v>72000000</v>
      </c>
      <c r="M218" s="636">
        <f t="shared" si="20"/>
        <v>72000000</v>
      </c>
      <c r="N218" s="632" t="s">
        <v>51</v>
      </c>
      <c r="O218" s="632" t="s">
        <v>36</v>
      </c>
      <c r="P218" s="632" t="s">
        <v>514</v>
      </c>
      <c r="Q218" s="649"/>
      <c r="R218" s="637" t="s">
        <v>1116</v>
      </c>
      <c r="S218" s="637" t="s">
        <v>1117</v>
      </c>
      <c r="T218" s="653">
        <v>43122</v>
      </c>
      <c r="U218" s="637" t="s">
        <v>1110</v>
      </c>
      <c r="V218" s="637" t="s">
        <v>659</v>
      </c>
      <c r="W218" s="654">
        <v>72000000</v>
      </c>
      <c r="X218" s="654">
        <v>24300000</v>
      </c>
      <c r="Y218" s="654">
        <v>96300000</v>
      </c>
      <c r="Z218" s="654">
        <v>96300000</v>
      </c>
      <c r="AA218" s="654"/>
      <c r="AB218" s="637" t="s">
        <v>1118</v>
      </c>
      <c r="AC218" s="637" t="s">
        <v>1357</v>
      </c>
      <c r="AD218" s="637" t="s">
        <v>668</v>
      </c>
      <c r="AE218" s="653">
        <v>43124</v>
      </c>
      <c r="AF218" s="653">
        <v>43366</v>
      </c>
      <c r="AG218" s="637" t="s">
        <v>1055</v>
      </c>
      <c r="AH218" s="637" t="s">
        <v>792</v>
      </c>
    </row>
    <row r="219" spans="1:34" ht="114" customHeight="1" x14ac:dyDescent="0.25">
      <c r="A219" s="638">
        <f t="shared" ref="A219:A248" si="21">SUM(A218+1)</f>
        <v>173</v>
      </c>
      <c r="B219" s="632" t="s">
        <v>512</v>
      </c>
      <c r="C219" s="633">
        <v>80101706</v>
      </c>
      <c r="D219" s="634" t="s">
        <v>513</v>
      </c>
      <c r="E219" s="632" t="s">
        <v>48</v>
      </c>
      <c r="F219" s="632">
        <v>1</v>
      </c>
      <c r="G219" s="844" t="s">
        <v>73</v>
      </c>
      <c r="H219" s="845">
        <v>8</v>
      </c>
      <c r="I219" s="632" t="s">
        <v>61</v>
      </c>
      <c r="J219" s="632" t="s">
        <v>66</v>
      </c>
      <c r="K219" s="632" t="s">
        <v>598</v>
      </c>
      <c r="L219" s="635">
        <v>72000000</v>
      </c>
      <c r="M219" s="636">
        <f t="shared" si="20"/>
        <v>72000000</v>
      </c>
      <c r="N219" s="632" t="s">
        <v>51</v>
      </c>
      <c r="O219" s="632" t="s">
        <v>36</v>
      </c>
      <c r="P219" s="632" t="s">
        <v>514</v>
      </c>
      <c r="Q219" s="649"/>
      <c r="R219" s="637" t="s">
        <v>1119</v>
      </c>
      <c r="S219" s="637" t="s">
        <v>1120</v>
      </c>
      <c r="T219" s="653">
        <v>43116</v>
      </c>
      <c r="U219" s="637" t="s">
        <v>1110</v>
      </c>
      <c r="V219" s="637" t="s">
        <v>659</v>
      </c>
      <c r="W219" s="654">
        <v>72000000</v>
      </c>
      <c r="X219" s="654">
        <v>24900000</v>
      </c>
      <c r="Y219" s="654">
        <v>96900000</v>
      </c>
      <c r="Z219" s="654">
        <v>96900000</v>
      </c>
      <c r="AA219" s="654"/>
      <c r="AB219" s="637" t="s">
        <v>1111</v>
      </c>
      <c r="AC219" s="637" t="s">
        <v>1358</v>
      </c>
      <c r="AD219" s="637" t="s">
        <v>961</v>
      </c>
      <c r="AE219" s="653">
        <v>43122</v>
      </c>
      <c r="AF219" s="653">
        <v>43364</v>
      </c>
      <c r="AG219" s="637" t="s">
        <v>1055</v>
      </c>
      <c r="AH219" s="637" t="s">
        <v>792</v>
      </c>
    </row>
    <row r="220" spans="1:34" ht="114" customHeight="1" x14ac:dyDescent="0.25">
      <c r="A220" s="638">
        <f t="shared" si="21"/>
        <v>174</v>
      </c>
      <c r="B220" s="632" t="s">
        <v>512</v>
      </c>
      <c r="C220" s="633">
        <v>80101706</v>
      </c>
      <c r="D220" s="634" t="s">
        <v>513</v>
      </c>
      <c r="E220" s="632" t="s">
        <v>48</v>
      </c>
      <c r="F220" s="632">
        <v>1</v>
      </c>
      <c r="G220" s="844" t="s">
        <v>73</v>
      </c>
      <c r="H220" s="845">
        <v>8</v>
      </c>
      <c r="I220" s="632" t="s">
        <v>61</v>
      </c>
      <c r="J220" s="632" t="s">
        <v>66</v>
      </c>
      <c r="K220" s="632" t="s">
        <v>598</v>
      </c>
      <c r="L220" s="635">
        <v>72000000</v>
      </c>
      <c r="M220" s="636">
        <f t="shared" si="20"/>
        <v>72000000</v>
      </c>
      <c r="N220" s="632" t="s">
        <v>51</v>
      </c>
      <c r="O220" s="632" t="s">
        <v>36</v>
      </c>
      <c r="P220" s="632" t="s">
        <v>514</v>
      </c>
      <c r="Q220" s="649"/>
      <c r="R220" s="637" t="s">
        <v>1121</v>
      </c>
      <c r="S220" s="637" t="s">
        <v>1122</v>
      </c>
      <c r="T220" s="653">
        <v>43124</v>
      </c>
      <c r="U220" s="637" t="s">
        <v>1123</v>
      </c>
      <c r="V220" s="637" t="s">
        <v>659</v>
      </c>
      <c r="W220" s="654">
        <v>72000000</v>
      </c>
      <c r="X220" s="654">
        <v>23400000</v>
      </c>
      <c r="Y220" s="654">
        <v>95400000</v>
      </c>
      <c r="Z220" s="654">
        <v>95400000</v>
      </c>
      <c r="AA220" s="654"/>
      <c r="AB220" s="637" t="s">
        <v>1124</v>
      </c>
      <c r="AC220" s="637" t="s">
        <v>1358</v>
      </c>
      <c r="AD220" s="637" t="s">
        <v>668</v>
      </c>
      <c r="AE220" s="653">
        <v>43126</v>
      </c>
      <c r="AF220" s="653">
        <v>43368</v>
      </c>
      <c r="AG220" s="637" t="s">
        <v>1055</v>
      </c>
      <c r="AH220" s="637" t="s">
        <v>792</v>
      </c>
    </row>
    <row r="221" spans="1:34" ht="132.94999999999999" customHeight="1" x14ac:dyDescent="0.25">
      <c r="A221" s="638">
        <f t="shared" si="21"/>
        <v>175</v>
      </c>
      <c r="B221" s="632" t="s">
        <v>512</v>
      </c>
      <c r="C221" s="633">
        <v>80101706</v>
      </c>
      <c r="D221" s="634" t="s">
        <v>513</v>
      </c>
      <c r="E221" s="632" t="s">
        <v>48</v>
      </c>
      <c r="F221" s="632">
        <v>1</v>
      </c>
      <c r="G221" s="844" t="s">
        <v>73</v>
      </c>
      <c r="H221" s="845">
        <v>5</v>
      </c>
      <c r="I221" s="632" t="s">
        <v>61</v>
      </c>
      <c r="J221" s="632" t="s">
        <v>66</v>
      </c>
      <c r="K221" s="632" t="s">
        <v>589</v>
      </c>
      <c r="L221" s="635">
        <v>45000000</v>
      </c>
      <c r="M221" s="636">
        <f t="shared" si="20"/>
        <v>45000000</v>
      </c>
      <c r="N221" s="632" t="s">
        <v>51</v>
      </c>
      <c r="O221" s="632" t="s">
        <v>36</v>
      </c>
      <c r="P221" s="632" t="s">
        <v>514</v>
      </c>
      <c r="Q221" s="649"/>
      <c r="R221" s="637" t="s">
        <v>1125</v>
      </c>
      <c r="S221" s="637" t="s">
        <v>1126</v>
      </c>
      <c r="T221" s="653">
        <v>43118</v>
      </c>
      <c r="U221" s="637" t="s">
        <v>1127</v>
      </c>
      <c r="V221" s="637" t="s">
        <v>659</v>
      </c>
      <c r="W221" s="654">
        <v>45000000</v>
      </c>
      <c r="X221" s="654">
        <v>0</v>
      </c>
      <c r="Y221" s="654">
        <v>45000000</v>
      </c>
      <c r="Z221" s="654">
        <v>45000000</v>
      </c>
      <c r="AA221" s="654">
        <f>Z221-Y221</f>
        <v>0</v>
      </c>
      <c r="AB221" s="637" t="s">
        <v>800</v>
      </c>
      <c r="AC221" s="637" t="s">
        <v>1359</v>
      </c>
      <c r="AD221" s="637" t="s">
        <v>834</v>
      </c>
      <c r="AE221" s="653">
        <v>43122</v>
      </c>
      <c r="AF221" s="653">
        <v>43272</v>
      </c>
      <c r="AG221" s="637" t="s">
        <v>1055</v>
      </c>
      <c r="AH221" s="637" t="s">
        <v>792</v>
      </c>
    </row>
    <row r="222" spans="1:34" ht="114" customHeight="1" x14ac:dyDescent="0.25">
      <c r="A222" s="638">
        <f t="shared" si="21"/>
        <v>176</v>
      </c>
      <c r="B222" s="632" t="s">
        <v>512</v>
      </c>
      <c r="C222" s="633">
        <v>80101706</v>
      </c>
      <c r="D222" s="634" t="s">
        <v>513</v>
      </c>
      <c r="E222" s="632" t="s">
        <v>48</v>
      </c>
      <c r="F222" s="632">
        <v>1</v>
      </c>
      <c r="G222" s="844" t="s">
        <v>73</v>
      </c>
      <c r="H222" s="845">
        <v>8</v>
      </c>
      <c r="I222" s="632" t="s">
        <v>61</v>
      </c>
      <c r="J222" s="632" t="s">
        <v>66</v>
      </c>
      <c r="K222" s="632" t="s">
        <v>598</v>
      </c>
      <c r="L222" s="635">
        <v>48000000</v>
      </c>
      <c r="M222" s="636">
        <f t="shared" si="20"/>
        <v>48000000</v>
      </c>
      <c r="N222" s="632" t="s">
        <v>51</v>
      </c>
      <c r="O222" s="632" t="s">
        <v>36</v>
      </c>
      <c r="P222" s="632" t="s">
        <v>514</v>
      </c>
      <c r="Q222" s="649"/>
      <c r="R222" s="637" t="s">
        <v>1128</v>
      </c>
      <c r="S222" s="637" t="s">
        <v>1129</v>
      </c>
      <c r="T222" s="653">
        <v>43116</v>
      </c>
      <c r="U222" s="637" t="s">
        <v>1130</v>
      </c>
      <c r="V222" s="637" t="s">
        <v>659</v>
      </c>
      <c r="W222" s="654">
        <v>48000000</v>
      </c>
      <c r="X222" s="654">
        <v>16600000</v>
      </c>
      <c r="Y222" s="654">
        <v>64600000</v>
      </c>
      <c r="Z222" s="654">
        <v>64600000</v>
      </c>
      <c r="AA222" s="654"/>
      <c r="AB222" s="637" t="s">
        <v>960</v>
      </c>
      <c r="AC222" s="637" t="s">
        <v>1360</v>
      </c>
      <c r="AD222" s="637" t="s">
        <v>961</v>
      </c>
      <c r="AE222" s="653">
        <v>43122</v>
      </c>
      <c r="AF222" s="653">
        <v>43364</v>
      </c>
      <c r="AG222" s="637" t="s">
        <v>1055</v>
      </c>
      <c r="AH222" s="637" t="s">
        <v>792</v>
      </c>
    </row>
    <row r="223" spans="1:34" ht="114" customHeight="1" x14ac:dyDescent="0.25">
      <c r="A223" s="638">
        <f t="shared" si="21"/>
        <v>177</v>
      </c>
      <c r="B223" s="632" t="s">
        <v>512</v>
      </c>
      <c r="C223" s="633">
        <v>80101706</v>
      </c>
      <c r="D223" s="634" t="s">
        <v>513</v>
      </c>
      <c r="E223" s="632" t="s">
        <v>48</v>
      </c>
      <c r="F223" s="632">
        <v>1</v>
      </c>
      <c r="G223" s="844" t="s">
        <v>73</v>
      </c>
      <c r="H223" s="845">
        <v>8</v>
      </c>
      <c r="I223" s="632" t="s">
        <v>61</v>
      </c>
      <c r="J223" s="632" t="s">
        <v>66</v>
      </c>
      <c r="K223" s="632" t="s">
        <v>598</v>
      </c>
      <c r="L223" s="635">
        <v>48000000</v>
      </c>
      <c r="M223" s="636">
        <f t="shared" si="20"/>
        <v>48000000</v>
      </c>
      <c r="N223" s="632" t="s">
        <v>51</v>
      </c>
      <c r="O223" s="632" t="s">
        <v>36</v>
      </c>
      <c r="P223" s="632" t="s">
        <v>514</v>
      </c>
      <c r="Q223" s="649"/>
      <c r="R223" s="637" t="s">
        <v>1131</v>
      </c>
      <c r="S223" s="637" t="s">
        <v>1132</v>
      </c>
      <c r="T223" s="653">
        <v>43118</v>
      </c>
      <c r="U223" s="637" t="s">
        <v>1130</v>
      </c>
      <c r="V223" s="637" t="s">
        <v>659</v>
      </c>
      <c r="W223" s="654">
        <v>48000000</v>
      </c>
      <c r="X223" s="654">
        <v>0</v>
      </c>
      <c r="Y223" s="654">
        <v>48000000</v>
      </c>
      <c r="Z223" s="654">
        <v>48000000</v>
      </c>
      <c r="AA223" s="654"/>
      <c r="AB223" s="637" t="s">
        <v>960</v>
      </c>
      <c r="AC223" s="637" t="s">
        <v>1361</v>
      </c>
      <c r="AD223" s="637" t="s">
        <v>668</v>
      </c>
      <c r="AE223" s="653">
        <v>43119</v>
      </c>
      <c r="AF223" s="653">
        <v>43361</v>
      </c>
      <c r="AG223" s="637" t="s">
        <v>1055</v>
      </c>
      <c r="AH223" s="637" t="s">
        <v>792</v>
      </c>
    </row>
    <row r="224" spans="1:34" ht="114" customHeight="1" x14ac:dyDescent="0.25">
      <c r="A224" s="638">
        <f t="shared" si="21"/>
        <v>178</v>
      </c>
      <c r="B224" s="632" t="s">
        <v>512</v>
      </c>
      <c r="C224" s="633">
        <v>80101706</v>
      </c>
      <c r="D224" s="634" t="s">
        <v>513</v>
      </c>
      <c r="E224" s="632" t="s">
        <v>48</v>
      </c>
      <c r="F224" s="632">
        <v>1</v>
      </c>
      <c r="G224" s="844" t="s">
        <v>73</v>
      </c>
      <c r="H224" s="845">
        <v>8</v>
      </c>
      <c r="I224" s="632" t="s">
        <v>61</v>
      </c>
      <c r="J224" s="632" t="s">
        <v>66</v>
      </c>
      <c r="K224" s="632" t="s">
        <v>598</v>
      </c>
      <c r="L224" s="635">
        <v>48000000</v>
      </c>
      <c r="M224" s="636">
        <f t="shared" si="20"/>
        <v>48000000</v>
      </c>
      <c r="N224" s="632" t="s">
        <v>51</v>
      </c>
      <c r="O224" s="632" t="s">
        <v>36</v>
      </c>
      <c r="P224" s="632" t="s">
        <v>514</v>
      </c>
      <c r="Q224" s="649"/>
      <c r="R224" s="637" t="s">
        <v>1133</v>
      </c>
      <c r="S224" s="637" t="s">
        <v>1134</v>
      </c>
      <c r="T224" s="653">
        <v>43117</v>
      </c>
      <c r="U224" s="637" t="s">
        <v>1130</v>
      </c>
      <c r="V224" s="637" t="s">
        <v>659</v>
      </c>
      <c r="W224" s="654">
        <v>48000000</v>
      </c>
      <c r="X224" s="654">
        <v>26100000</v>
      </c>
      <c r="Y224" s="654">
        <v>64600000</v>
      </c>
      <c r="Z224" s="654">
        <v>64600000</v>
      </c>
      <c r="AA224" s="654"/>
      <c r="AB224" s="637" t="s">
        <v>960</v>
      </c>
      <c r="AC224" s="637" t="s">
        <v>1362</v>
      </c>
      <c r="AD224" s="637" t="s">
        <v>961</v>
      </c>
      <c r="AE224" s="653">
        <v>43122</v>
      </c>
      <c r="AF224" s="653">
        <v>43364</v>
      </c>
      <c r="AG224" s="637" t="s">
        <v>1055</v>
      </c>
      <c r="AH224" s="637" t="s">
        <v>792</v>
      </c>
    </row>
    <row r="225" spans="1:34" ht="114" customHeight="1" x14ac:dyDescent="0.25">
      <c r="A225" s="638">
        <f t="shared" si="21"/>
        <v>179</v>
      </c>
      <c r="B225" s="632" t="s">
        <v>512</v>
      </c>
      <c r="C225" s="633">
        <v>80101706</v>
      </c>
      <c r="D225" s="634" t="s">
        <v>513</v>
      </c>
      <c r="E225" s="632" t="s">
        <v>48</v>
      </c>
      <c r="F225" s="632">
        <v>1</v>
      </c>
      <c r="G225" s="844" t="s">
        <v>73</v>
      </c>
      <c r="H225" s="845">
        <v>8</v>
      </c>
      <c r="I225" s="632" t="s">
        <v>61</v>
      </c>
      <c r="J225" s="632" t="s">
        <v>66</v>
      </c>
      <c r="K225" s="632" t="s">
        <v>598</v>
      </c>
      <c r="L225" s="635">
        <v>72000000</v>
      </c>
      <c r="M225" s="636">
        <f t="shared" si="20"/>
        <v>72000000</v>
      </c>
      <c r="N225" s="632" t="s">
        <v>51</v>
      </c>
      <c r="O225" s="632" t="s">
        <v>36</v>
      </c>
      <c r="P225" s="632" t="s">
        <v>514</v>
      </c>
      <c r="Q225" s="649"/>
      <c r="R225" s="637" t="s">
        <v>1135</v>
      </c>
      <c r="S225" s="637" t="s">
        <v>1136</v>
      </c>
      <c r="T225" s="653">
        <v>43117</v>
      </c>
      <c r="U225" s="637" t="s">
        <v>1137</v>
      </c>
      <c r="V225" s="637" t="s">
        <v>659</v>
      </c>
      <c r="W225" s="654">
        <v>72000000</v>
      </c>
      <c r="X225" s="654">
        <v>26100000</v>
      </c>
      <c r="Y225" s="654">
        <v>98100000</v>
      </c>
      <c r="Z225" s="654">
        <v>98100000</v>
      </c>
      <c r="AA225" s="654"/>
      <c r="AB225" s="637" t="s">
        <v>1111</v>
      </c>
      <c r="AC225" s="637" t="s">
        <v>1363</v>
      </c>
      <c r="AD225" s="637" t="s">
        <v>668</v>
      </c>
      <c r="AE225" s="653">
        <v>43118</v>
      </c>
      <c r="AF225" s="653">
        <v>43360</v>
      </c>
      <c r="AG225" s="637" t="s">
        <v>1055</v>
      </c>
      <c r="AH225" s="637" t="s">
        <v>792</v>
      </c>
    </row>
    <row r="226" spans="1:34" ht="114" customHeight="1" x14ac:dyDescent="0.25">
      <c r="A226" s="638">
        <f t="shared" si="21"/>
        <v>180</v>
      </c>
      <c r="B226" s="632" t="s">
        <v>512</v>
      </c>
      <c r="C226" s="633">
        <v>80101706</v>
      </c>
      <c r="D226" s="634" t="s">
        <v>513</v>
      </c>
      <c r="E226" s="632" t="s">
        <v>48</v>
      </c>
      <c r="F226" s="632">
        <v>1</v>
      </c>
      <c r="G226" s="844" t="s">
        <v>73</v>
      </c>
      <c r="H226" s="845">
        <v>7</v>
      </c>
      <c r="I226" s="632" t="s">
        <v>61</v>
      </c>
      <c r="J226" s="632" t="s">
        <v>66</v>
      </c>
      <c r="K226" s="632" t="s">
        <v>598</v>
      </c>
      <c r="L226" s="635">
        <v>59500000</v>
      </c>
      <c r="M226" s="636">
        <f t="shared" si="20"/>
        <v>59500000</v>
      </c>
      <c r="N226" s="632" t="s">
        <v>51</v>
      </c>
      <c r="O226" s="632" t="s">
        <v>36</v>
      </c>
      <c r="P226" s="632" t="s">
        <v>514</v>
      </c>
      <c r="Q226" s="649"/>
      <c r="R226" s="637" t="s">
        <v>1138</v>
      </c>
      <c r="S226" s="637" t="s">
        <v>1139</v>
      </c>
      <c r="T226" s="653">
        <v>43111</v>
      </c>
      <c r="U226" s="637" t="s">
        <v>1140</v>
      </c>
      <c r="V226" s="637" t="s">
        <v>659</v>
      </c>
      <c r="W226" s="654">
        <v>59500000</v>
      </c>
      <c r="X226" s="654">
        <v>0</v>
      </c>
      <c r="Y226" s="654">
        <v>59500000</v>
      </c>
      <c r="Z226" s="654">
        <v>59500000</v>
      </c>
      <c r="AA226" s="654"/>
      <c r="AB226" s="637" t="s">
        <v>1141</v>
      </c>
      <c r="AC226" s="637" t="s">
        <v>1364</v>
      </c>
      <c r="AD226" s="637" t="s">
        <v>1142</v>
      </c>
      <c r="AE226" s="653">
        <v>43122</v>
      </c>
      <c r="AF226" s="653">
        <v>43333</v>
      </c>
      <c r="AG226" s="637" t="s">
        <v>791</v>
      </c>
      <c r="AH226" s="637" t="s">
        <v>792</v>
      </c>
    </row>
    <row r="227" spans="1:34" ht="114" customHeight="1" x14ac:dyDescent="0.25">
      <c r="A227" s="638">
        <f t="shared" si="21"/>
        <v>181</v>
      </c>
      <c r="B227" s="632" t="s">
        <v>512</v>
      </c>
      <c r="C227" s="633">
        <v>80101706</v>
      </c>
      <c r="D227" s="634" t="s">
        <v>513</v>
      </c>
      <c r="E227" s="632" t="s">
        <v>48</v>
      </c>
      <c r="F227" s="632">
        <v>1</v>
      </c>
      <c r="G227" s="844" t="s">
        <v>73</v>
      </c>
      <c r="H227" s="845">
        <v>7</v>
      </c>
      <c r="I227" s="632" t="s">
        <v>61</v>
      </c>
      <c r="J227" s="632" t="s">
        <v>66</v>
      </c>
      <c r="K227" s="632" t="s">
        <v>598</v>
      </c>
      <c r="L227" s="635">
        <v>59500000</v>
      </c>
      <c r="M227" s="636">
        <f t="shared" si="20"/>
        <v>59500000</v>
      </c>
      <c r="N227" s="632" t="s">
        <v>51</v>
      </c>
      <c r="O227" s="632" t="s">
        <v>36</v>
      </c>
      <c r="P227" s="632" t="s">
        <v>514</v>
      </c>
      <c r="Q227" s="649"/>
      <c r="R227" s="637" t="s">
        <v>1143</v>
      </c>
      <c r="S227" s="637" t="s">
        <v>1144</v>
      </c>
      <c r="T227" s="653">
        <v>43115</v>
      </c>
      <c r="U227" s="637" t="s">
        <v>1140</v>
      </c>
      <c r="V227" s="637" t="s">
        <v>659</v>
      </c>
      <c r="W227" s="654">
        <v>59500000</v>
      </c>
      <c r="X227" s="654">
        <v>0</v>
      </c>
      <c r="Y227" s="654">
        <v>59500000</v>
      </c>
      <c r="Z227" s="654">
        <v>59500000</v>
      </c>
      <c r="AA227" s="654"/>
      <c r="AB227" s="637" t="s">
        <v>1141</v>
      </c>
      <c r="AC227" s="637" t="s">
        <v>1365</v>
      </c>
      <c r="AD227" s="637" t="s">
        <v>1142</v>
      </c>
      <c r="AE227" s="653">
        <v>43122</v>
      </c>
      <c r="AF227" s="653">
        <v>43333</v>
      </c>
      <c r="AG227" s="637" t="s">
        <v>791</v>
      </c>
      <c r="AH227" s="637" t="s">
        <v>792</v>
      </c>
    </row>
    <row r="228" spans="1:34" ht="114" customHeight="1" x14ac:dyDescent="0.25">
      <c r="A228" s="638">
        <f t="shared" si="21"/>
        <v>182</v>
      </c>
      <c r="B228" s="632" t="s">
        <v>512</v>
      </c>
      <c r="C228" s="633">
        <v>80101706</v>
      </c>
      <c r="D228" s="634" t="s">
        <v>513</v>
      </c>
      <c r="E228" s="632" t="s">
        <v>48</v>
      </c>
      <c r="F228" s="632">
        <v>1</v>
      </c>
      <c r="G228" s="844" t="s">
        <v>73</v>
      </c>
      <c r="H228" s="845">
        <v>7</v>
      </c>
      <c r="I228" s="632" t="s">
        <v>61</v>
      </c>
      <c r="J228" s="632" t="s">
        <v>66</v>
      </c>
      <c r="K228" s="632" t="s">
        <v>598</v>
      </c>
      <c r="L228" s="635">
        <v>59500000</v>
      </c>
      <c r="M228" s="636">
        <f t="shared" si="20"/>
        <v>59500000</v>
      </c>
      <c r="N228" s="632" t="s">
        <v>51</v>
      </c>
      <c r="O228" s="632" t="s">
        <v>36</v>
      </c>
      <c r="P228" s="632" t="s">
        <v>514</v>
      </c>
      <c r="Q228" s="649"/>
      <c r="R228" s="637" t="s">
        <v>1145</v>
      </c>
      <c r="S228" s="637" t="s">
        <v>1146</v>
      </c>
      <c r="T228" s="653">
        <v>43111</v>
      </c>
      <c r="U228" s="637" t="s">
        <v>1140</v>
      </c>
      <c r="V228" s="637" t="s">
        <v>659</v>
      </c>
      <c r="W228" s="654">
        <v>59500000</v>
      </c>
      <c r="X228" s="654">
        <v>0</v>
      </c>
      <c r="Y228" s="654">
        <v>59500000</v>
      </c>
      <c r="Z228" s="654">
        <v>59500000</v>
      </c>
      <c r="AA228" s="654"/>
      <c r="AB228" s="637" t="s">
        <v>1141</v>
      </c>
      <c r="AC228" s="637" t="s">
        <v>1366</v>
      </c>
      <c r="AD228" s="637" t="s">
        <v>1142</v>
      </c>
      <c r="AE228" s="653">
        <v>43122</v>
      </c>
      <c r="AF228" s="653">
        <v>43333</v>
      </c>
      <c r="AG228" s="637" t="s">
        <v>791</v>
      </c>
      <c r="AH228" s="637" t="s">
        <v>792</v>
      </c>
    </row>
    <row r="229" spans="1:34" ht="114" customHeight="1" x14ac:dyDescent="0.25">
      <c r="A229" s="638">
        <f t="shared" si="21"/>
        <v>183</v>
      </c>
      <c r="B229" s="632" t="s">
        <v>512</v>
      </c>
      <c r="C229" s="633">
        <v>80101706</v>
      </c>
      <c r="D229" s="634" t="s">
        <v>513</v>
      </c>
      <c r="E229" s="632" t="s">
        <v>48</v>
      </c>
      <c r="F229" s="632">
        <v>1</v>
      </c>
      <c r="G229" s="844" t="s">
        <v>73</v>
      </c>
      <c r="H229" s="845">
        <v>7</v>
      </c>
      <c r="I229" s="632" t="s">
        <v>61</v>
      </c>
      <c r="J229" s="632" t="s">
        <v>66</v>
      </c>
      <c r="K229" s="632" t="s">
        <v>598</v>
      </c>
      <c r="L229" s="635">
        <v>59500000</v>
      </c>
      <c r="M229" s="636">
        <f t="shared" si="20"/>
        <v>59500000</v>
      </c>
      <c r="N229" s="632" t="s">
        <v>51</v>
      </c>
      <c r="O229" s="632" t="s">
        <v>36</v>
      </c>
      <c r="P229" s="632" t="s">
        <v>514</v>
      </c>
      <c r="Q229" s="649"/>
      <c r="R229" s="637" t="s">
        <v>1147</v>
      </c>
      <c r="S229" s="637" t="s">
        <v>1148</v>
      </c>
      <c r="T229" s="653">
        <v>43125</v>
      </c>
      <c r="U229" s="637" t="s">
        <v>1149</v>
      </c>
      <c r="V229" s="637" t="s">
        <v>659</v>
      </c>
      <c r="W229" s="654">
        <v>59500000</v>
      </c>
      <c r="X229" s="654">
        <v>0</v>
      </c>
      <c r="Y229" s="654">
        <v>59500000</v>
      </c>
      <c r="Z229" s="654">
        <v>59500000</v>
      </c>
      <c r="AA229" s="654"/>
      <c r="AB229" s="637" t="s">
        <v>1150</v>
      </c>
      <c r="AC229" s="637" t="s">
        <v>1367</v>
      </c>
      <c r="AD229" s="637" t="s">
        <v>1103</v>
      </c>
      <c r="AE229" s="653">
        <v>43126</v>
      </c>
      <c r="AF229" s="653">
        <v>43337</v>
      </c>
      <c r="AG229" s="637" t="s">
        <v>1055</v>
      </c>
      <c r="AH229" s="637" t="s">
        <v>792</v>
      </c>
    </row>
    <row r="230" spans="1:34" ht="114" customHeight="1" x14ac:dyDescent="0.25">
      <c r="A230" s="638">
        <f t="shared" si="21"/>
        <v>184</v>
      </c>
      <c r="B230" s="632" t="s">
        <v>512</v>
      </c>
      <c r="C230" s="633">
        <v>80101706</v>
      </c>
      <c r="D230" s="634" t="s">
        <v>513</v>
      </c>
      <c r="E230" s="632" t="s">
        <v>48</v>
      </c>
      <c r="F230" s="632">
        <v>1</v>
      </c>
      <c r="G230" s="844" t="s">
        <v>73</v>
      </c>
      <c r="H230" s="845">
        <v>7</v>
      </c>
      <c r="I230" s="632" t="s">
        <v>61</v>
      </c>
      <c r="J230" s="632" t="s">
        <v>66</v>
      </c>
      <c r="K230" s="632" t="s">
        <v>598</v>
      </c>
      <c r="L230" s="635">
        <v>59500000</v>
      </c>
      <c r="M230" s="636">
        <f t="shared" si="20"/>
        <v>59500000</v>
      </c>
      <c r="N230" s="632" t="s">
        <v>51</v>
      </c>
      <c r="O230" s="632" t="s">
        <v>36</v>
      </c>
      <c r="P230" s="632" t="s">
        <v>514</v>
      </c>
      <c r="Q230" s="649"/>
      <c r="R230" s="637" t="s">
        <v>1151</v>
      </c>
      <c r="S230" s="637" t="s">
        <v>1152</v>
      </c>
      <c r="T230" s="653">
        <v>43115</v>
      </c>
      <c r="U230" s="637" t="s">
        <v>1140</v>
      </c>
      <c r="V230" s="637" t="s">
        <v>659</v>
      </c>
      <c r="W230" s="654">
        <v>59500000</v>
      </c>
      <c r="X230" s="654">
        <v>0</v>
      </c>
      <c r="Y230" s="654">
        <v>59500000</v>
      </c>
      <c r="Z230" s="654">
        <v>59500000</v>
      </c>
      <c r="AA230" s="654"/>
      <c r="AB230" s="637" t="s">
        <v>1141</v>
      </c>
      <c r="AC230" s="637" t="s">
        <v>1368</v>
      </c>
      <c r="AD230" s="637" t="s">
        <v>1142</v>
      </c>
      <c r="AE230" s="653">
        <v>43122</v>
      </c>
      <c r="AF230" s="653">
        <v>43333</v>
      </c>
      <c r="AG230" s="637" t="s">
        <v>791</v>
      </c>
      <c r="AH230" s="637" t="s">
        <v>792</v>
      </c>
    </row>
    <row r="231" spans="1:34" ht="114" customHeight="1" x14ac:dyDescent="0.25">
      <c r="A231" s="638">
        <f t="shared" si="21"/>
        <v>185</v>
      </c>
      <c r="B231" s="632" t="s">
        <v>512</v>
      </c>
      <c r="C231" s="633">
        <v>80101706</v>
      </c>
      <c r="D231" s="634" t="s">
        <v>513</v>
      </c>
      <c r="E231" s="632" t="s">
        <v>48</v>
      </c>
      <c r="F231" s="632">
        <v>1</v>
      </c>
      <c r="G231" s="844" t="s">
        <v>73</v>
      </c>
      <c r="H231" s="845">
        <v>7</v>
      </c>
      <c r="I231" s="632" t="s">
        <v>61</v>
      </c>
      <c r="J231" s="632" t="s">
        <v>66</v>
      </c>
      <c r="K231" s="632" t="s">
        <v>598</v>
      </c>
      <c r="L231" s="635">
        <v>59500000</v>
      </c>
      <c r="M231" s="636">
        <f t="shared" si="20"/>
        <v>59500000</v>
      </c>
      <c r="N231" s="632" t="s">
        <v>51</v>
      </c>
      <c r="O231" s="632" t="s">
        <v>36</v>
      </c>
      <c r="P231" s="632" t="s">
        <v>514</v>
      </c>
      <c r="Q231" s="649"/>
      <c r="R231" s="637" t="s">
        <v>1153</v>
      </c>
      <c r="S231" s="637" t="s">
        <v>1154</v>
      </c>
      <c r="T231" s="653">
        <v>43111</v>
      </c>
      <c r="U231" s="637" t="s">
        <v>1140</v>
      </c>
      <c r="V231" s="637" t="s">
        <v>659</v>
      </c>
      <c r="W231" s="654">
        <v>59500000</v>
      </c>
      <c r="X231" s="654">
        <v>0</v>
      </c>
      <c r="Y231" s="654">
        <v>59500000</v>
      </c>
      <c r="Z231" s="654">
        <v>59500000</v>
      </c>
      <c r="AA231" s="654"/>
      <c r="AB231" s="637" t="s">
        <v>1141</v>
      </c>
      <c r="AC231" s="637" t="s">
        <v>1369</v>
      </c>
      <c r="AD231" s="637" t="s">
        <v>1142</v>
      </c>
      <c r="AE231" s="653">
        <v>43122</v>
      </c>
      <c r="AF231" s="653">
        <v>43333</v>
      </c>
      <c r="AG231" s="637" t="s">
        <v>791</v>
      </c>
      <c r="AH231" s="637" t="s">
        <v>792</v>
      </c>
    </row>
    <row r="232" spans="1:34" ht="114" customHeight="1" x14ac:dyDescent="0.25">
      <c r="A232" s="638">
        <f t="shared" si="21"/>
        <v>186</v>
      </c>
      <c r="B232" s="632" t="s">
        <v>512</v>
      </c>
      <c r="C232" s="633">
        <v>80101706</v>
      </c>
      <c r="D232" s="634" t="s">
        <v>513</v>
      </c>
      <c r="E232" s="632" t="s">
        <v>48</v>
      </c>
      <c r="F232" s="632">
        <v>1</v>
      </c>
      <c r="G232" s="844" t="s">
        <v>73</v>
      </c>
      <c r="H232" s="845">
        <v>7</v>
      </c>
      <c r="I232" s="632" t="s">
        <v>61</v>
      </c>
      <c r="J232" s="632" t="s">
        <v>66</v>
      </c>
      <c r="K232" s="632" t="s">
        <v>598</v>
      </c>
      <c r="L232" s="635">
        <v>59500000</v>
      </c>
      <c r="M232" s="636">
        <f t="shared" si="20"/>
        <v>59500000</v>
      </c>
      <c r="N232" s="632" t="s">
        <v>51</v>
      </c>
      <c r="O232" s="632" t="s">
        <v>36</v>
      </c>
      <c r="P232" s="632" t="s">
        <v>514</v>
      </c>
      <c r="Q232" s="649"/>
      <c r="R232" s="637" t="s">
        <v>1155</v>
      </c>
      <c r="S232" s="637" t="s">
        <v>1156</v>
      </c>
      <c r="T232" s="653">
        <v>43111</v>
      </c>
      <c r="U232" s="637" t="s">
        <v>1140</v>
      </c>
      <c r="V232" s="637" t="s">
        <v>659</v>
      </c>
      <c r="W232" s="654">
        <v>59500000</v>
      </c>
      <c r="X232" s="654">
        <v>17302342</v>
      </c>
      <c r="Y232" s="654">
        <v>42197658</v>
      </c>
      <c r="Z232" s="654">
        <v>42197658</v>
      </c>
      <c r="AA232" s="654"/>
      <c r="AB232" s="637" t="s">
        <v>1141</v>
      </c>
      <c r="AC232" s="637" t="s">
        <v>1370</v>
      </c>
      <c r="AD232" s="637" t="s">
        <v>1142</v>
      </c>
      <c r="AE232" s="653">
        <v>43122</v>
      </c>
      <c r="AF232" s="653">
        <v>43333</v>
      </c>
      <c r="AG232" s="637" t="s">
        <v>791</v>
      </c>
      <c r="AH232" s="637" t="s">
        <v>792</v>
      </c>
    </row>
    <row r="233" spans="1:34" ht="114" customHeight="1" x14ac:dyDescent="0.25">
      <c r="A233" s="638">
        <f t="shared" si="21"/>
        <v>187</v>
      </c>
      <c r="B233" s="632" t="s">
        <v>512</v>
      </c>
      <c r="C233" s="633">
        <v>80101706</v>
      </c>
      <c r="D233" s="634" t="s">
        <v>513</v>
      </c>
      <c r="E233" s="632" t="s">
        <v>48</v>
      </c>
      <c r="F233" s="632">
        <v>1</v>
      </c>
      <c r="G233" s="844" t="s">
        <v>73</v>
      </c>
      <c r="H233" s="845">
        <v>7</v>
      </c>
      <c r="I233" s="632" t="s">
        <v>61</v>
      </c>
      <c r="J233" s="632" t="s">
        <v>66</v>
      </c>
      <c r="K233" s="632" t="s">
        <v>598</v>
      </c>
      <c r="L233" s="635">
        <v>59500000</v>
      </c>
      <c r="M233" s="636">
        <f t="shared" si="20"/>
        <v>59500000</v>
      </c>
      <c r="N233" s="632" t="s">
        <v>51</v>
      </c>
      <c r="O233" s="632" t="s">
        <v>36</v>
      </c>
      <c r="P233" s="632" t="s">
        <v>514</v>
      </c>
      <c r="Q233" s="649"/>
      <c r="R233" s="637" t="s">
        <v>1157</v>
      </c>
      <c r="S233" s="637" t="s">
        <v>1158</v>
      </c>
      <c r="T233" s="653">
        <v>43111</v>
      </c>
      <c r="U233" s="637" t="s">
        <v>1140</v>
      </c>
      <c r="V233" s="637" t="s">
        <v>659</v>
      </c>
      <c r="W233" s="654">
        <v>59500000</v>
      </c>
      <c r="X233" s="654">
        <v>0</v>
      </c>
      <c r="Y233" s="654">
        <v>59500000</v>
      </c>
      <c r="Z233" s="654">
        <v>59500000</v>
      </c>
      <c r="AA233" s="654"/>
      <c r="AB233" s="637" t="s">
        <v>1141</v>
      </c>
      <c r="AC233" s="637" t="s">
        <v>1371</v>
      </c>
      <c r="AD233" s="637" t="s">
        <v>1142</v>
      </c>
      <c r="AE233" s="653">
        <v>43122</v>
      </c>
      <c r="AF233" s="653">
        <v>43333</v>
      </c>
      <c r="AG233" s="637" t="s">
        <v>791</v>
      </c>
      <c r="AH233" s="637" t="s">
        <v>792</v>
      </c>
    </row>
    <row r="234" spans="1:34" ht="114" customHeight="1" x14ac:dyDescent="0.25">
      <c r="A234" s="638">
        <f t="shared" si="21"/>
        <v>188</v>
      </c>
      <c r="B234" s="632" t="s">
        <v>512</v>
      </c>
      <c r="C234" s="633">
        <v>80101706</v>
      </c>
      <c r="D234" s="634" t="s">
        <v>513</v>
      </c>
      <c r="E234" s="632" t="s">
        <v>48</v>
      </c>
      <c r="F234" s="632">
        <v>1</v>
      </c>
      <c r="G234" s="844" t="s">
        <v>73</v>
      </c>
      <c r="H234" s="845">
        <v>7</v>
      </c>
      <c r="I234" s="632" t="s">
        <v>61</v>
      </c>
      <c r="J234" s="632" t="s">
        <v>66</v>
      </c>
      <c r="K234" s="632" t="s">
        <v>598</v>
      </c>
      <c r="L234" s="635">
        <v>59500000</v>
      </c>
      <c r="M234" s="636">
        <f t="shared" si="20"/>
        <v>59500000</v>
      </c>
      <c r="N234" s="632" t="s">
        <v>51</v>
      </c>
      <c r="O234" s="632" t="s">
        <v>36</v>
      </c>
      <c r="P234" s="632" t="s">
        <v>514</v>
      </c>
      <c r="Q234" s="649"/>
      <c r="R234" s="637" t="s">
        <v>1159</v>
      </c>
      <c r="S234" s="637" t="s">
        <v>1160</v>
      </c>
      <c r="T234" s="653">
        <v>43111</v>
      </c>
      <c r="U234" s="637" t="s">
        <v>1140</v>
      </c>
      <c r="V234" s="637" t="s">
        <v>659</v>
      </c>
      <c r="W234" s="654">
        <v>59500000</v>
      </c>
      <c r="X234" s="654">
        <v>0</v>
      </c>
      <c r="Y234" s="654">
        <v>59500000</v>
      </c>
      <c r="Z234" s="654">
        <v>59500000</v>
      </c>
      <c r="AA234" s="654"/>
      <c r="AB234" s="637" t="s">
        <v>1141</v>
      </c>
      <c r="AC234" s="637" t="s">
        <v>1372</v>
      </c>
      <c r="AD234" s="637" t="s">
        <v>1142</v>
      </c>
      <c r="AE234" s="653">
        <v>43122</v>
      </c>
      <c r="AF234" s="653">
        <v>43333</v>
      </c>
      <c r="AG234" s="637" t="s">
        <v>791</v>
      </c>
      <c r="AH234" s="637" t="s">
        <v>792</v>
      </c>
    </row>
    <row r="235" spans="1:34" ht="114" customHeight="1" x14ac:dyDescent="0.25">
      <c r="A235" s="638">
        <f t="shared" si="21"/>
        <v>189</v>
      </c>
      <c r="B235" s="632" t="s">
        <v>512</v>
      </c>
      <c r="C235" s="633">
        <v>80101706</v>
      </c>
      <c r="D235" s="634" t="s">
        <v>513</v>
      </c>
      <c r="E235" s="632" t="s">
        <v>48</v>
      </c>
      <c r="F235" s="632">
        <v>1</v>
      </c>
      <c r="G235" s="844" t="s">
        <v>73</v>
      </c>
      <c r="H235" s="845">
        <v>7</v>
      </c>
      <c r="I235" s="632" t="s">
        <v>61</v>
      </c>
      <c r="J235" s="632" t="s">
        <v>66</v>
      </c>
      <c r="K235" s="632" t="s">
        <v>598</v>
      </c>
      <c r="L235" s="635">
        <v>59500000</v>
      </c>
      <c r="M235" s="636">
        <f t="shared" si="20"/>
        <v>59500000</v>
      </c>
      <c r="N235" s="632" t="s">
        <v>51</v>
      </c>
      <c r="O235" s="632" t="s">
        <v>36</v>
      </c>
      <c r="P235" s="632" t="s">
        <v>514</v>
      </c>
      <c r="Q235" s="649"/>
      <c r="R235" s="637" t="s">
        <v>1161</v>
      </c>
      <c r="S235" s="637" t="s">
        <v>1162</v>
      </c>
      <c r="T235" s="653">
        <v>43115</v>
      </c>
      <c r="U235" s="637" t="s">
        <v>1140</v>
      </c>
      <c r="V235" s="637" t="s">
        <v>659</v>
      </c>
      <c r="W235" s="654">
        <v>59500000</v>
      </c>
      <c r="X235" s="654">
        <v>0</v>
      </c>
      <c r="Y235" s="654">
        <v>59500000</v>
      </c>
      <c r="Z235" s="654">
        <v>59500000</v>
      </c>
      <c r="AA235" s="654"/>
      <c r="AB235" s="637" t="s">
        <v>1141</v>
      </c>
      <c r="AC235" s="637" t="s">
        <v>1373</v>
      </c>
      <c r="AD235" s="637" t="s">
        <v>1142</v>
      </c>
      <c r="AE235" s="653">
        <v>43122</v>
      </c>
      <c r="AF235" s="653">
        <v>43333</v>
      </c>
      <c r="AG235" s="637" t="s">
        <v>791</v>
      </c>
      <c r="AH235" s="637" t="s">
        <v>792</v>
      </c>
    </row>
    <row r="236" spans="1:34" ht="114" customHeight="1" x14ac:dyDescent="0.25">
      <c r="A236" s="638">
        <f t="shared" si="21"/>
        <v>190</v>
      </c>
      <c r="B236" s="632" t="s">
        <v>512</v>
      </c>
      <c r="C236" s="633">
        <v>80101706</v>
      </c>
      <c r="D236" s="634" t="s">
        <v>513</v>
      </c>
      <c r="E236" s="632" t="s">
        <v>48</v>
      </c>
      <c r="F236" s="632">
        <v>1</v>
      </c>
      <c r="G236" s="844" t="s">
        <v>73</v>
      </c>
      <c r="H236" s="845">
        <v>7</v>
      </c>
      <c r="I236" s="632" t="s">
        <v>61</v>
      </c>
      <c r="J236" s="632" t="s">
        <v>66</v>
      </c>
      <c r="K236" s="632" t="s">
        <v>598</v>
      </c>
      <c r="L236" s="635">
        <v>59500000</v>
      </c>
      <c r="M236" s="636">
        <f t="shared" si="20"/>
        <v>59500000</v>
      </c>
      <c r="N236" s="632" t="s">
        <v>51</v>
      </c>
      <c r="O236" s="632" t="s">
        <v>36</v>
      </c>
      <c r="P236" s="632" t="s">
        <v>514</v>
      </c>
      <c r="Q236" s="649"/>
      <c r="R236" s="637" t="s">
        <v>1163</v>
      </c>
      <c r="S236" s="637" t="s">
        <v>1164</v>
      </c>
      <c r="T236" s="653">
        <v>43115</v>
      </c>
      <c r="U236" s="637" t="s">
        <v>1140</v>
      </c>
      <c r="V236" s="637" t="s">
        <v>659</v>
      </c>
      <c r="W236" s="654">
        <v>59500000</v>
      </c>
      <c r="X236" s="654">
        <v>0</v>
      </c>
      <c r="Y236" s="654">
        <v>59500000</v>
      </c>
      <c r="Z236" s="654">
        <v>59500000</v>
      </c>
      <c r="AA236" s="654"/>
      <c r="AB236" s="637" t="s">
        <v>1141</v>
      </c>
      <c r="AC236" s="637" t="s">
        <v>1374</v>
      </c>
      <c r="AD236" s="637" t="s">
        <v>1142</v>
      </c>
      <c r="AE236" s="653">
        <v>43122</v>
      </c>
      <c r="AF236" s="653">
        <v>43333</v>
      </c>
      <c r="AG236" s="637" t="s">
        <v>791</v>
      </c>
      <c r="AH236" s="637" t="s">
        <v>792</v>
      </c>
    </row>
    <row r="237" spans="1:34" ht="114" customHeight="1" x14ac:dyDescent="0.25">
      <c r="A237" s="638">
        <f t="shared" si="21"/>
        <v>191</v>
      </c>
      <c r="B237" s="632" t="s">
        <v>512</v>
      </c>
      <c r="C237" s="633">
        <v>80101706</v>
      </c>
      <c r="D237" s="634" t="s">
        <v>513</v>
      </c>
      <c r="E237" s="632" t="s">
        <v>48</v>
      </c>
      <c r="F237" s="632">
        <v>1</v>
      </c>
      <c r="G237" s="844" t="s">
        <v>73</v>
      </c>
      <c r="H237" s="845">
        <v>7</v>
      </c>
      <c r="I237" s="632" t="s">
        <v>61</v>
      </c>
      <c r="J237" s="632" t="s">
        <v>66</v>
      </c>
      <c r="K237" s="632" t="s">
        <v>598</v>
      </c>
      <c r="L237" s="635">
        <v>59500000</v>
      </c>
      <c r="M237" s="636">
        <f t="shared" si="20"/>
        <v>59500000</v>
      </c>
      <c r="N237" s="632" t="s">
        <v>51</v>
      </c>
      <c r="O237" s="632" t="s">
        <v>36</v>
      </c>
      <c r="P237" s="632" t="s">
        <v>514</v>
      </c>
      <c r="Q237" s="649"/>
      <c r="R237" s="637" t="s">
        <v>1165</v>
      </c>
      <c r="S237" s="637" t="s">
        <v>1166</v>
      </c>
      <c r="T237" s="653">
        <v>43115</v>
      </c>
      <c r="U237" s="637" t="s">
        <v>1140</v>
      </c>
      <c r="V237" s="637" t="s">
        <v>659</v>
      </c>
      <c r="W237" s="654">
        <v>59500000</v>
      </c>
      <c r="X237" s="654">
        <v>0</v>
      </c>
      <c r="Y237" s="654">
        <v>59500000</v>
      </c>
      <c r="Z237" s="654">
        <v>59500000</v>
      </c>
      <c r="AA237" s="654"/>
      <c r="AB237" s="637" t="s">
        <v>1141</v>
      </c>
      <c r="AC237" s="637" t="s">
        <v>1375</v>
      </c>
      <c r="AD237" s="637" t="s">
        <v>1142</v>
      </c>
      <c r="AE237" s="653">
        <v>43122</v>
      </c>
      <c r="AF237" s="653">
        <v>43333</v>
      </c>
      <c r="AG237" s="637" t="s">
        <v>791</v>
      </c>
      <c r="AH237" s="637" t="s">
        <v>792</v>
      </c>
    </row>
    <row r="238" spans="1:34" ht="114" customHeight="1" x14ac:dyDescent="0.25">
      <c r="A238" s="638">
        <f t="shared" si="21"/>
        <v>192</v>
      </c>
      <c r="B238" s="632" t="s">
        <v>512</v>
      </c>
      <c r="C238" s="633">
        <v>80101706</v>
      </c>
      <c r="D238" s="634" t="s">
        <v>513</v>
      </c>
      <c r="E238" s="632" t="s">
        <v>48</v>
      </c>
      <c r="F238" s="632">
        <v>1</v>
      </c>
      <c r="G238" s="844" t="s">
        <v>73</v>
      </c>
      <c r="H238" s="845">
        <v>7</v>
      </c>
      <c r="I238" s="632" t="s">
        <v>61</v>
      </c>
      <c r="J238" s="632" t="s">
        <v>66</v>
      </c>
      <c r="K238" s="632" t="s">
        <v>598</v>
      </c>
      <c r="L238" s="635">
        <v>59500000</v>
      </c>
      <c r="M238" s="636">
        <f t="shared" si="20"/>
        <v>59500000</v>
      </c>
      <c r="N238" s="632" t="s">
        <v>51</v>
      </c>
      <c r="O238" s="632" t="s">
        <v>36</v>
      </c>
      <c r="P238" s="632" t="s">
        <v>514</v>
      </c>
      <c r="Q238" s="649"/>
      <c r="R238" s="637" t="s">
        <v>1167</v>
      </c>
      <c r="S238" s="637" t="s">
        <v>1168</v>
      </c>
      <c r="T238" s="653">
        <v>43115</v>
      </c>
      <c r="U238" s="637" t="s">
        <v>1140</v>
      </c>
      <c r="V238" s="637" t="s">
        <v>659</v>
      </c>
      <c r="W238" s="654">
        <v>59500000</v>
      </c>
      <c r="X238" s="654">
        <v>0</v>
      </c>
      <c r="Y238" s="654">
        <v>59500000</v>
      </c>
      <c r="Z238" s="654">
        <v>59500000</v>
      </c>
      <c r="AA238" s="654"/>
      <c r="AB238" s="637" t="s">
        <v>1141</v>
      </c>
      <c r="AC238" s="637" t="s">
        <v>1376</v>
      </c>
      <c r="AD238" s="637" t="s">
        <v>1142</v>
      </c>
      <c r="AE238" s="653">
        <v>43122</v>
      </c>
      <c r="AF238" s="653">
        <v>43333</v>
      </c>
      <c r="AG238" s="637" t="s">
        <v>791</v>
      </c>
      <c r="AH238" s="637" t="s">
        <v>792</v>
      </c>
    </row>
    <row r="239" spans="1:34" ht="114" customHeight="1" x14ac:dyDescent="0.25">
      <c r="A239" s="638">
        <f t="shared" si="21"/>
        <v>193</v>
      </c>
      <c r="B239" s="632" t="s">
        <v>512</v>
      </c>
      <c r="C239" s="633">
        <v>80101706</v>
      </c>
      <c r="D239" s="634" t="s">
        <v>513</v>
      </c>
      <c r="E239" s="632" t="s">
        <v>48</v>
      </c>
      <c r="F239" s="632">
        <v>1</v>
      </c>
      <c r="G239" s="844" t="s">
        <v>73</v>
      </c>
      <c r="H239" s="845">
        <v>7</v>
      </c>
      <c r="I239" s="632" t="s">
        <v>61</v>
      </c>
      <c r="J239" s="632" t="s">
        <v>66</v>
      </c>
      <c r="K239" s="632" t="s">
        <v>598</v>
      </c>
      <c r="L239" s="635">
        <v>59500000</v>
      </c>
      <c r="M239" s="636">
        <f t="shared" si="20"/>
        <v>59500000</v>
      </c>
      <c r="N239" s="632" t="s">
        <v>51</v>
      </c>
      <c r="O239" s="632" t="s">
        <v>36</v>
      </c>
      <c r="P239" s="632" t="s">
        <v>514</v>
      </c>
      <c r="Q239" s="649"/>
      <c r="R239" s="637" t="s">
        <v>1169</v>
      </c>
      <c r="S239" s="637" t="s">
        <v>1170</v>
      </c>
      <c r="T239" s="653">
        <v>43115</v>
      </c>
      <c r="U239" s="637" t="s">
        <v>1140</v>
      </c>
      <c r="V239" s="637" t="s">
        <v>659</v>
      </c>
      <c r="W239" s="654">
        <v>59500000</v>
      </c>
      <c r="X239" s="654">
        <v>0</v>
      </c>
      <c r="Y239" s="654">
        <v>59500000</v>
      </c>
      <c r="Z239" s="654">
        <v>59500000</v>
      </c>
      <c r="AA239" s="654"/>
      <c r="AB239" s="637" t="s">
        <v>1141</v>
      </c>
      <c r="AC239" s="637" t="s">
        <v>1377</v>
      </c>
      <c r="AD239" s="637" t="s">
        <v>1142</v>
      </c>
      <c r="AE239" s="653">
        <v>43122</v>
      </c>
      <c r="AF239" s="653">
        <v>43333</v>
      </c>
      <c r="AG239" s="637" t="s">
        <v>791</v>
      </c>
      <c r="AH239" s="637" t="s">
        <v>792</v>
      </c>
    </row>
    <row r="240" spans="1:34" ht="114" customHeight="1" x14ac:dyDescent="0.25">
      <c r="A240" s="638">
        <f t="shared" si="21"/>
        <v>194</v>
      </c>
      <c r="B240" s="632" t="s">
        <v>512</v>
      </c>
      <c r="C240" s="633">
        <v>80101706</v>
      </c>
      <c r="D240" s="634" t="s">
        <v>513</v>
      </c>
      <c r="E240" s="632" t="s">
        <v>48</v>
      </c>
      <c r="F240" s="632">
        <v>1</v>
      </c>
      <c r="G240" s="844" t="s">
        <v>73</v>
      </c>
      <c r="H240" s="845">
        <v>7</v>
      </c>
      <c r="I240" s="632" t="s">
        <v>61</v>
      </c>
      <c r="J240" s="632" t="s">
        <v>66</v>
      </c>
      <c r="K240" s="632" t="s">
        <v>598</v>
      </c>
      <c r="L240" s="635">
        <v>59500000</v>
      </c>
      <c r="M240" s="636">
        <f t="shared" si="20"/>
        <v>59500000</v>
      </c>
      <c r="N240" s="632" t="s">
        <v>51</v>
      </c>
      <c r="O240" s="632" t="s">
        <v>36</v>
      </c>
      <c r="P240" s="632" t="s">
        <v>514</v>
      </c>
      <c r="Q240" s="649"/>
      <c r="R240" s="637" t="s">
        <v>1171</v>
      </c>
      <c r="S240" s="637" t="s">
        <v>1172</v>
      </c>
      <c r="T240" s="653">
        <v>43111</v>
      </c>
      <c r="U240" s="637" t="s">
        <v>1140</v>
      </c>
      <c r="V240" s="637" t="s">
        <v>659</v>
      </c>
      <c r="W240" s="654">
        <v>59500000</v>
      </c>
      <c r="X240" s="654">
        <v>0</v>
      </c>
      <c r="Y240" s="654">
        <v>59500000</v>
      </c>
      <c r="Z240" s="654">
        <v>59500000</v>
      </c>
      <c r="AA240" s="654"/>
      <c r="AB240" s="637" t="s">
        <v>1141</v>
      </c>
      <c r="AC240" s="637" t="s">
        <v>1378</v>
      </c>
      <c r="AD240" s="637" t="s">
        <v>1142</v>
      </c>
      <c r="AE240" s="653">
        <v>43122</v>
      </c>
      <c r="AF240" s="653">
        <v>43333</v>
      </c>
      <c r="AG240" s="637" t="s">
        <v>791</v>
      </c>
      <c r="AH240" s="637" t="s">
        <v>792</v>
      </c>
    </row>
    <row r="241" spans="1:34" ht="114" customHeight="1" x14ac:dyDescent="0.25">
      <c r="A241" s="638">
        <f t="shared" si="21"/>
        <v>195</v>
      </c>
      <c r="B241" s="632" t="s">
        <v>512</v>
      </c>
      <c r="C241" s="633">
        <v>80101706</v>
      </c>
      <c r="D241" s="634" t="s">
        <v>513</v>
      </c>
      <c r="E241" s="632" t="s">
        <v>48</v>
      </c>
      <c r="F241" s="632">
        <v>1</v>
      </c>
      <c r="G241" s="844" t="s">
        <v>73</v>
      </c>
      <c r="H241" s="845">
        <v>7</v>
      </c>
      <c r="I241" s="632" t="s">
        <v>61</v>
      </c>
      <c r="J241" s="632" t="s">
        <v>66</v>
      </c>
      <c r="K241" s="632" t="s">
        <v>598</v>
      </c>
      <c r="L241" s="635">
        <v>59500000</v>
      </c>
      <c r="M241" s="636">
        <f t="shared" si="20"/>
        <v>59500000</v>
      </c>
      <c r="N241" s="632" t="s">
        <v>51</v>
      </c>
      <c r="O241" s="632" t="s">
        <v>36</v>
      </c>
      <c r="P241" s="632" t="s">
        <v>514</v>
      </c>
      <c r="Q241" s="649"/>
      <c r="R241" s="637" t="s">
        <v>1173</v>
      </c>
      <c r="S241" s="637" t="s">
        <v>1174</v>
      </c>
      <c r="T241" s="653">
        <v>43117</v>
      </c>
      <c r="U241" s="637" t="s">
        <v>1140</v>
      </c>
      <c r="V241" s="637" t="s">
        <v>659</v>
      </c>
      <c r="W241" s="654">
        <v>59500000</v>
      </c>
      <c r="X241" s="654">
        <v>0</v>
      </c>
      <c r="Y241" s="654">
        <v>59500000</v>
      </c>
      <c r="Z241" s="654">
        <v>59500000</v>
      </c>
      <c r="AA241" s="654"/>
      <c r="AB241" s="637" t="s">
        <v>1141</v>
      </c>
      <c r="AC241" s="637" t="s">
        <v>1379</v>
      </c>
      <c r="AD241" s="637" t="s">
        <v>668</v>
      </c>
      <c r="AE241" s="653">
        <v>43122</v>
      </c>
      <c r="AF241" s="653">
        <v>43364</v>
      </c>
      <c r="AG241" s="637" t="s">
        <v>1055</v>
      </c>
      <c r="AH241" s="637" t="s">
        <v>792</v>
      </c>
    </row>
    <row r="242" spans="1:34" ht="114" customHeight="1" x14ac:dyDescent="0.25">
      <c r="A242" s="638">
        <f t="shared" si="21"/>
        <v>196</v>
      </c>
      <c r="B242" s="632" t="s">
        <v>512</v>
      </c>
      <c r="C242" s="633">
        <v>80101706</v>
      </c>
      <c r="D242" s="634" t="s">
        <v>513</v>
      </c>
      <c r="E242" s="632" t="s">
        <v>48</v>
      </c>
      <c r="F242" s="632">
        <v>1</v>
      </c>
      <c r="G242" s="844" t="s">
        <v>73</v>
      </c>
      <c r="H242" s="845">
        <v>7</v>
      </c>
      <c r="I242" s="632" t="s">
        <v>61</v>
      </c>
      <c r="J242" s="632" t="s">
        <v>66</v>
      </c>
      <c r="K242" s="632" t="s">
        <v>598</v>
      </c>
      <c r="L242" s="635">
        <v>59500000</v>
      </c>
      <c r="M242" s="636">
        <f t="shared" si="20"/>
        <v>59500000</v>
      </c>
      <c r="N242" s="632" t="s">
        <v>51</v>
      </c>
      <c r="O242" s="632" t="s">
        <v>36</v>
      </c>
      <c r="P242" s="632" t="s">
        <v>514</v>
      </c>
      <c r="Q242" s="649"/>
      <c r="R242" s="637" t="s">
        <v>1175</v>
      </c>
      <c r="S242" s="637" t="s">
        <v>1176</v>
      </c>
      <c r="T242" s="653">
        <v>43111</v>
      </c>
      <c r="U242" s="637" t="s">
        <v>1140</v>
      </c>
      <c r="V242" s="637" t="s">
        <v>659</v>
      </c>
      <c r="W242" s="654">
        <v>59500000</v>
      </c>
      <c r="X242" s="654">
        <v>0</v>
      </c>
      <c r="Y242" s="654">
        <v>59500000</v>
      </c>
      <c r="Z242" s="654">
        <v>59500000</v>
      </c>
      <c r="AA242" s="654"/>
      <c r="AB242" s="637" t="s">
        <v>1141</v>
      </c>
      <c r="AC242" s="637" t="s">
        <v>1380</v>
      </c>
      <c r="AD242" s="637" t="s">
        <v>1142</v>
      </c>
      <c r="AE242" s="653">
        <v>43122</v>
      </c>
      <c r="AF242" s="653">
        <v>43333</v>
      </c>
      <c r="AG242" s="637" t="s">
        <v>791</v>
      </c>
      <c r="AH242" s="637" t="s">
        <v>792</v>
      </c>
    </row>
    <row r="243" spans="1:34" ht="152.1" customHeight="1" x14ac:dyDescent="0.25">
      <c r="A243" s="638">
        <f t="shared" si="21"/>
        <v>197</v>
      </c>
      <c r="B243" s="632" t="s">
        <v>512</v>
      </c>
      <c r="C243" s="633">
        <v>80101706</v>
      </c>
      <c r="D243" s="634" t="s">
        <v>513</v>
      </c>
      <c r="E243" s="632" t="s">
        <v>48</v>
      </c>
      <c r="F243" s="632">
        <v>1</v>
      </c>
      <c r="G243" s="844" t="s">
        <v>73</v>
      </c>
      <c r="H243" s="845">
        <v>8</v>
      </c>
      <c r="I243" s="632" t="s">
        <v>61</v>
      </c>
      <c r="J243" s="632" t="s">
        <v>66</v>
      </c>
      <c r="K243" s="632" t="s">
        <v>598</v>
      </c>
      <c r="L243" s="635">
        <v>68000000</v>
      </c>
      <c r="M243" s="636">
        <f t="shared" si="20"/>
        <v>68000000</v>
      </c>
      <c r="N243" s="632" t="s">
        <v>51</v>
      </c>
      <c r="O243" s="632" t="s">
        <v>36</v>
      </c>
      <c r="P243" s="632" t="s">
        <v>514</v>
      </c>
      <c r="Q243" s="649"/>
      <c r="R243" s="637" t="s">
        <v>1177</v>
      </c>
      <c r="S243" s="637" t="s">
        <v>1178</v>
      </c>
      <c r="T243" s="653">
        <v>43116</v>
      </c>
      <c r="U243" s="637" t="s">
        <v>1179</v>
      </c>
      <c r="V243" s="637" t="s">
        <v>659</v>
      </c>
      <c r="W243" s="654">
        <v>68000000</v>
      </c>
      <c r="X243" s="654">
        <v>0</v>
      </c>
      <c r="Y243" s="654">
        <v>68000000</v>
      </c>
      <c r="Z243" s="654">
        <v>68000000</v>
      </c>
      <c r="AA243" s="654"/>
      <c r="AB243" s="637" t="s">
        <v>1180</v>
      </c>
      <c r="AC243" s="637" t="s">
        <v>1381</v>
      </c>
      <c r="AD243" s="637" t="s">
        <v>668</v>
      </c>
      <c r="AE243" s="653">
        <v>43117</v>
      </c>
      <c r="AF243" s="653">
        <v>43359</v>
      </c>
      <c r="AG243" s="637" t="s">
        <v>1055</v>
      </c>
      <c r="AH243" s="637" t="s">
        <v>792</v>
      </c>
    </row>
    <row r="244" spans="1:34" ht="95.1" customHeight="1" x14ac:dyDescent="0.25">
      <c r="A244" s="638">
        <f t="shared" si="21"/>
        <v>198</v>
      </c>
      <c r="B244" s="632" t="s">
        <v>313</v>
      </c>
      <c r="C244" s="633">
        <v>80141623</v>
      </c>
      <c r="D244" s="634" t="s">
        <v>605</v>
      </c>
      <c r="E244" s="632" t="s">
        <v>48</v>
      </c>
      <c r="F244" s="632">
        <v>1</v>
      </c>
      <c r="G244" s="844" t="s">
        <v>73</v>
      </c>
      <c r="H244" s="845" t="s">
        <v>177</v>
      </c>
      <c r="I244" s="632" t="s">
        <v>61</v>
      </c>
      <c r="J244" s="632" t="s">
        <v>35</v>
      </c>
      <c r="K244" s="632" t="s">
        <v>430</v>
      </c>
      <c r="L244" s="635">
        <v>1562484</v>
      </c>
      <c r="M244" s="636">
        <v>1562484</v>
      </c>
      <c r="N244" s="632" t="s">
        <v>51</v>
      </c>
      <c r="O244" s="632" t="s">
        <v>36</v>
      </c>
      <c r="P244" s="632" t="s">
        <v>317</v>
      </c>
      <c r="Q244" s="649"/>
      <c r="R244" s="637" t="s">
        <v>1242</v>
      </c>
      <c r="S244" s="637" t="s">
        <v>1203</v>
      </c>
      <c r="T244" s="653">
        <v>43126</v>
      </c>
      <c r="U244" s="637" t="s">
        <v>1204</v>
      </c>
      <c r="V244" s="637" t="s">
        <v>1205</v>
      </c>
      <c r="W244" s="654">
        <v>1562484</v>
      </c>
      <c r="X244" s="654">
        <v>0</v>
      </c>
      <c r="Y244" s="654"/>
      <c r="Z244" s="901"/>
      <c r="AA244" s="901"/>
      <c r="AB244" s="637" t="s">
        <v>36</v>
      </c>
      <c r="AC244" s="637" t="s">
        <v>36</v>
      </c>
      <c r="AD244" s="637" t="s">
        <v>1206</v>
      </c>
      <c r="AE244" s="653">
        <v>43126</v>
      </c>
      <c r="AF244" s="653">
        <v>43490</v>
      </c>
      <c r="AG244" s="637" t="s">
        <v>662</v>
      </c>
      <c r="AH244" s="637" t="s">
        <v>648</v>
      </c>
    </row>
    <row r="245" spans="1:34" ht="114" customHeight="1" x14ac:dyDescent="0.25">
      <c r="A245" s="638">
        <f t="shared" si="21"/>
        <v>199</v>
      </c>
      <c r="B245" s="632" t="s">
        <v>603</v>
      </c>
      <c r="C245" s="633">
        <v>80101706</v>
      </c>
      <c r="D245" s="634" t="s">
        <v>276</v>
      </c>
      <c r="E245" s="632" t="s">
        <v>48</v>
      </c>
      <c r="F245" s="632">
        <v>1</v>
      </c>
      <c r="G245" s="844" t="s">
        <v>80</v>
      </c>
      <c r="H245" s="845" t="s">
        <v>604</v>
      </c>
      <c r="I245" s="632" t="s">
        <v>61</v>
      </c>
      <c r="J245" s="632" t="s">
        <v>66</v>
      </c>
      <c r="K245" s="632" t="s">
        <v>589</v>
      </c>
      <c r="L245" s="635">
        <v>500000000</v>
      </c>
      <c r="M245" s="636">
        <v>500000000</v>
      </c>
      <c r="N245" s="632" t="s">
        <v>51</v>
      </c>
      <c r="O245" s="632" t="s">
        <v>36</v>
      </c>
      <c r="P245" s="632" t="s">
        <v>317</v>
      </c>
      <c r="Q245" s="649"/>
      <c r="R245" s="637" t="s">
        <v>1181</v>
      </c>
      <c r="S245" s="653" t="s">
        <v>1182</v>
      </c>
      <c r="T245" s="637">
        <v>43125</v>
      </c>
      <c r="U245" s="637" t="s">
        <v>1183</v>
      </c>
      <c r="V245" s="654" t="s">
        <v>644</v>
      </c>
      <c r="W245" s="654">
        <v>500000000</v>
      </c>
      <c r="X245" s="654">
        <v>0</v>
      </c>
      <c r="Y245" s="654">
        <v>500000000</v>
      </c>
      <c r="Z245" s="654">
        <v>500000000</v>
      </c>
      <c r="AA245" s="654">
        <f>Z245-Y245</f>
        <v>0</v>
      </c>
      <c r="AB245" s="637" t="s">
        <v>1184</v>
      </c>
      <c r="AC245" s="637" t="s">
        <v>1382</v>
      </c>
      <c r="AD245" s="653" t="s">
        <v>661</v>
      </c>
      <c r="AE245" s="653">
        <v>43130</v>
      </c>
      <c r="AF245" s="637">
        <v>43462</v>
      </c>
      <c r="AG245" s="637" t="s">
        <v>1185</v>
      </c>
      <c r="AH245" s="637" t="s">
        <v>648</v>
      </c>
    </row>
    <row r="246" spans="1:34" ht="141.75" customHeight="1" x14ac:dyDescent="0.25">
      <c r="A246" s="638">
        <f t="shared" si="21"/>
        <v>200</v>
      </c>
      <c r="B246" s="632" t="s">
        <v>481</v>
      </c>
      <c r="C246" s="633" t="s">
        <v>1534</v>
      </c>
      <c r="D246" s="634" t="s">
        <v>165</v>
      </c>
      <c r="E246" s="632" t="s">
        <v>48</v>
      </c>
      <c r="F246" s="632">
        <v>1</v>
      </c>
      <c r="G246" s="844" t="s">
        <v>79</v>
      </c>
      <c r="H246" s="845">
        <v>12</v>
      </c>
      <c r="I246" s="632" t="s">
        <v>283</v>
      </c>
      <c r="J246" s="632" t="s">
        <v>66</v>
      </c>
      <c r="K246" s="632" t="s">
        <v>607</v>
      </c>
      <c r="L246" s="635">
        <v>23285918</v>
      </c>
      <c r="M246" s="635">
        <v>23285918</v>
      </c>
      <c r="N246" s="632" t="s">
        <v>51</v>
      </c>
      <c r="O246" s="632" t="s">
        <v>36</v>
      </c>
      <c r="P246" s="632" t="s">
        <v>1869</v>
      </c>
      <c r="Q246" s="649"/>
      <c r="R246" s="637" t="s">
        <v>1888</v>
      </c>
      <c r="S246" s="653" t="s">
        <v>1889</v>
      </c>
      <c r="T246" s="637">
        <v>43360</v>
      </c>
      <c r="U246" s="637" t="s">
        <v>1890</v>
      </c>
      <c r="V246" s="654" t="s">
        <v>644</v>
      </c>
      <c r="W246" s="654">
        <v>20810000</v>
      </c>
      <c r="X246" s="654">
        <v>0</v>
      </c>
      <c r="Y246" s="654">
        <v>20810000</v>
      </c>
      <c r="Z246" s="654">
        <v>20810000</v>
      </c>
      <c r="AA246" s="654"/>
      <c r="AB246" s="637" t="s">
        <v>1891</v>
      </c>
      <c r="AC246" s="637">
        <v>30718</v>
      </c>
      <c r="AD246" s="653" t="s">
        <v>1892</v>
      </c>
      <c r="AE246" s="653">
        <v>43363</v>
      </c>
      <c r="AF246" s="637">
        <v>43727</v>
      </c>
      <c r="AG246" s="637" t="s">
        <v>1893</v>
      </c>
      <c r="AH246" s="637" t="s">
        <v>877</v>
      </c>
    </row>
    <row r="247" spans="1:34" ht="139.5" customHeight="1" x14ac:dyDescent="0.25">
      <c r="A247" s="638">
        <f t="shared" si="21"/>
        <v>201</v>
      </c>
      <c r="B247" s="632" t="s">
        <v>481</v>
      </c>
      <c r="C247" s="633" t="s">
        <v>1535</v>
      </c>
      <c r="D247" s="634" t="s">
        <v>1536</v>
      </c>
      <c r="E247" s="632" t="s">
        <v>48</v>
      </c>
      <c r="F247" s="632">
        <v>1</v>
      </c>
      <c r="G247" s="844" t="s">
        <v>74</v>
      </c>
      <c r="H247" s="845" t="s">
        <v>194</v>
      </c>
      <c r="I247" s="632" t="s">
        <v>283</v>
      </c>
      <c r="J247" s="632" t="s">
        <v>66</v>
      </c>
      <c r="K247" s="632" t="s">
        <v>607</v>
      </c>
      <c r="L247" s="635">
        <v>43000000</v>
      </c>
      <c r="M247" s="635">
        <v>43000000</v>
      </c>
      <c r="N247" s="632" t="s">
        <v>51</v>
      </c>
      <c r="O247" s="632" t="s">
        <v>36</v>
      </c>
      <c r="P247" s="632" t="s">
        <v>1869</v>
      </c>
      <c r="Q247" s="649"/>
      <c r="R247" s="637" t="s">
        <v>148</v>
      </c>
      <c r="S247" s="637" t="s">
        <v>148</v>
      </c>
      <c r="T247" s="653" t="s">
        <v>148</v>
      </c>
      <c r="U247" s="637" t="s">
        <v>148</v>
      </c>
      <c r="V247" s="637" t="s">
        <v>148</v>
      </c>
      <c r="W247" s="654">
        <v>0</v>
      </c>
      <c r="X247" s="654">
        <v>0</v>
      </c>
      <c r="Y247" s="654">
        <v>0</v>
      </c>
      <c r="Z247" s="654">
        <v>0</v>
      </c>
      <c r="AA247" s="654"/>
      <c r="AB247" s="637" t="s">
        <v>148</v>
      </c>
      <c r="AC247" s="637" t="s">
        <v>148</v>
      </c>
      <c r="AD247" s="637" t="s">
        <v>148</v>
      </c>
      <c r="AE247" s="653" t="s">
        <v>148</v>
      </c>
      <c r="AF247" s="653" t="s">
        <v>148</v>
      </c>
      <c r="AG247" s="637" t="s">
        <v>148</v>
      </c>
      <c r="AH247" s="637" t="s">
        <v>148</v>
      </c>
    </row>
    <row r="248" spans="1:34" ht="125.25" customHeight="1" x14ac:dyDescent="0.25">
      <c r="A248" s="869">
        <f t="shared" si="21"/>
        <v>202</v>
      </c>
      <c r="B248" s="848" t="s">
        <v>481</v>
      </c>
      <c r="C248" s="848">
        <v>81112501</v>
      </c>
      <c r="D248" s="848" t="s">
        <v>1537</v>
      </c>
      <c r="E248" s="848" t="s">
        <v>48</v>
      </c>
      <c r="F248" s="848">
        <v>1</v>
      </c>
      <c r="G248" s="849" t="s">
        <v>79</v>
      </c>
      <c r="H248" s="870">
        <v>24</v>
      </c>
      <c r="I248" s="848" t="s">
        <v>173</v>
      </c>
      <c r="J248" s="848" t="s">
        <v>66</v>
      </c>
      <c r="K248" s="848" t="s">
        <v>607</v>
      </c>
      <c r="L248" s="871">
        <v>200000000</v>
      </c>
      <c r="M248" s="871">
        <v>200000000</v>
      </c>
      <c r="N248" s="848" t="s">
        <v>51</v>
      </c>
      <c r="O248" s="848" t="s">
        <v>36</v>
      </c>
      <c r="P248" s="848" t="s">
        <v>306</v>
      </c>
      <c r="Q248" s="649"/>
      <c r="R248" s="637" t="s">
        <v>1925</v>
      </c>
      <c r="S248" s="653" t="s">
        <v>1772</v>
      </c>
      <c r="T248" s="637">
        <v>43315</v>
      </c>
      <c r="U248" s="637" t="s">
        <v>1537</v>
      </c>
      <c r="V248" s="654" t="s">
        <v>644</v>
      </c>
      <c r="W248" s="654">
        <v>192859762.05000001</v>
      </c>
      <c r="X248" s="654">
        <v>1246296.1699999869</v>
      </c>
      <c r="Y248" s="654">
        <v>194106058.22</v>
      </c>
      <c r="Z248" s="654">
        <v>194106058.22</v>
      </c>
      <c r="AA248" s="886"/>
      <c r="AB248" s="902" t="s">
        <v>1761</v>
      </c>
      <c r="AC248" s="637">
        <v>30618</v>
      </c>
      <c r="AD248" s="653" t="s">
        <v>1926</v>
      </c>
      <c r="AE248" s="637">
        <v>43315</v>
      </c>
      <c r="AF248" s="637">
        <v>43679</v>
      </c>
      <c r="AG248" s="637" t="s">
        <v>1222</v>
      </c>
      <c r="AH248" s="653" t="s">
        <v>877</v>
      </c>
    </row>
    <row r="249" spans="1:34" s="721" customFormat="1" ht="105.95" customHeight="1" x14ac:dyDescent="0.25">
      <c r="A249" s="639">
        <f>SUM(A248+1)</f>
        <v>203</v>
      </c>
      <c r="B249" s="640" t="s">
        <v>481</v>
      </c>
      <c r="C249" s="641">
        <v>43231508</v>
      </c>
      <c r="D249" s="642" t="s">
        <v>293</v>
      </c>
      <c r="E249" s="640" t="s">
        <v>59</v>
      </c>
      <c r="F249" s="640">
        <v>1</v>
      </c>
      <c r="G249" s="643" t="s">
        <v>180</v>
      </c>
      <c r="H249" s="644" t="s">
        <v>194</v>
      </c>
      <c r="I249" s="640" t="s">
        <v>1906</v>
      </c>
      <c r="J249" s="640" t="s">
        <v>66</v>
      </c>
      <c r="K249" s="640" t="s">
        <v>607</v>
      </c>
      <c r="L249" s="645"/>
      <c r="M249" s="645"/>
      <c r="N249" s="640" t="s">
        <v>51</v>
      </c>
      <c r="O249" s="640" t="s">
        <v>36</v>
      </c>
      <c r="P249" s="640" t="s">
        <v>1869</v>
      </c>
      <c r="Q249" s="883"/>
      <c r="R249" s="700" t="s">
        <v>148</v>
      </c>
      <c r="S249" s="700" t="s">
        <v>148</v>
      </c>
      <c r="T249" s="701" t="s">
        <v>148</v>
      </c>
      <c r="U249" s="700" t="s">
        <v>148</v>
      </c>
      <c r="V249" s="700" t="s">
        <v>148</v>
      </c>
      <c r="W249" s="702">
        <v>0</v>
      </c>
      <c r="X249" s="654">
        <v>0</v>
      </c>
      <c r="Y249" s="702">
        <v>0</v>
      </c>
      <c r="Z249" s="702">
        <v>0</v>
      </c>
      <c r="AA249" s="702"/>
      <c r="AB249" s="700" t="s">
        <v>148</v>
      </c>
      <c r="AC249" s="700" t="s">
        <v>148</v>
      </c>
      <c r="AD249" s="700" t="s">
        <v>148</v>
      </c>
      <c r="AE249" s="701" t="s">
        <v>148</v>
      </c>
      <c r="AF249" s="701" t="s">
        <v>148</v>
      </c>
      <c r="AG249" s="700" t="s">
        <v>148</v>
      </c>
      <c r="AH249" s="700" t="s">
        <v>148</v>
      </c>
    </row>
    <row r="250" spans="1:34" s="657" customFormat="1" ht="114.95" customHeight="1" x14ac:dyDescent="0.25">
      <c r="A250" s="638">
        <f t="shared" ref="A250:A267" si="22">SUM(A249+1)</f>
        <v>204</v>
      </c>
      <c r="B250" s="640" t="s">
        <v>481</v>
      </c>
      <c r="C250" s="641" t="s">
        <v>1538</v>
      </c>
      <c r="D250" s="642" t="s">
        <v>608</v>
      </c>
      <c r="E250" s="640" t="s">
        <v>68</v>
      </c>
      <c r="F250" s="640">
        <v>1</v>
      </c>
      <c r="G250" s="643" t="s">
        <v>74</v>
      </c>
      <c r="H250" s="644" t="s">
        <v>194</v>
      </c>
      <c r="I250" s="640" t="s">
        <v>283</v>
      </c>
      <c r="J250" s="640" t="s">
        <v>66</v>
      </c>
      <c r="K250" s="640" t="s">
        <v>607</v>
      </c>
      <c r="L250" s="645"/>
      <c r="M250" s="645"/>
      <c r="N250" s="640" t="s">
        <v>51</v>
      </c>
      <c r="O250" s="640" t="s">
        <v>36</v>
      </c>
      <c r="P250" s="640" t="s">
        <v>1869</v>
      </c>
      <c r="Q250" s="649"/>
      <c r="R250" s="637" t="s">
        <v>148</v>
      </c>
      <c r="S250" s="637" t="s">
        <v>148</v>
      </c>
      <c r="T250" s="653" t="s">
        <v>148</v>
      </c>
      <c r="U250" s="637" t="s">
        <v>148</v>
      </c>
      <c r="V250" s="637" t="s">
        <v>148</v>
      </c>
      <c r="W250" s="654">
        <v>0</v>
      </c>
      <c r="X250" s="654">
        <v>0</v>
      </c>
      <c r="Y250" s="654">
        <v>0</v>
      </c>
      <c r="Z250" s="654">
        <v>0</v>
      </c>
      <c r="AA250" s="654"/>
      <c r="AB250" s="637" t="s">
        <v>148</v>
      </c>
      <c r="AC250" s="637" t="s">
        <v>148</v>
      </c>
      <c r="AD250" s="637" t="s">
        <v>148</v>
      </c>
      <c r="AE250" s="653" t="s">
        <v>148</v>
      </c>
      <c r="AF250" s="653" t="s">
        <v>148</v>
      </c>
      <c r="AG250" s="637" t="s">
        <v>148</v>
      </c>
      <c r="AH250" s="637" t="s">
        <v>148</v>
      </c>
    </row>
    <row r="251" spans="1:34" ht="121.5" customHeight="1" x14ac:dyDescent="0.25">
      <c r="A251" s="638">
        <f t="shared" si="22"/>
        <v>205</v>
      </c>
      <c r="B251" s="632" t="s">
        <v>481</v>
      </c>
      <c r="C251" s="633">
        <v>81112501</v>
      </c>
      <c r="D251" s="634" t="s">
        <v>609</v>
      </c>
      <c r="E251" s="632" t="s">
        <v>48</v>
      </c>
      <c r="F251" s="632">
        <v>1</v>
      </c>
      <c r="G251" s="844" t="s">
        <v>77</v>
      </c>
      <c r="H251" s="845">
        <v>12</v>
      </c>
      <c r="I251" s="632" t="s">
        <v>252</v>
      </c>
      <c r="J251" s="632" t="s">
        <v>66</v>
      </c>
      <c r="K251" s="632" t="s">
        <v>607</v>
      </c>
      <c r="L251" s="635">
        <v>11330000</v>
      </c>
      <c r="M251" s="635">
        <v>11330000</v>
      </c>
      <c r="N251" s="632" t="s">
        <v>51</v>
      </c>
      <c r="O251" s="632" t="s">
        <v>36</v>
      </c>
      <c r="P251" s="632" t="s">
        <v>306</v>
      </c>
      <c r="Q251" s="649"/>
      <c r="R251" s="637" t="s">
        <v>1572</v>
      </c>
      <c r="S251" s="637" t="s">
        <v>1573</v>
      </c>
      <c r="T251" s="653">
        <v>43308</v>
      </c>
      <c r="U251" s="637" t="s">
        <v>1574</v>
      </c>
      <c r="V251" s="637" t="s">
        <v>644</v>
      </c>
      <c r="W251" s="654">
        <v>10560000</v>
      </c>
      <c r="X251" s="654">
        <v>0</v>
      </c>
      <c r="Y251" s="654">
        <v>10560000</v>
      </c>
      <c r="Z251" s="654">
        <v>10560000</v>
      </c>
      <c r="AA251" s="654"/>
      <c r="AB251" s="637" t="s">
        <v>1575</v>
      </c>
      <c r="AC251" s="637">
        <v>31518</v>
      </c>
      <c r="AD251" s="637" t="s">
        <v>1576</v>
      </c>
      <c r="AE251" s="653">
        <v>43327</v>
      </c>
      <c r="AF251" s="653">
        <v>43691</v>
      </c>
      <c r="AG251" s="637" t="s">
        <v>1577</v>
      </c>
      <c r="AH251" s="637" t="s">
        <v>877</v>
      </c>
    </row>
    <row r="252" spans="1:34" ht="111" customHeight="1" x14ac:dyDescent="0.25">
      <c r="A252" s="638">
        <f t="shared" si="22"/>
        <v>206</v>
      </c>
      <c r="B252" s="632" t="s">
        <v>481</v>
      </c>
      <c r="C252" s="633" t="s">
        <v>1539</v>
      </c>
      <c r="D252" s="634" t="s">
        <v>289</v>
      </c>
      <c r="E252" s="632" t="s">
        <v>68</v>
      </c>
      <c r="F252" s="632">
        <v>1</v>
      </c>
      <c r="G252" s="844" t="s">
        <v>74</v>
      </c>
      <c r="H252" s="845" t="s">
        <v>194</v>
      </c>
      <c r="I252" s="632" t="s">
        <v>252</v>
      </c>
      <c r="J252" s="632" t="s">
        <v>66</v>
      </c>
      <c r="K252" s="632" t="s">
        <v>607</v>
      </c>
      <c r="L252" s="635">
        <v>68100000</v>
      </c>
      <c r="M252" s="635">
        <v>68100000</v>
      </c>
      <c r="N252" s="632" t="s">
        <v>51</v>
      </c>
      <c r="O252" s="632" t="s">
        <v>36</v>
      </c>
      <c r="P252" s="632" t="s">
        <v>1869</v>
      </c>
      <c r="Q252" s="649"/>
      <c r="R252" s="637" t="s">
        <v>148</v>
      </c>
      <c r="S252" s="637" t="s">
        <v>148</v>
      </c>
      <c r="T252" s="653" t="s">
        <v>148</v>
      </c>
      <c r="U252" s="637" t="s">
        <v>148</v>
      </c>
      <c r="V252" s="637" t="s">
        <v>148</v>
      </c>
      <c r="W252" s="654">
        <v>0</v>
      </c>
      <c r="X252" s="654">
        <v>0</v>
      </c>
      <c r="Y252" s="654">
        <v>0</v>
      </c>
      <c r="Z252" s="654">
        <v>0</v>
      </c>
      <c r="AA252" s="654"/>
      <c r="AB252" s="637" t="s">
        <v>148</v>
      </c>
      <c r="AC252" s="637" t="s">
        <v>148</v>
      </c>
      <c r="AD252" s="637" t="s">
        <v>148</v>
      </c>
      <c r="AE252" s="653" t="s">
        <v>148</v>
      </c>
      <c r="AF252" s="653" t="s">
        <v>148</v>
      </c>
      <c r="AG252" s="637" t="s">
        <v>148</v>
      </c>
      <c r="AH252" s="637" t="s">
        <v>148</v>
      </c>
    </row>
    <row r="253" spans="1:34" ht="69" customHeight="1" x14ac:dyDescent="0.25">
      <c r="A253" s="638">
        <f t="shared" si="22"/>
        <v>207</v>
      </c>
      <c r="B253" s="640" t="s">
        <v>481</v>
      </c>
      <c r="C253" s="641">
        <v>43232703</v>
      </c>
      <c r="D253" s="642" t="s">
        <v>291</v>
      </c>
      <c r="E253" s="640" t="s">
        <v>68</v>
      </c>
      <c r="F253" s="640">
        <v>1</v>
      </c>
      <c r="G253" s="643" t="s">
        <v>78</v>
      </c>
      <c r="H253" s="644" t="s">
        <v>231</v>
      </c>
      <c r="I253" s="640" t="s">
        <v>252</v>
      </c>
      <c r="J253" s="640" t="s">
        <v>66</v>
      </c>
      <c r="K253" s="640" t="s">
        <v>607</v>
      </c>
      <c r="L253" s="645"/>
      <c r="M253" s="645"/>
      <c r="N253" s="640" t="s">
        <v>51</v>
      </c>
      <c r="O253" s="640" t="s">
        <v>36</v>
      </c>
      <c r="P253" s="640" t="s">
        <v>306</v>
      </c>
      <c r="Q253" s="649"/>
      <c r="R253" s="637" t="s">
        <v>148</v>
      </c>
      <c r="S253" s="637" t="s">
        <v>148</v>
      </c>
      <c r="T253" s="653" t="s">
        <v>148</v>
      </c>
      <c r="U253" s="637" t="s">
        <v>148</v>
      </c>
      <c r="V253" s="637" t="s">
        <v>148</v>
      </c>
      <c r="W253" s="654">
        <v>0</v>
      </c>
      <c r="X253" s="654">
        <v>0</v>
      </c>
      <c r="Y253" s="654">
        <v>0</v>
      </c>
      <c r="Z253" s="654">
        <v>0</v>
      </c>
      <c r="AA253" s="654"/>
      <c r="AB253" s="637" t="s">
        <v>148</v>
      </c>
      <c r="AC253" s="637" t="s">
        <v>148</v>
      </c>
      <c r="AD253" s="637" t="s">
        <v>148</v>
      </c>
      <c r="AE253" s="653" t="s">
        <v>148</v>
      </c>
      <c r="AF253" s="653" t="s">
        <v>148</v>
      </c>
      <c r="AG253" s="637" t="s">
        <v>148</v>
      </c>
      <c r="AH253" s="637" t="s">
        <v>148</v>
      </c>
    </row>
    <row r="254" spans="1:34" ht="137.44999999999999" customHeight="1" x14ac:dyDescent="0.25">
      <c r="A254" s="638">
        <f t="shared" si="22"/>
        <v>208</v>
      </c>
      <c r="B254" s="632" t="s">
        <v>481</v>
      </c>
      <c r="C254" s="633" t="s">
        <v>1540</v>
      </c>
      <c r="D254" s="634" t="s">
        <v>1871</v>
      </c>
      <c r="E254" s="632" t="s">
        <v>68</v>
      </c>
      <c r="F254" s="632">
        <v>1</v>
      </c>
      <c r="G254" s="844" t="s">
        <v>180</v>
      </c>
      <c r="H254" s="845">
        <v>12</v>
      </c>
      <c r="I254" s="632" t="s">
        <v>283</v>
      </c>
      <c r="J254" s="632" t="s">
        <v>66</v>
      </c>
      <c r="K254" s="632" t="s">
        <v>607</v>
      </c>
      <c r="L254" s="635">
        <v>33417076</v>
      </c>
      <c r="M254" s="635">
        <v>33417076</v>
      </c>
      <c r="N254" s="632" t="s">
        <v>51</v>
      </c>
      <c r="O254" s="632" t="s">
        <v>36</v>
      </c>
      <c r="P254" s="632" t="s">
        <v>1869</v>
      </c>
      <c r="Q254" s="649"/>
      <c r="R254" s="637" t="s">
        <v>148</v>
      </c>
      <c r="S254" s="637" t="s">
        <v>148</v>
      </c>
      <c r="T254" s="653" t="s">
        <v>148</v>
      </c>
      <c r="U254" s="637" t="s">
        <v>148</v>
      </c>
      <c r="V254" s="637" t="s">
        <v>148</v>
      </c>
      <c r="W254" s="654">
        <v>0</v>
      </c>
      <c r="X254" s="654">
        <v>0</v>
      </c>
      <c r="Y254" s="654">
        <v>0</v>
      </c>
      <c r="Z254" s="654">
        <v>0</v>
      </c>
      <c r="AA254" s="654"/>
      <c r="AB254" s="637" t="s">
        <v>148</v>
      </c>
      <c r="AC254" s="637" t="s">
        <v>148</v>
      </c>
      <c r="AD254" s="637" t="s">
        <v>148</v>
      </c>
      <c r="AE254" s="653" t="s">
        <v>148</v>
      </c>
      <c r="AF254" s="653" t="s">
        <v>148</v>
      </c>
      <c r="AG254" s="637" t="s">
        <v>148</v>
      </c>
      <c r="AH254" s="637" t="s">
        <v>148</v>
      </c>
    </row>
    <row r="255" spans="1:34" ht="126.6" customHeight="1" x14ac:dyDescent="0.25">
      <c r="A255" s="638">
        <f t="shared" si="22"/>
        <v>209</v>
      </c>
      <c r="B255" s="632" t="s">
        <v>612</v>
      </c>
      <c r="C255" s="633" t="s">
        <v>1424</v>
      </c>
      <c r="D255" s="634" t="s">
        <v>1201</v>
      </c>
      <c r="E255" s="632" t="s">
        <v>68</v>
      </c>
      <c r="F255" s="632">
        <v>1</v>
      </c>
      <c r="G255" s="844" t="s">
        <v>78</v>
      </c>
      <c r="H255" s="845">
        <v>12</v>
      </c>
      <c r="I255" s="632" t="s">
        <v>283</v>
      </c>
      <c r="J255" s="632" t="s">
        <v>66</v>
      </c>
      <c r="K255" s="632" t="s">
        <v>589</v>
      </c>
      <c r="L255" s="635">
        <v>273278560</v>
      </c>
      <c r="M255" s="636">
        <v>273278560</v>
      </c>
      <c r="N255" s="632" t="s">
        <v>51</v>
      </c>
      <c r="O255" s="632" t="s">
        <v>36</v>
      </c>
      <c r="P255" s="632" t="s">
        <v>306</v>
      </c>
      <c r="Q255" s="649"/>
      <c r="R255" s="637" t="s">
        <v>1545</v>
      </c>
      <c r="S255" s="637" t="s">
        <v>1546</v>
      </c>
      <c r="T255" s="653">
        <v>43272</v>
      </c>
      <c r="U255" s="637" t="s">
        <v>1547</v>
      </c>
      <c r="V255" s="637" t="s">
        <v>644</v>
      </c>
      <c r="W255" s="654">
        <v>273256533.51999998</v>
      </c>
      <c r="X255" s="654">
        <v>0</v>
      </c>
      <c r="Y255" s="654">
        <v>273256533.51999998</v>
      </c>
      <c r="Z255" s="654">
        <v>273256533.51999998</v>
      </c>
      <c r="AA255" s="654">
        <f t="shared" ref="AA255:AA258" si="23">Z255-Y255</f>
        <v>0</v>
      </c>
      <c r="AB255" s="637" t="s">
        <v>1548</v>
      </c>
      <c r="AC255" s="637">
        <v>20618</v>
      </c>
      <c r="AD255" s="637" t="s">
        <v>1549</v>
      </c>
      <c r="AE255" s="653">
        <v>43273</v>
      </c>
      <c r="AF255" s="653">
        <v>43637</v>
      </c>
      <c r="AG255" s="637" t="s">
        <v>893</v>
      </c>
      <c r="AH255" s="637" t="s">
        <v>877</v>
      </c>
    </row>
    <row r="256" spans="1:34" ht="228" customHeight="1" x14ac:dyDescent="0.25">
      <c r="A256" s="638">
        <f t="shared" si="22"/>
        <v>210</v>
      </c>
      <c r="B256" s="632" t="s">
        <v>612</v>
      </c>
      <c r="C256" s="633">
        <v>81112501</v>
      </c>
      <c r="D256" s="634" t="s">
        <v>268</v>
      </c>
      <c r="E256" s="632" t="s">
        <v>68</v>
      </c>
      <c r="F256" s="632">
        <v>1</v>
      </c>
      <c r="G256" s="844" t="s">
        <v>77</v>
      </c>
      <c r="H256" s="845">
        <v>12</v>
      </c>
      <c r="I256" s="632" t="s">
        <v>173</v>
      </c>
      <c r="J256" s="632" t="s">
        <v>66</v>
      </c>
      <c r="K256" s="632" t="s">
        <v>589</v>
      </c>
      <c r="L256" s="635">
        <v>370858400.00000006</v>
      </c>
      <c r="M256" s="636">
        <v>370858400.00000006</v>
      </c>
      <c r="N256" s="632" t="s">
        <v>51</v>
      </c>
      <c r="O256" s="632" t="s">
        <v>36</v>
      </c>
      <c r="P256" s="632" t="s">
        <v>306</v>
      </c>
      <c r="Q256" s="649"/>
      <c r="R256" s="637" t="s">
        <v>1578</v>
      </c>
      <c r="S256" s="637" t="s">
        <v>1579</v>
      </c>
      <c r="T256" s="653">
        <v>43307</v>
      </c>
      <c r="U256" s="637" t="s">
        <v>1580</v>
      </c>
      <c r="V256" s="637" t="s">
        <v>652</v>
      </c>
      <c r="W256" s="654">
        <v>361259286</v>
      </c>
      <c r="X256" s="654">
        <v>0</v>
      </c>
      <c r="Y256" s="654">
        <v>361259286</v>
      </c>
      <c r="Z256" s="654">
        <v>361259286</v>
      </c>
      <c r="AA256" s="654">
        <f t="shared" si="23"/>
        <v>0</v>
      </c>
      <c r="AB256" s="637" t="s">
        <v>1581</v>
      </c>
      <c r="AC256" s="637">
        <v>31818</v>
      </c>
      <c r="AD256" s="637" t="s">
        <v>1582</v>
      </c>
      <c r="AE256" s="653">
        <v>43368</v>
      </c>
      <c r="AF256" s="653">
        <v>43742</v>
      </c>
      <c r="AG256" s="637" t="s">
        <v>1583</v>
      </c>
      <c r="AH256" s="637" t="s">
        <v>877</v>
      </c>
    </row>
    <row r="257" spans="1:34" ht="108" customHeight="1" x14ac:dyDescent="0.25">
      <c r="A257" s="638">
        <f t="shared" si="22"/>
        <v>211</v>
      </c>
      <c r="B257" s="640" t="s">
        <v>612</v>
      </c>
      <c r="C257" s="641">
        <v>81112501</v>
      </c>
      <c r="D257" s="642" t="s">
        <v>613</v>
      </c>
      <c r="E257" s="640" t="s">
        <v>68</v>
      </c>
      <c r="F257" s="640">
        <v>1</v>
      </c>
      <c r="G257" s="643" t="s">
        <v>76</v>
      </c>
      <c r="H257" s="644">
        <v>12</v>
      </c>
      <c r="I257" s="640" t="s">
        <v>61</v>
      </c>
      <c r="J257" s="640" t="s">
        <v>66</v>
      </c>
      <c r="K257" s="640" t="s">
        <v>589</v>
      </c>
      <c r="L257" s="645"/>
      <c r="M257" s="646"/>
      <c r="N257" s="640" t="s">
        <v>51</v>
      </c>
      <c r="O257" s="640" t="s">
        <v>36</v>
      </c>
      <c r="P257" s="640" t="s">
        <v>306</v>
      </c>
      <c r="Q257" s="649"/>
      <c r="R257" s="637" t="s">
        <v>148</v>
      </c>
      <c r="S257" s="637" t="s">
        <v>148</v>
      </c>
      <c r="T257" s="653" t="s">
        <v>148</v>
      </c>
      <c r="U257" s="637" t="s">
        <v>148</v>
      </c>
      <c r="V257" s="637" t="s">
        <v>148</v>
      </c>
      <c r="W257" s="654">
        <v>0</v>
      </c>
      <c r="X257" s="654">
        <v>0</v>
      </c>
      <c r="Y257" s="654">
        <v>0</v>
      </c>
      <c r="Z257" s="654">
        <v>0</v>
      </c>
      <c r="AA257" s="654">
        <f t="shared" si="23"/>
        <v>0</v>
      </c>
      <c r="AB257" s="637" t="s">
        <v>148</v>
      </c>
      <c r="AC257" s="637" t="s">
        <v>148</v>
      </c>
      <c r="AD257" s="637" t="s">
        <v>148</v>
      </c>
      <c r="AE257" s="653" t="s">
        <v>148</v>
      </c>
      <c r="AF257" s="653" t="s">
        <v>148</v>
      </c>
      <c r="AG257" s="637" t="s">
        <v>148</v>
      </c>
      <c r="AH257" s="637" t="s">
        <v>148</v>
      </c>
    </row>
    <row r="258" spans="1:34" s="649" customFormat="1" ht="178.9" customHeight="1" x14ac:dyDescent="0.25">
      <c r="A258" s="638">
        <f t="shared" si="22"/>
        <v>212</v>
      </c>
      <c r="B258" s="632" t="s">
        <v>299</v>
      </c>
      <c r="C258" s="633" t="s">
        <v>71</v>
      </c>
      <c r="D258" s="634" t="s">
        <v>614</v>
      </c>
      <c r="E258" s="632" t="s">
        <v>48</v>
      </c>
      <c r="F258" s="632">
        <v>1</v>
      </c>
      <c r="G258" s="844" t="s">
        <v>75</v>
      </c>
      <c r="H258" s="845" t="s">
        <v>1200</v>
      </c>
      <c r="I258" s="632" t="s">
        <v>173</v>
      </c>
      <c r="J258" s="632" t="s">
        <v>66</v>
      </c>
      <c r="K258" s="632" t="s">
        <v>589</v>
      </c>
      <c r="L258" s="635">
        <v>40000000</v>
      </c>
      <c r="M258" s="635">
        <v>40000000</v>
      </c>
      <c r="N258" s="632" t="s">
        <v>615</v>
      </c>
      <c r="O258" s="632" t="s">
        <v>36</v>
      </c>
      <c r="P258" s="632" t="s">
        <v>493</v>
      </c>
      <c r="R258" s="637" t="s">
        <v>1418</v>
      </c>
      <c r="S258" s="637" t="s">
        <v>657</v>
      </c>
      <c r="T258" s="653">
        <v>43171</v>
      </c>
      <c r="U258" s="637" t="s">
        <v>614</v>
      </c>
      <c r="V258" s="637" t="s">
        <v>1210</v>
      </c>
      <c r="W258" s="654">
        <v>40000000</v>
      </c>
      <c r="X258" s="654">
        <v>0</v>
      </c>
      <c r="Y258" s="654">
        <v>40000000</v>
      </c>
      <c r="Z258" s="654">
        <v>40000000</v>
      </c>
      <c r="AA258" s="654">
        <f t="shared" si="23"/>
        <v>0</v>
      </c>
      <c r="AB258" s="637" t="s">
        <v>1419</v>
      </c>
      <c r="AC258" s="637">
        <v>19818</v>
      </c>
      <c r="AD258" s="637" t="s">
        <v>1420</v>
      </c>
      <c r="AE258" s="653">
        <v>43171</v>
      </c>
      <c r="AF258" s="653">
        <v>43462</v>
      </c>
      <c r="AG258" s="637" t="s">
        <v>1421</v>
      </c>
      <c r="AH258" s="637" t="s">
        <v>299</v>
      </c>
    </row>
    <row r="259" spans="1:34" s="649" customFormat="1" ht="153.75" customHeight="1" x14ac:dyDescent="0.25">
      <c r="A259" s="638">
        <f t="shared" si="22"/>
        <v>213</v>
      </c>
      <c r="B259" s="632" t="s">
        <v>512</v>
      </c>
      <c r="C259" s="633" t="s">
        <v>71</v>
      </c>
      <c r="D259" s="634" t="s">
        <v>614</v>
      </c>
      <c r="E259" s="632" t="s">
        <v>48</v>
      </c>
      <c r="F259" s="632">
        <v>1</v>
      </c>
      <c r="G259" s="844" t="s">
        <v>80</v>
      </c>
      <c r="H259" s="845" t="s">
        <v>249</v>
      </c>
      <c r="I259" s="632" t="s">
        <v>173</v>
      </c>
      <c r="J259" s="632" t="s">
        <v>66</v>
      </c>
      <c r="K259" s="632" t="s">
        <v>598</v>
      </c>
      <c r="L259" s="635">
        <v>438000000</v>
      </c>
      <c r="M259" s="635">
        <v>438000000</v>
      </c>
      <c r="N259" s="632" t="s">
        <v>615</v>
      </c>
      <c r="O259" s="632" t="s">
        <v>36</v>
      </c>
      <c r="P259" s="632" t="s">
        <v>514</v>
      </c>
      <c r="R259" s="637" t="s">
        <v>1207</v>
      </c>
      <c r="S259" s="637" t="s">
        <v>1208</v>
      </c>
      <c r="T259" s="653">
        <v>43139</v>
      </c>
      <c r="U259" s="637" t="s">
        <v>1209</v>
      </c>
      <c r="V259" s="637" t="s">
        <v>1210</v>
      </c>
      <c r="W259" s="654">
        <v>438000000</v>
      </c>
      <c r="X259" s="654">
        <v>-102000000</v>
      </c>
      <c r="Y259" s="654">
        <f>SUM(W259+X259)</f>
        <v>336000000</v>
      </c>
      <c r="Z259" s="654">
        <v>336000000</v>
      </c>
      <c r="AA259" s="654"/>
      <c r="AB259" s="637" t="s">
        <v>1211</v>
      </c>
      <c r="AC259" s="637" t="s">
        <v>1383</v>
      </c>
      <c r="AD259" s="637" t="s">
        <v>1212</v>
      </c>
      <c r="AE259" s="653">
        <v>43139</v>
      </c>
      <c r="AF259" s="653">
        <v>43462</v>
      </c>
      <c r="AG259" s="637" t="s">
        <v>809</v>
      </c>
      <c r="AH259" s="637" t="s">
        <v>810</v>
      </c>
    </row>
    <row r="260" spans="1:34" ht="145.15" customHeight="1" x14ac:dyDescent="0.25">
      <c r="A260" s="638">
        <f t="shared" si="22"/>
        <v>214</v>
      </c>
      <c r="B260" s="632" t="s">
        <v>262</v>
      </c>
      <c r="C260" s="633">
        <v>80101706</v>
      </c>
      <c r="D260" s="634" t="s">
        <v>626</v>
      </c>
      <c r="E260" s="632" t="s">
        <v>68</v>
      </c>
      <c r="F260" s="632">
        <v>1</v>
      </c>
      <c r="G260" s="844" t="s">
        <v>73</v>
      </c>
      <c r="H260" s="845" t="s">
        <v>206</v>
      </c>
      <c r="I260" s="632" t="s">
        <v>61</v>
      </c>
      <c r="J260" s="632" t="s">
        <v>66</v>
      </c>
      <c r="K260" s="632" t="s">
        <v>589</v>
      </c>
      <c r="L260" s="635">
        <v>36000000</v>
      </c>
      <c r="M260" s="635">
        <v>36000000</v>
      </c>
      <c r="N260" s="632" t="s">
        <v>51</v>
      </c>
      <c r="O260" s="632" t="s">
        <v>627</v>
      </c>
      <c r="P260" s="632" t="s">
        <v>628</v>
      </c>
      <c r="Q260" s="649"/>
      <c r="R260" s="637" t="s">
        <v>1186</v>
      </c>
      <c r="S260" s="637" t="s">
        <v>1185</v>
      </c>
      <c r="T260" s="653">
        <v>43123</v>
      </c>
      <c r="U260" s="637" t="s">
        <v>1187</v>
      </c>
      <c r="V260" s="637" t="s">
        <v>659</v>
      </c>
      <c r="W260" s="654">
        <v>36000000</v>
      </c>
      <c r="X260" s="654">
        <v>0</v>
      </c>
      <c r="Y260" s="654">
        <v>36000000</v>
      </c>
      <c r="Z260" s="654">
        <v>36000000</v>
      </c>
      <c r="AA260" s="654">
        <f>Z260-Y260</f>
        <v>0</v>
      </c>
      <c r="AB260" s="637" t="s">
        <v>1188</v>
      </c>
      <c r="AC260" s="637" t="s">
        <v>1384</v>
      </c>
      <c r="AD260" s="637" t="s">
        <v>668</v>
      </c>
      <c r="AE260" s="653">
        <v>43126</v>
      </c>
      <c r="AF260" s="653">
        <v>43368</v>
      </c>
      <c r="AG260" s="637" t="s">
        <v>662</v>
      </c>
      <c r="AH260" s="637" t="s">
        <v>648</v>
      </c>
    </row>
    <row r="261" spans="1:34" ht="118.5" customHeight="1" x14ac:dyDescent="0.25">
      <c r="A261" s="638">
        <f t="shared" si="22"/>
        <v>215</v>
      </c>
      <c r="B261" s="632" t="s">
        <v>481</v>
      </c>
      <c r="C261" s="633">
        <v>43232703</v>
      </c>
      <c r="D261" s="634" t="s">
        <v>631</v>
      </c>
      <c r="E261" s="632" t="s">
        <v>632</v>
      </c>
      <c r="F261" s="632">
        <v>1</v>
      </c>
      <c r="G261" s="844" t="s">
        <v>76</v>
      </c>
      <c r="H261" s="845" t="s">
        <v>194</v>
      </c>
      <c r="I261" s="632" t="s">
        <v>55</v>
      </c>
      <c r="J261" s="632" t="s">
        <v>66</v>
      </c>
      <c r="K261" s="632" t="s">
        <v>607</v>
      </c>
      <c r="L261" s="635">
        <v>20781000</v>
      </c>
      <c r="M261" s="635">
        <v>20781000</v>
      </c>
      <c r="N261" s="632" t="s">
        <v>51</v>
      </c>
      <c r="O261" s="632" t="s">
        <v>36</v>
      </c>
      <c r="P261" s="632" t="s">
        <v>306</v>
      </c>
      <c r="Q261" s="649"/>
      <c r="R261" s="637" t="s">
        <v>1519</v>
      </c>
      <c r="S261" s="637" t="s">
        <v>1520</v>
      </c>
      <c r="T261" s="653">
        <v>43266</v>
      </c>
      <c r="U261" s="637" t="s">
        <v>1521</v>
      </c>
      <c r="V261" s="637" t="s">
        <v>644</v>
      </c>
      <c r="W261" s="654">
        <v>9450000</v>
      </c>
      <c r="X261" s="654">
        <v>0</v>
      </c>
      <c r="Y261" s="654">
        <v>9450000</v>
      </c>
      <c r="Z261" s="654">
        <v>9450000</v>
      </c>
      <c r="AA261" s="654"/>
      <c r="AB261" s="637" t="s">
        <v>1522</v>
      </c>
      <c r="AC261" s="637">
        <v>19918</v>
      </c>
      <c r="AD261" s="637" t="s">
        <v>1927</v>
      </c>
      <c r="AE261" s="653">
        <v>43273</v>
      </c>
      <c r="AF261" s="653">
        <v>43637</v>
      </c>
      <c r="AG261" s="637" t="s">
        <v>1432</v>
      </c>
      <c r="AH261" s="637" t="s">
        <v>877</v>
      </c>
    </row>
    <row r="262" spans="1:34" ht="145.15" customHeight="1" x14ac:dyDescent="0.25">
      <c r="A262" s="638">
        <f t="shared" si="22"/>
        <v>216</v>
      </c>
      <c r="B262" s="632" t="s">
        <v>299</v>
      </c>
      <c r="C262" s="632">
        <v>80101706</v>
      </c>
      <c r="D262" s="634" t="s">
        <v>636</v>
      </c>
      <c r="E262" s="632" t="s">
        <v>59</v>
      </c>
      <c r="F262" s="632">
        <v>1</v>
      </c>
      <c r="G262" s="844" t="s">
        <v>637</v>
      </c>
      <c r="H262" s="845" t="s">
        <v>206</v>
      </c>
      <c r="I262" s="632" t="s">
        <v>61</v>
      </c>
      <c r="J262" s="632" t="s">
        <v>66</v>
      </c>
      <c r="K262" s="632" t="s">
        <v>589</v>
      </c>
      <c r="L262" s="635">
        <f>5953000*8</f>
        <v>47624000</v>
      </c>
      <c r="M262" s="635">
        <f>5953000*8</f>
        <v>47624000</v>
      </c>
      <c r="N262" s="632" t="s">
        <v>638</v>
      </c>
      <c r="O262" s="632" t="s">
        <v>36</v>
      </c>
      <c r="P262" s="632" t="s">
        <v>493</v>
      </c>
      <c r="Q262" s="649"/>
      <c r="R262" s="637" t="s">
        <v>1189</v>
      </c>
      <c r="S262" s="637" t="s">
        <v>1190</v>
      </c>
      <c r="T262" s="653">
        <v>43124</v>
      </c>
      <c r="U262" s="637" t="s">
        <v>1191</v>
      </c>
      <c r="V262" s="637" t="s">
        <v>659</v>
      </c>
      <c r="W262" s="654">
        <v>47624000</v>
      </c>
      <c r="X262" s="654">
        <v>-10318500</v>
      </c>
      <c r="Y262" s="654">
        <v>37305500</v>
      </c>
      <c r="Z262" s="654">
        <v>37305500</v>
      </c>
      <c r="AA262" s="654">
        <f>Z262-Y262</f>
        <v>0</v>
      </c>
      <c r="AB262" s="637" t="s">
        <v>1192</v>
      </c>
      <c r="AC262" s="637" t="s">
        <v>1385</v>
      </c>
      <c r="AD262" s="637" t="s">
        <v>668</v>
      </c>
      <c r="AE262" s="653">
        <v>43126</v>
      </c>
      <c r="AF262" s="653">
        <v>43368</v>
      </c>
      <c r="AG262" s="637" t="s">
        <v>724</v>
      </c>
      <c r="AH262" s="637" t="s">
        <v>299</v>
      </c>
    </row>
    <row r="263" spans="1:34" ht="145.15" customHeight="1" x14ac:dyDescent="0.25">
      <c r="A263" s="846">
        <f t="shared" si="22"/>
        <v>217</v>
      </c>
      <c r="B263" s="632" t="s">
        <v>520</v>
      </c>
      <c r="C263" s="633">
        <v>80101706</v>
      </c>
      <c r="D263" s="634" t="s">
        <v>521</v>
      </c>
      <c r="E263" s="632" t="s">
        <v>48</v>
      </c>
      <c r="F263" s="632">
        <v>1</v>
      </c>
      <c r="G263" s="844" t="s">
        <v>73</v>
      </c>
      <c r="H263" s="845" t="s">
        <v>640</v>
      </c>
      <c r="I263" s="632" t="s">
        <v>61</v>
      </c>
      <c r="J263" s="632" t="s">
        <v>66</v>
      </c>
      <c r="K263" s="632" t="s">
        <v>464</v>
      </c>
      <c r="L263" s="635">
        <v>33075000</v>
      </c>
      <c r="M263" s="636">
        <v>33075000</v>
      </c>
      <c r="N263" s="632" t="s">
        <v>51</v>
      </c>
      <c r="O263" s="632" t="s">
        <v>36</v>
      </c>
      <c r="P263" s="632" t="s">
        <v>522</v>
      </c>
      <c r="Q263" s="649"/>
      <c r="R263" s="897" t="s">
        <v>1193</v>
      </c>
      <c r="S263" s="884" t="s">
        <v>843</v>
      </c>
      <c r="T263" s="885">
        <v>43126</v>
      </c>
      <c r="U263" s="884" t="s">
        <v>1194</v>
      </c>
      <c r="V263" s="884" t="s">
        <v>659</v>
      </c>
      <c r="W263" s="654">
        <v>33075000</v>
      </c>
      <c r="X263" s="654"/>
      <c r="Y263" s="654">
        <f>W263+X263</f>
        <v>33075000</v>
      </c>
      <c r="Z263" s="654">
        <f>Y263</f>
        <v>33075000</v>
      </c>
      <c r="AA263" s="886"/>
      <c r="AB263" s="884" t="s">
        <v>1195</v>
      </c>
      <c r="AC263" s="884" t="s">
        <v>1386</v>
      </c>
      <c r="AD263" s="884" t="s">
        <v>680</v>
      </c>
      <c r="AE263" s="885">
        <v>43126</v>
      </c>
      <c r="AF263" s="885">
        <v>43276</v>
      </c>
      <c r="AG263" s="884" t="s">
        <v>1196</v>
      </c>
      <c r="AH263" s="884" t="s">
        <v>830</v>
      </c>
    </row>
    <row r="264" spans="1:34" ht="145.15" customHeight="1" x14ac:dyDescent="0.25">
      <c r="A264" s="842"/>
      <c r="B264" s="632" t="s">
        <v>520</v>
      </c>
      <c r="C264" s="633">
        <v>80101706</v>
      </c>
      <c r="D264" s="634" t="s">
        <v>521</v>
      </c>
      <c r="E264" s="632" t="s">
        <v>48</v>
      </c>
      <c r="F264" s="632">
        <v>1</v>
      </c>
      <c r="G264" s="844" t="s">
        <v>73</v>
      </c>
      <c r="H264" s="845" t="s">
        <v>640</v>
      </c>
      <c r="I264" s="632" t="s">
        <v>61</v>
      </c>
      <c r="J264" s="632" t="s">
        <v>66</v>
      </c>
      <c r="K264" s="632" t="s">
        <v>589</v>
      </c>
      <c r="L264" s="635">
        <v>7350000</v>
      </c>
      <c r="M264" s="636">
        <v>7350000</v>
      </c>
      <c r="N264" s="632" t="s">
        <v>51</v>
      </c>
      <c r="O264" s="632" t="s">
        <v>36</v>
      </c>
      <c r="P264" s="632" t="s">
        <v>522</v>
      </c>
      <c r="Q264" s="649"/>
      <c r="R264" s="897" t="s">
        <v>1193</v>
      </c>
      <c r="S264" s="843"/>
      <c r="T264" s="887"/>
      <c r="U264" s="843"/>
      <c r="V264" s="843"/>
      <c r="W264" s="654"/>
      <c r="X264" s="654">
        <v>7350000</v>
      </c>
      <c r="Y264" s="654">
        <v>7350000</v>
      </c>
      <c r="Z264" s="654">
        <v>7350000</v>
      </c>
      <c r="AA264" s="654">
        <f>Z264-Y264</f>
        <v>0</v>
      </c>
      <c r="AB264" s="843"/>
      <c r="AC264" s="843"/>
      <c r="AD264" s="843"/>
      <c r="AE264" s="887"/>
      <c r="AF264" s="887"/>
      <c r="AG264" s="843"/>
      <c r="AH264" s="843"/>
    </row>
    <row r="265" spans="1:34" ht="137.44999999999999" customHeight="1" x14ac:dyDescent="0.25">
      <c r="A265" s="638">
        <f>SUM(A263+1)</f>
        <v>218</v>
      </c>
      <c r="B265" s="632" t="s">
        <v>498</v>
      </c>
      <c r="C265" s="632">
        <v>80101706</v>
      </c>
      <c r="D265" s="634" t="s">
        <v>499</v>
      </c>
      <c r="E265" s="632" t="s">
        <v>48</v>
      </c>
      <c r="F265" s="632">
        <v>1</v>
      </c>
      <c r="G265" s="844" t="s">
        <v>73</v>
      </c>
      <c r="H265" s="845" t="s">
        <v>640</v>
      </c>
      <c r="I265" s="632" t="s">
        <v>61</v>
      </c>
      <c r="J265" s="632" t="s">
        <v>66</v>
      </c>
      <c r="K265" s="632" t="s">
        <v>598</v>
      </c>
      <c r="L265" s="635">
        <v>13648500</v>
      </c>
      <c r="M265" s="636">
        <v>13648500</v>
      </c>
      <c r="N265" s="632" t="s">
        <v>51</v>
      </c>
      <c r="O265" s="632" t="s">
        <v>36</v>
      </c>
      <c r="P265" s="632" t="s">
        <v>493</v>
      </c>
      <c r="Q265" s="649"/>
      <c r="R265" s="637" t="s">
        <v>1213</v>
      </c>
      <c r="S265" s="637" t="s">
        <v>1214</v>
      </c>
      <c r="T265" s="653">
        <v>43126</v>
      </c>
      <c r="U265" s="637" t="s">
        <v>1215</v>
      </c>
      <c r="V265" s="637" t="s">
        <v>659</v>
      </c>
      <c r="W265" s="654">
        <v>13648500</v>
      </c>
      <c r="X265" s="654">
        <v>0</v>
      </c>
      <c r="Y265" s="654">
        <v>13648500</v>
      </c>
      <c r="Z265" s="654">
        <v>13648500</v>
      </c>
      <c r="AA265" s="654"/>
      <c r="AB265" s="637" t="s">
        <v>1216</v>
      </c>
      <c r="AC265" s="637" t="s">
        <v>1387</v>
      </c>
      <c r="AD265" s="637" t="s">
        <v>680</v>
      </c>
      <c r="AE265" s="653">
        <v>43126</v>
      </c>
      <c r="AF265" s="653">
        <v>43276</v>
      </c>
      <c r="AG265" s="637" t="s">
        <v>236</v>
      </c>
      <c r="AH265" s="637" t="s">
        <v>669</v>
      </c>
    </row>
    <row r="266" spans="1:34" ht="137.44999999999999" customHeight="1" x14ac:dyDescent="0.25">
      <c r="A266" s="638">
        <f t="shared" si="22"/>
        <v>219</v>
      </c>
      <c r="B266" s="632" t="s">
        <v>1197</v>
      </c>
      <c r="C266" s="632">
        <v>80111700</v>
      </c>
      <c r="D266" s="634" t="s">
        <v>1202</v>
      </c>
      <c r="E266" s="632" t="s">
        <v>48</v>
      </c>
      <c r="F266" s="632">
        <v>1</v>
      </c>
      <c r="G266" s="844" t="s">
        <v>180</v>
      </c>
      <c r="H266" s="845" t="s">
        <v>194</v>
      </c>
      <c r="I266" s="632" t="s">
        <v>61</v>
      </c>
      <c r="J266" s="632" t="s">
        <v>35</v>
      </c>
      <c r="K266" s="632" t="s">
        <v>1388</v>
      </c>
      <c r="L266" s="635">
        <v>261400000</v>
      </c>
      <c r="M266" s="635">
        <v>261400000</v>
      </c>
      <c r="N266" s="632" t="s">
        <v>51</v>
      </c>
      <c r="O266" s="632" t="s">
        <v>36</v>
      </c>
      <c r="P266" s="632" t="s">
        <v>316</v>
      </c>
      <c r="Q266" s="649"/>
      <c r="R266" s="637" t="s">
        <v>148</v>
      </c>
      <c r="S266" s="637" t="s">
        <v>148</v>
      </c>
      <c r="T266" s="653" t="s">
        <v>148</v>
      </c>
      <c r="U266" s="637" t="s">
        <v>148</v>
      </c>
      <c r="V266" s="637" t="s">
        <v>148</v>
      </c>
      <c r="W266" s="654">
        <v>0</v>
      </c>
      <c r="X266" s="654">
        <v>0</v>
      </c>
      <c r="Y266" s="654">
        <v>0</v>
      </c>
      <c r="Z266" s="654">
        <v>0</v>
      </c>
      <c r="AA266" s="654"/>
      <c r="AB266" s="637" t="s">
        <v>148</v>
      </c>
      <c r="AC266" s="637" t="s">
        <v>148</v>
      </c>
      <c r="AD266" s="637" t="s">
        <v>148</v>
      </c>
      <c r="AE266" s="653" t="s">
        <v>148</v>
      </c>
      <c r="AF266" s="653" t="s">
        <v>148</v>
      </c>
      <c r="AG266" s="637" t="s">
        <v>148</v>
      </c>
      <c r="AH266" s="637" t="s">
        <v>148</v>
      </c>
    </row>
    <row r="267" spans="1:34" s="657" customFormat="1" ht="152.1" customHeight="1" x14ac:dyDescent="0.25">
      <c r="A267" s="638">
        <f t="shared" si="22"/>
        <v>220</v>
      </c>
      <c r="B267" s="632" t="s">
        <v>467</v>
      </c>
      <c r="C267" s="632">
        <v>24102004</v>
      </c>
      <c r="D267" s="634" t="s">
        <v>1423</v>
      </c>
      <c r="E267" s="632" t="s">
        <v>48</v>
      </c>
      <c r="F267" s="632">
        <v>1</v>
      </c>
      <c r="G267" s="844" t="s">
        <v>166</v>
      </c>
      <c r="H267" s="845" t="s">
        <v>157</v>
      </c>
      <c r="I267" s="632" t="s">
        <v>55</v>
      </c>
      <c r="J267" s="632" t="s">
        <v>35</v>
      </c>
      <c r="K267" s="632" t="s">
        <v>294</v>
      </c>
      <c r="L267" s="635">
        <v>9000000</v>
      </c>
      <c r="M267" s="636">
        <v>9000000</v>
      </c>
      <c r="N267" s="632" t="s">
        <v>51</v>
      </c>
      <c r="O267" s="632" t="s">
        <v>36</v>
      </c>
      <c r="P267" s="632" t="s">
        <v>466</v>
      </c>
      <c r="Q267" s="649"/>
      <c r="R267" s="637" t="s">
        <v>1912</v>
      </c>
      <c r="S267" s="637" t="s">
        <v>1913</v>
      </c>
      <c r="T267" s="653">
        <v>43280</v>
      </c>
      <c r="U267" s="637" t="s">
        <v>1914</v>
      </c>
      <c r="V267" s="637" t="s">
        <v>652</v>
      </c>
      <c r="W267" s="654">
        <v>4882332</v>
      </c>
      <c r="X267" s="654">
        <v>0</v>
      </c>
      <c r="Y267" s="654">
        <v>4882332</v>
      </c>
      <c r="Z267" s="654">
        <v>4882332</v>
      </c>
      <c r="AA267" s="654"/>
      <c r="AB267" s="637" t="s">
        <v>1915</v>
      </c>
      <c r="AC267" s="637">
        <v>22518</v>
      </c>
      <c r="AD267" s="637" t="s">
        <v>1916</v>
      </c>
      <c r="AE267" s="653">
        <v>43286</v>
      </c>
      <c r="AF267" s="653">
        <v>43316</v>
      </c>
      <c r="AG267" s="637" t="s">
        <v>782</v>
      </c>
      <c r="AH267" s="637" t="s">
        <v>783</v>
      </c>
    </row>
    <row r="268" spans="1:34" s="657" customFormat="1" ht="152.1" customHeight="1" x14ac:dyDescent="0.25">
      <c r="A268" s="638">
        <v>221</v>
      </c>
      <c r="B268" s="632" t="s">
        <v>1477</v>
      </c>
      <c r="C268" s="632">
        <v>43191501</v>
      </c>
      <c r="D268" s="634" t="s">
        <v>1478</v>
      </c>
      <c r="E268" s="632" t="s">
        <v>48</v>
      </c>
      <c r="F268" s="632">
        <v>1</v>
      </c>
      <c r="G268" s="844" t="s">
        <v>79</v>
      </c>
      <c r="H268" s="845" t="s">
        <v>156</v>
      </c>
      <c r="I268" s="632" t="s">
        <v>53</v>
      </c>
      <c r="J268" s="632" t="s">
        <v>35</v>
      </c>
      <c r="K268" s="632" t="s">
        <v>1479</v>
      </c>
      <c r="L268" s="635">
        <v>2749000</v>
      </c>
      <c r="M268" s="636">
        <v>2749000</v>
      </c>
      <c r="N268" s="632" t="s">
        <v>51</v>
      </c>
      <c r="O268" s="632" t="s">
        <v>36</v>
      </c>
      <c r="P268" s="632" t="s">
        <v>317</v>
      </c>
      <c r="Q268" s="649"/>
      <c r="R268" s="637" t="s">
        <v>1523</v>
      </c>
      <c r="S268" s="637" t="s">
        <v>1524</v>
      </c>
      <c r="T268" s="653">
        <v>43256</v>
      </c>
      <c r="U268" s="637" t="s">
        <v>1525</v>
      </c>
      <c r="V268" s="637" t="s">
        <v>1210</v>
      </c>
      <c r="W268" s="654">
        <v>2749000</v>
      </c>
      <c r="X268" s="654">
        <v>0</v>
      </c>
      <c r="Y268" s="654">
        <v>2749000</v>
      </c>
      <c r="Z268" s="654">
        <v>2749000</v>
      </c>
      <c r="AA268" s="654"/>
      <c r="AB268" s="637" t="s">
        <v>1526</v>
      </c>
      <c r="AC268" s="895">
        <v>25318</v>
      </c>
      <c r="AD268" s="637" t="s">
        <v>1527</v>
      </c>
      <c r="AE268" s="653">
        <v>43256</v>
      </c>
      <c r="AF268" s="653">
        <v>43285</v>
      </c>
      <c r="AG268" s="637" t="s">
        <v>782</v>
      </c>
      <c r="AH268" s="637" t="s">
        <v>783</v>
      </c>
    </row>
    <row r="269" spans="1:34" s="657" customFormat="1" ht="152.1" customHeight="1" x14ac:dyDescent="0.25">
      <c r="A269" s="638">
        <v>222</v>
      </c>
      <c r="B269" s="632" t="s">
        <v>262</v>
      </c>
      <c r="C269" s="633">
        <v>72102900</v>
      </c>
      <c r="D269" s="634" t="s">
        <v>56</v>
      </c>
      <c r="E269" s="632" t="s">
        <v>48</v>
      </c>
      <c r="F269" s="632">
        <v>1</v>
      </c>
      <c r="G269" s="844" t="s">
        <v>79</v>
      </c>
      <c r="H269" s="845" t="s">
        <v>639</v>
      </c>
      <c r="I269" s="632" t="s">
        <v>50</v>
      </c>
      <c r="J269" s="632" t="s">
        <v>35</v>
      </c>
      <c r="K269" s="632" t="s">
        <v>57</v>
      </c>
      <c r="L269" s="635">
        <v>94000000</v>
      </c>
      <c r="M269" s="636">
        <v>94000000</v>
      </c>
      <c r="N269" s="632" t="s">
        <v>51</v>
      </c>
      <c r="O269" s="632" t="s">
        <v>36</v>
      </c>
      <c r="P269" s="632" t="s">
        <v>317</v>
      </c>
      <c r="Q269" s="649"/>
      <c r="R269" s="637" t="s">
        <v>1584</v>
      </c>
      <c r="S269" s="637" t="s">
        <v>1585</v>
      </c>
      <c r="T269" s="653">
        <v>43297</v>
      </c>
      <c r="U269" s="637" t="s">
        <v>1586</v>
      </c>
      <c r="V269" s="637" t="s">
        <v>644</v>
      </c>
      <c r="W269" s="654">
        <v>80180354</v>
      </c>
      <c r="X269" s="654"/>
      <c r="Y269" s="654">
        <v>80180354</v>
      </c>
      <c r="Z269" s="654">
        <v>80180354</v>
      </c>
      <c r="AA269" s="654"/>
      <c r="AB269" s="637" t="s">
        <v>1587</v>
      </c>
      <c r="AC269" s="895">
        <v>25418</v>
      </c>
      <c r="AD269" s="637" t="s">
        <v>1588</v>
      </c>
      <c r="AE269" s="653">
        <v>43297</v>
      </c>
      <c r="AF269" s="653">
        <v>43449</v>
      </c>
      <c r="AG269" s="637" t="s">
        <v>1589</v>
      </c>
      <c r="AH269" s="637" t="s">
        <v>648</v>
      </c>
    </row>
    <row r="270" spans="1:34" s="657" customFormat="1" ht="152.1" customHeight="1" x14ac:dyDescent="0.25">
      <c r="A270" s="638">
        <v>223</v>
      </c>
      <c r="B270" s="632" t="s">
        <v>1482</v>
      </c>
      <c r="C270" s="632">
        <v>14111704</v>
      </c>
      <c r="D270" s="634" t="s">
        <v>1484</v>
      </c>
      <c r="E270" s="632" t="s">
        <v>48</v>
      </c>
      <c r="F270" s="632">
        <v>1</v>
      </c>
      <c r="G270" s="844" t="s">
        <v>79</v>
      </c>
      <c r="H270" s="845" t="s">
        <v>156</v>
      </c>
      <c r="I270" s="632" t="s">
        <v>53</v>
      </c>
      <c r="J270" s="632" t="s">
        <v>35</v>
      </c>
      <c r="K270" s="632" t="s">
        <v>1483</v>
      </c>
      <c r="L270" s="635">
        <v>600000</v>
      </c>
      <c r="M270" s="636">
        <v>600000</v>
      </c>
      <c r="N270" s="632" t="s">
        <v>51</v>
      </c>
      <c r="O270" s="632" t="s">
        <v>36</v>
      </c>
      <c r="P270" s="632" t="s">
        <v>317</v>
      </c>
      <c r="Q270" s="649"/>
      <c r="R270" s="637" t="s">
        <v>1550</v>
      </c>
      <c r="S270" s="637" t="s">
        <v>1551</v>
      </c>
      <c r="T270" s="653">
        <v>43276</v>
      </c>
      <c r="U270" s="637" t="s">
        <v>1552</v>
      </c>
      <c r="V270" s="637" t="s">
        <v>652</v>
      </c>
      <c r="W270" s="654">
        <v>593300</v>
      </c>
      <c r="X270" s="654">
        <v>0</v>
      </c>
      <c r="Y270" s="654">
        <v>593300</v>
      </c>
      <c r="Z270" s="654">
        <v>593300</v>
      </c>
      <c r="AA270" s="654"/>
      <c r="AB270" s="637" t="s">
        <v>1517</v>
      </c>
      <c r="AC270" s="895">
        <v>26218</v>
      </c>
      <c r="AD270" s="637" t="s">
        <v>1553</v>
      </c>
      <c r="AE270" s="653">
        <v>43276</v>
      </c>
      <c r="AF270" s="653">
        <v>43305</v>
      </c>
      <c r="AG270" s="637" t="s">
        <v>1554</v>
      </c>
      <c r="AH270" s="637" t="s">
        <v>648</v>
      </c>
    </row>
    <row r="271" spans="1:34" s="657" customFormat="1" ht="136.5" customHeight="1" x14ac:dyDescent="0.25">
      <c r="A271" s="638">
        <f>+A270+1</f>
        <v>224</v>
      </c>
      <c r="B271" s="632" t="s">
        <v>512</v>
      </c>
      <c r="C271" s="632">
        <v>80101706</v>
      </c>
      <c r="D271" s="634" t="s">
        <v>1491</v>
      </c>
      <c r="E271" s="632" t="s">
        <v>48</v>
      </c>
      <c r="F271" s="632">
        <v>1</v>
      </c>
      <c r="G271" s="844" t="s">
        <v>166</v>
      </c>
      <c r="H271" s="845" t="s">
        <v>639</v>
      </c>
      <c r="I271" s="632" t="s">
        <v>61</v>
      </c>
      <c r="J271" s="632" t="s">
        <v>66</v>
      </c>
      <c r="K271" s="632" t="s">
        <v>598</v>
      </c>
      <c r="L271" s="635">
        <v>62095000</v>
      </c>
      <c r="M271" s="636">
        <v>62095000</v>
      </c>
      <c r="N271" s="632" t="s">
        <v>51</v>
      </c>
      <c r="O271" s="632" t="s">
        <v>36</v>
      </c>
      <c r="P271" s="632" t="s">
        <v>514</v>
      </c>
      <c r="Q271" s="649"/>
      <c r="R271" s="637" t="s">
        <v>1590</v>
      </c>
      <c r="S271" s="637" t="s">
        <v>788</v>
      </c>
      <c r="T271" s="653">
        <v>43294</v>
      </c>
      <c r="U271" s="637" t="s">
        <v>1591</v>
      </c>
      <c r="V271" s="637" t="s">
        <v>659</v>
      </c>
      <c r="W271" s="654">
        <v>62095000</v>
      </c>
      <c r="X271" s="654"/>
      <c r="Y271" s="654">
        <v>62095000</v>
      </c>
      <c r="Z271" s="654">
        <v>62095000</v>
      </c>
      <c r="AA271" s="654"/>
      <c r="AB271" s="637" t="s">
        <v>1592</v>
      </c>
      <c r="AC271" s="895"/>
      <c r="AD271" s="637" t="s">
        <v>1593</v>
      </c>
      <c r="AE271" s="653">
        <v>43294</v>
      </c>
      <c r="AF271" s="653">
        <v>43455</v>
      </c>
      <c r="AG271" s="637" t="s">
        <v>791</v>
      </c>
      <c r="AH271" s="637" t="s">
        <v>792</v>
      </c>
    </row>
    <row r="272" spans="1:34" s="657" customFormat="1" ht="114" customHeight="1" x14ac:dyDescent="0.25">
      <c r="A272" s="638">
        <f t="shared" ref="A272:A323" si="24">+A271+1</f>
        <v>225</v>
      </c>
      <c r="B272" s="632" t="s">
        <v>512</v>
      </c>
      <c r="C272" s="632">
        <v>80101706</v>
      </c>
      <c r="D272" s="634" t="s">
        <v>1491</v>
      </c>
      <c r="E272" s="632" t="s">
        <v>48</v>
      </c>
      <c r="F272" s="632">
        <v>1</v>
      </c>
      <c r="G272" s="844" t="s">
        <v>166</v>
      </c>
      <c r="H272" s="845">
        <v>5.4666666666666668</v>
      </c>
      <c r="I272" s="632" t="s">
        <v>61</v>
      </c>
      <c r="J272" s="632" t="s">
        <v>66</v>
      </c>
      <c r="K272" s="632" t="s">
        <v>598</v>
      </c>
      <c r="L272" s="635">
        <v>27377067</v>
      </c>
      <c r="M272" s="636">
        <f>+L272</f>
        <v>27377067</v>
      </c>
      <c r="N272" s="632" t="s">
        <v>51</v>
      </c>
      <c r="O272" s="632" t="s">
        <v>36</v>
      </c>
      <c r="P272" s="632" t="s">
        <v>514</v>
      </c>
      <c r="Q272" s="649"/>
      <c r="R272" s="637" t="s">
        <v>1594</v>
      </c>
      <c r="S272" s="637" t="s">
        <v>794</v>
      </c>
      <c r="T272" s="653">
        <v>43294</v>
      </c>
      <c r="U272" s="637" t="s">
        <v>1595</v>
      </c>
      <c r="V272" s="637" t="s">
        <v>659</v>
      </c>
      <c r="W272" s="654">
        <v>27377067</v>
      </c>
      <c r="X272" s="654"/>
      <c r="Y272" s="654">
        <v>27377067</v>
      </c>
      <c r="Z272" s="654">
        <v>27377067</v>
      </c>
      <c r="AA272" s="654"/>
      <c r="AB272" s="637" t="s">
        <v>1596</v>
      </c>
      <c r="AC272" s="895">
        <v>29318</v>
      </c>
      <c r="AD272" s="637" t="s">
        <v>1593</v>
      </c>
      <c r="AE272" s="653">
        <v>43294</v>
      </c>
      <c r="AF272" s="653">
        <v>43455</v>
      </c>
      <c r="AG272" s="637" t="s">
        <v>1055</v>
      </c>
      <c r="AH272" s="637" t="s">
        <v>792</v>
      </c>
    </row>
    <row r="273" spans="1:34" s="657" customFormat="1" ht="132.94999999999999" customHeight="1" x14ac:dyDescent="0.25">
      <c r="A273" s="638">
        <f t="shared" si="24"/>
        <v>226</v>
      </c>
      <c r="B273" s="632" t="s">
        <v>512</v>
      </c>
      <c r="C273" s="632">
        <v>80101706</v>
      </c>
      <c r="D273" s="634" t="s">
        <v>1491</v>
      </c>
      <c r="E273" s="632" t="s">
        <v>48</v>
      </c>
      <c r="F273" s="632">
        <v>1</v>
      </c>
      <c r="G273" s="844" t="s">
        <v>166</v>
      </c>
      <c r="H273" s="845">
        <v>5.4666666666666668</v>
      </c>
      <c r="I273" s="632" t="s">
        <v>61</v>
      </c>
      <c r="J273" s="632" t="s">
        <v>66</v>
      </c>
      <c r="K273" s="632" t="s">
        <v>598</v>
      </c>
      <c r="L273" s="635">
        <v>39174133</v>
      </c>
      <c r="M273" s="636">
        <f t="shared" ref="M273:M300" si="25">+L273</f>
        <v>39174133</v>
      </c>
      <c r="N273" s="632" t="s">
        <v>51</v>
      </c>
      <c r="O273" s="632" t="s">
        <v>36</v>
      </c>
      <c r="P273" s="632" t="s">
        <v>514</v>
      </c>
      <c r="Q273" s="649"/>
      <c r="R273" s="637" t="s">
        <v>1597</v>
      </c>
      <c r="S273" s="637" t="s">
        <v>802</v>
      </c>
      <c r="T273" s="653">
        <v>43300</v>
      </c>
      <c r="U273" s="637" t="s">
        <v>1598</v>
      </c>
      <c r="V273" s="637" t="s">
        <v>659</v>
      </c>
      <c r="W273" s="654">
        <v>39174133</v>
      </c>
      <c r="X273" s="654"/>
      <c r="Y273" s="654">
        <v>39174133</v>
      </c>
      <c r="Z273" s="654">
        <v>39174133</v>
      </c>
      <c r="AA273" s="654"/>
      <c r="AB273" s="637" t="s">
        <v>1599</v>
      </c>
      <c r="AC273" s="895">
        <v>29618</v>
      </c>
      <c r="AD273" s="637" t="s">
        <v>1593</v>
      </c>
      <c r="AE273" s="653">
        <v>43304</v>
      </c>
      <c r="AF273" s="653">
        <v>43455</v>
      </c>
      <c r="AG273" s="637" t="s">
        <v>1055</v>
      </c>
      <c r="AH273" s="637" t="s">
        <v>792</v>
      </c>
    </row>
    <row r="274" spans="1:34" s="657" customFormat="1" ht="152.1" customHeight="1" x14ac:dyDescent="0.25">
      <c r="A274" s="638">
        <f t="shared" si="24"/>
        <v>227</v>
      </c>
      <c r="B274" s="632" t="s">
        <v>512</v>
      </c>
      <c r="C274" s="632">
        <v>80101706</v>
      </c>
      <c r="D274" s="634" t="s">
        <v>1491</v>
      </c>
      <c r="E274" s="632" t="s">
        <v>48</v>
      </c>
      <c r="F274" s="632">
        <v>1</v>
      </c>
      <c r="G274" s="844" t="s">
        <v>166</v>
      </c>
      <c r="H274" s="845">
        <v>5.3</v>
      </c>
      <c r="I274" s="632" t="s">
        <v>61</v>
      </c>
      <c r="J274" s="632" t="s">
        <v>66</v>
      </c>
      <c r="K274" s="632" t="s">
        <v>598</v>
      </c>
      <c r="L274" s="635">
        <v>47700000</v>
      </c>
      <c r="M274" s="636">
        <f t="shared" si="25"/>
        <v>47700000</v>
      </c>
      <c r="N274" s="632" t="s">
        <v>51</v>
      </c>
      <c r="O274" s="632" t="s">
        <v>36</v>
      </c>
      <c r="P274" s="632" t="s">
        <v>514</v>
      </c>
      <c r="Q274" s="649"/>
      <c r="R274" s="637" t="s">
        <v>1600</v>
      </c>
      <c r="S274" s="637" t="s">
        <v>798</v>
      </c>
      <c r="T274" s="653">
        <v>43308</v>
      </c>
      <c r="U274" s="637" t="s">
        <v>1601</v>
      </c>
      <c r="V274" s="637" t="s">
        <v>659</v>
      </c>
      <c r="W274" s="654">
        <v>45000000</v>
      </c>
      <c r="X274" s="654">
        <v>0</v>
      </c>
      <c r="Y274" s="654">
        <v>45000000</v>
      </c>
      <c r="Z274" s="654">
        <v>45000000</v>
      </c>
      <c r="AA274" s="654"/>
      <c r="AB274" s="637" t="s">
        <v>723</v>
      </c>
      <c r="AC274" s="895">
        <v>29718</v>
      </c>
      <c r="AD274" s="637" t="s">
        <v>1602</v>
      </c>
      <c r="AE274" s="653">
        <v>43311</v>
      </c>
      <c r="AF274" s="653">
        <v>43463</v>
      </c>
      <c r="AG274" s="637" t="s">
        <v>1603</v>
      </c>
      <c r="AH274" s="637" t="s">
        <v>792</v>
      </c>
    </row>
    <row r="275" spans="1:34" s="657" customFormat="1" ht="132.94999999999999" customHeight="1" x14ac:dyDescent="0.25">
      <c r="A275" s="638">
        <f t="shared" si="24"/>
        <v>228</v>
      </c>
      <c r="B275" s="632" t="s">
        <v>512</v>
      </c>
      <c r="C275" s="632">
        <v>80101706</v>
      </c>
      <c r="D275" s="634" t="s">
        <v>1491</v>
      </c>
      <c r="E275" s="632" t="s">
        <v>48</v>
      </c>
      <c r="F275" s="632">
        <v>1</v>
      </c>
      <c r="G275" s="844" t="s">
        <v>166</v>
      </c>
      <c r="H275" s="845">
        <v>5.4333333333333336</v>
      </c>
      <c r="I275" s="632" t="s">
        <v>61</v>
      </c>
      <c r="J275" s="632" t="s">
        <v>66</v>
      </c>
      <c r="K275" s="632" t="s">
        <v>598</v>
      </c>
      <c r="L275" s="635">
        <v>15213333</v>
      </c>
      <c r="M275" s="636">
        <f t="shared" si="25"/>
        <v>15213333</v>
      </c>
      <c r="N275" s="632" t="s">
        <v>51</v>
      </c>
      <c r="O275" s="632" t="s">
        <v>36</v>
      </c>
      <c r="P275" s="632" t="s">
        <v>514</v>
      </c>
      <c r="Q275" s="649"/>
      <c r="R275" s="637" t="s">
        <v>1604</v>
      </c>
      <c r="S275" s="637" t="s">
        <v>806</v>
      </c>
      <c r="T275" s="653">
        <v>43300</v>
      </c>
      <c r="U275" s="637" t="s">
        <v>1605</v>
      </c>
      <c r="V275" s="637" t="s">
        <v>659</v>
      </c>
      <c r="W275" s="654">
        <v>15213333</v>
      </c>
      <c r="X275" s="654"/>
      <c r="Y275" s="654">
        <v>15213333</v>
      </c>
      <c r="Z275" s="654">
        <v>15213333</v>
      </c>
      <c r="AA275" s="654"/>
      <c r="AB275" s="637" t="s">
        <v>1606</v>
      </c>
      <c r="AC275" s="895">
        <v>29618</v>
      </c>
      <c r="AD275" s="637" t="s">
        <v>1593</v>
      </c>
      <c r="AE275" s="653">
        <v>43305</v>
      </c>
      <c r="AF275" s="653">
        <v>43455</v>
      </c>
      <c r="AG275" s="637" t="s">
        <v>1607</v>
      </c>
      <c r="AH275" s="637" t="s">
        <v>810</v>
      </c>
    </row>
    <row r="276" spans="1:34" s="657" customFormat="1" ht="152.1" customHeight="1" x14ac:dyDescent="0.25">
      <c r="A276" s="638">
        <f t="shared" si="24"/>
        <v>229</v>
      </c>
      <c r="B276" s="632" t="s">
        <v>170</v>
      </c>
      <c r="C276" s="632">
        <v>80101706</v>
      </c>
      <c r="D276" s="634" t="s">
        <v>1492</v>
      </c>
      <c r="E276" s="632" t="s">
        <v>48</v>
      </c>
      <c r="F276" s="632">
        <v>1</v>
      </c>
      <c r="G276" s="844" t="s">
        <v>166</v>
      </c>
      <c r="H276" s="845" t="s">
        <v>639</v>
      </c>
      <c r="I276" s="632" t="s">
        <v>61</v>
      </c>
      <c r="J276" s="632" t="s">
        <v>66</v>
      </c>
      <c r="K276" s="632" t="s">
        <v>589</v>
      </c>
      <c r="L276" s="635">
        <v>37590000</v>
      </c>
      <c r="M276" s="636">
        <f t="shared" si="25"/>
        <v>37590000</v>
      </c>
      <c r="N276" s="632" t="s">
        <v>51</v>
      </c>
      <c r="O276" s="632" t="s">
        <v>36</v>
      </c>
      <c r="P276" s="632" t="s">
        <v>516</v>
      </c>
      <c r="Q276" s="649"/>
      <c r="R276" s="637" t="s">
        <v>1561</v>
      </c>
      <c r="S276" s="637" t="s">
        <v>764</v>
      </c>
      <c r="T276" s="653">
        <v>43285</v>
      </c>
      <c r="U276" s="637" t="s">
        <v>1608</v>
      </c>
      <c r="V276" s="637" t="s">
        <v>659</v>
      </c>
      <c r="W276" s="654">
        <v>35700000</v>
      </c>
      <c r="X276" s="654"/>
      <c r="Y276" s="654">
        <v>35700000</v>
      </c>
      <c r="Z276" s="654">
        <v>35700000</v>
      </c>
      <c r="AA276" s="654">
        <f t="shared" ref="AA276:AA277" si="26">Z276-Y276</f>
        <v>0</v>
      </c>
      <c r="AB276" s="637" t="s">
        <v>1609</v>
      </c>
      <c r="AC276" s="637">
        <v>26418</v>
      </c>
      <c r="AD276" s="637" t="s">
        <v>1593</v>
      </c>
      <c r="AE276" s="653">
        <v>43286</v>
      </c>
      <c r="AF276" s="653">
        <v>43455</v>
      </c>
      <c r="AG276" s="637" t="s">
        <v>1610</v>
      </c>
      <c r="AH276" s="637" t="s">
        <v>768</v>
      </c>
    </row>
    <row r="277" spans="1:34" s="657" customFormat="1" ht="92.1" customHeight="1" x14ac:dyDescent="0.25">
      <c r="A277" s="638">
        <f t="shared" si="24"/>
        <v>230</v>
      </c>
      <c r="B277" s="632" t="s">
        <v>170</v>
      </c>
      <c r="C277" s="632">
        <v>80101706</v>
      </c>
      <c r="D277" s="634" t="s">
        <v>1492</v>
      </c>
      <c r="E277" s="632" t="s">
        <v>48</v>
      </c>
      <c r="F277" s="632">
        <v>1</v>
      </c>
      <c r="G277" s="844" t="s">
        <v>166</v>
      </c>
      <c r="H277" s="845">
        <v>5.2</v>
      </c>
      <c r="I277" s="632" t="s">
        <v>61</v>
      </c>
      <c r="J277" s="632" t="s">
        <v>66</v>
      </c>
      <c r="K277" s="632" t="s">
        <v>589</v>
      </c>
      <c r="L277" s="635">
        <v>33800000</v>
      </c>
      <c r="M277" s="636">
        <f t="shared" si="25"/>
        <v>33800000</v>
      </c>
      <c r="N277" s="632" t="s">
        <v>51</v>
      </c>
      <c r="O277" s="632" t="s">
        <v>36</v>
      </c>
      <c r="P277" s="632" t="s">
        <v>516</v>
      </c>
      <c r="Q277" s="649"/>
      <c r="R277" s="637" t="s">
        <v>1773</v>
      </c>
      <c r="S277" s="637" t="s">
        <v>1016</v>
      </c>
      <c r="T277" s="653">
        <v>43292</v>
      </c>
      <c r="U277" s="637" t="s">
        <v>1774</v>
      </c>
      <c r="V277" s="637" t="s">
        <v>659</v>
      </c>
      <c r="W277" s="654">
        <v>26000000</v>
      </c>
      <c r="X277" s="654"/>
      <c r="Y277" s="654">
        <v>26000000</v>
      </c>
      <c r="Z277" s="654">
        <v>26000000</v>
      </c>
      <c r="AA277" s="654">
        <f t="shared" si="26"/>
        <v>0</v>
      </c>
      <c r="AB277" s="637" t="s">
        <v>1775</v>
      </c>
      <c r="AC277" s="637">
        <v>26518</v>
      </c>
      <c r="AD277" s="637" t="s">
        <v>1776</v>
      </c>
      <c r="AE277" s="653">
        <v>43328</v>
      </c>
      <c r="AF277" s="653">
        <v>43449</v>
      </c>
      <c r="AG277" s="637" t="s">
        <v>1777</v>
      </c>
      <c r="AH277" s="637" t="s">
        <v>768</v>
      </c>
    </row>
    <row r="278" spans="1:34" s="657" customFormat="1" ht="92.1" customHeight="1" x14ac:dyDescent="0.25">
      <c r="A278" s="638">
        <f t="shared" si="24"/>
        <v>231</v>
      </c>
      <c r="B278" s="632" t="s">
        <v>170</v>
      </c>
      <c r="C278" s="632">
        <v>80101706</v>
      </c>
      <c r="D278" s="634" t="s">
        <v>1492</v>
      </c>
      <c r="E278" s="632" t="s">
        <v>48</v>
      </c>
      <c r="F278" s="632">
        <v>1</v>
      </c>
      <c r="G278" s="844" t="s">
        <v>166</v>
      </c>
      <c r="H278" s="845">
        <v>4.7333333333333334</v>
      </c>
      <c r="I278" s="632" t="s">
        <v>61</v>
      </c>
      <c r="J278" s="632" t="s">
        <v>66</v>
      </c>
      <c r="K278" s="632" t="s">
        <v>1504</v>
      </c>
      <c r="L278" s="635">
        <v>28400000</v>
      </c>
      <c r="M278" s="636">
        <f t="shared" si="25"/>
        <v>28400000</v>
      </c>
      <c r="N278" s="632" t="s">
        <v>51</v>
      </c>
      <c r="O278" s="632" t="s">
        <v>36</v>
      </c>
      <c r="P278" s="632" t="s">
        <v>516</v>
      </c>
      <c r="Q278" s="649"/>
      <c r="R278" s="903" t="s">
        <v>1778</v>
      </c>
      <c r="S278" s="903" t="s">
        <v>1779</v>
      </c>
      <c r="T278" s="653">
        <v>43318</v>
      </c>
      <c r="U278" s="637" t="s">
        <v>1780</v>
      </c>
      <c r="V278" s="637" t="s">
        <v>659</v>
      </c>
      <c r="W278" s="654">
        <v>27000000</v>
      </c>
      <c r="X278" s="654"/>
      <c r="Y278" s="654">
        <v>27000000</v>
      </c>
      <c r="Z278" s="654">
        <v>27000000</v>
      </c>
      <c r="AA278" s="654"/>
      <c r="AB278" s="637" t="s">
        <v>1781</v>
      </c>
      <c r="AC278" s="637">
        <v>33618</v>
      </c>
      <c r="AD278" s="637"/>
      <c r="AE278" s="653">
        <v>43321</v>
      </c>
      <c r="AF278" s="653">
        <v>43455</v>
      </c>
      <c r="AG278" s="637" t="s">
        <v>1777</v>
      </c>
      <c r="AH278" s="637" t="s">
        <v>768</v>
      </c>
    </row>
    <row r="279" spans="1:34" s="657" customFormat="1" ht="152.1" customHeight="1" x14ac:dyDescent="0.25">
      <c r="A279" s="638">
        <f t="shared" si="24"/>
        <v>232</v>
      </c>
      <c r="B279" s="632" t="s">
        <v>1488</v>
      </c>
      <c r="C279" s="632">
        <v>80101706</v>
      </c>
      <c r="D279" s="634" t="s">
        <v>1493</v>
      </c>
      <c r="E279" s="632" t="s">
        <v>48</v>
      </c>
      <c r="F279" s="632">
        <v>1</v>
      </c>
      <c r="G279" s="844" t="s">
        <v>166</v>
      </c>
      <c r="H279" s="845">
        <v>5.3666666666666663</v>
      </c>
      <c r="I279" s="632" t="s">
        <v>61</v>
      </c>
      <c r="J279" s="632" t="s">
        <v>66</v>
      </c>
      <c r="K279" s="632" t="s">
        <v>589</v>
      </c>
      <c r="L279" s="635">
        <v>28073033</v>
      </c>
      <c r="M279" s="636">
        <f t="shared" si="25"/>
        <v>28073033</v>
      </c>
      <c r="N279" s="632" t="s">
        <v>51</v>
      </c>
      <c r="O279" s="632" t="s">
        <v>36</v>
      </c>
      <c r="P279" s="632" t="s">
        <v>1502</v>
      </c>
      <c r="Q279" s="649"/>
      <c r="R279" s="637" t="s">
        <v>1611</v>
      </c>
      <c r="S279" s="637" t="s">
        <v>713</v>
      </c>
      <c r="T279" s="653">
        <v>43292</v>
      </c>
      <c r="U279" s="637" t="s">
        <v>1612</v>
      </c>
      <c r="V279" s="637" t="s">
        <v>659</v>
      </c>
      <c r="W279" s="654">
        <v>28073033</v>
      </c>
      <c r="X279" s="654"/>
      <c r="Y279" s="654">
        <v>28073033</v>
      </c>
      <c r="Z279" s="654">
        <v>28073033</v>
      </c>
      <c r="AA279" s="654">
        <f t="shared" ref="AA279:AA285" si="27">Z279-Y279</f>
        <v>0</v>
      </c>
      <c r="AB279" s="637" t="s">
        <v>1613</v>
      </c>
      <c r="AC279" s="637">
        <v>26618</v>
      </c>
      <c r="AD279" s="637" t="s">
        <v>1593</v>
      </c>
      <c r="AE279" s="653">
        <v>43292</v>
      </c>
      <c r="AF279" s="653">
        <v>43455</v>
      </c>
      <c r="AG279" s="637" t="s">
        <v>1614</v>
      </c>
      <c r="AH279" s="637" t="s">
        <v>816</v>
      </c>
    </row>
    <row r="280" spans="1:34" s="657" customFormat="1" ht="189.95" customHeight="1" x14ac:dyDescent="0.25">
      <c r="A280" s="638">
        <f t="shared" si="24"/>
        <v>233</v>
      </c>
      <c r="B280" s="632" t="s">
        <v>1488</v>
      </c>
      <c r="C280" s="632">
        <v>80101706</v>
      </c>
      <c r="D280" s="634" t="s">
        <v>1493</v>
      </c>
      <c r="E280" s="632" t="s">
        <v>48</v>
      </c>
      <c r="F280" s="632">
        <v>1</v>
      </c>
      <c r="G280" s="844" t="s">
        <v>166</v>
      </c>
      <c r="H280" s="845" t="s">
        <v>639</v>
      </c>
      <c r="I280" s="632" t="s">
        <v>61</v>
      </c>
      <c r="J280" s="632" t="s">
        <v>66</v>
      </c>
      <c r="K280" s="632" t="s">
        <v>589</v>
      </c>
      <c r="L280" s="635">
        <v>10944933</v>
      </c>
      <c r="M280" s="636">
        <f t="shared" si="25"/>
        <v>10944933</v>
      </c>
      <c r="N280" s="632" t="s">
        <v>51</v>
      </c>
      <c r="O280" s="632" t="s">
        <v>36</v>
      </c>
      <c r="P280" s="632" t="s">
        <v>1502</v>
      </c>
      <c r="Q280" s="649"/>
      <c r="R280" s="637" t="s">
        <v>1615</v>
      </c>
      <c r="S280" s="637" t="s">
        <v>1616</v>
      </c>
      <c r="T280" s="653">
        <v>43292</v>
      </c>
      <c r="U280" s="637" t="s">
        <v>1617</v>
      </c>
      <c r="V280" s="637" t="s">
        <v>666</v>
      </c>
      <c r="W280" s="654">
        <v>10244966</v>
      </c>
      <c r="X280" s="654"/>
      <c r="Y280" s="654">
        <v>10244966</v>
      </c>
      <c r="Z280" s="654">
        <v>10244966</v>
      </c>
      <c r="AA280" s="654">
        <f t="shared" si="27"/>
        <v>0</v>
      </c>
      <c r="AB280" s="637" t="s">
        <v>1618</v>
      </c>
      <c r="AC280" s="637">
        <v>26718</v>
      </c>
      <c r="AD280" s="637" t="s">
        <v>1593</v>
      </c>
      <c r="AE280" s="653">
        <v>43294</v>
      </c>
      <c r="AF280" s="653">
        <v>43455</v>
      </c>
      <c r="AG280" s="637" t="s">
        <v>1619</v>
      </c>
      <c r="AH280" s="637" t="s">
        <v>816</v>
      </c>
    </row>
    <row r="281" spans="1:34" s="721" customFormat="1" ht="138" customHeight="1" x14ac:dyDescent="0.25">
      <c r="A281" s="639">
        <f t="shared" si="24"/>
        <v>234</v>
      </c>
      <c r="B281" s="640" t="s">
        <v>825</v>
      </c>
      <c r="C281" s="640">
        <v>80101706</v>
      </c>
      <c r="D281" s="642" t="s">
        <v>1494</v>
      </c>
      <c r="E281" s="640" t="s">
        <v>48</v>
      </c>
      <c r="F281" s="640">
        <v>1</v>
      </c>
      <c r="G281" s="643" t="s">
        <v>166</v>
      </c>
      <c r="H281" s="644">
        <v>5.4333333333333336</v>
      </c>
      <c r="I281" s="640" t="s">
        <v>61</v>
      </c>
      <c r="J281" s="640" t="s">
        <v>66</v>
      </c>
      <c r="K281" s="640" t="s">
        <v>589</v>
      </c>
      <c r="L281" s="645"/>
      <c r="M281" s="646"/>
      <c r="N281" s="640" t="s">
        <v>51</v>
      </c>
      <c r="O281" s="640" t="s">
        <v>36</v>
      </c>
      <c r="P281" s="640" t="s">
        <v>535</v>
      </c>
      <c r="Q281" s="883"/>
      <c r="R281" s="700"/>
      <c r="S281" s="700"/>
      <c r="T281" s="701"/>
      <c r="U281" s="700"/>
      <c r="V281" s="700"/>
      <c r="W281" s="702"/>
      <c r="X281" s="654"/>
      <c r="Y281" s="702"/>
      <c r="Z281" s="702"/>
      <c r="AA281" s="654">
        <f t="shared" si="27"/>
        <v>0</v>
      </c>
      <c r="AB281" s="700"/>
      <c r="AC281" s="700"/>
      <c r="AD281" s="701"/>
      <c r="AE281" s="701"/>
      <c r="AF281" s="700"/>
      <c r="AG281" s="700"/>
      <c r="AH281" s="700"/>
    </row>
    <row r="282" spans="1:34" s="657" customFormat="1" ht="95.1" customHeight="1" x14ac:dyDescent="0.25">
      <c r="A282" s="638">
        <f t="shared" si="24"/>
        <v>235</v>
      </c>
      <c r="B282" s="632" t="s">
        <v>825</v>
      </c>
      <c r="C282" s="632">
        <v>80101706</v>
      </c>
      <c r="D282" s="634" t="s">
        <v>1494</v>
      </c>
      <c r="E282" s="632" t="s">
        <v>48</v>
      </c>
      <c r="F282" s="632">
        <v>1</v>
      </c>
      <c r="G282" s="844" t="s">
        <v>166</v>
      </c>
      <c r="H282" s="845">
        <v>5.4333333333333336</v>
      </c>
      <c r="I282" s="632" t="s">
        <v>61</v>
      </c>
      <c r="J282" s="632" t="s">
        <v>66</v>
      </c>
      <c r="K282" s="632" t="s">
        <v>589</v>
      </c>
      <c r="L282" s="635">
        <v>27166667</v>
      </c>
      <c r="M282" s="636">
        <f t="shared" si="25"/>
        <v>27166667</v>
      </c>
      <c r="N282" s="632" t="s">
        <v>51</v>
      </c>
      <c r="O282" s="632" t="s">
        <v>36</v>
      </c>
      <c r="P282" s="632" t="s">
        <v>535</v>
      </c>
      <c r="Q282" s="649"/>
      <c r="R282" s="637" t="s">
        <v>1624</v>
      </c>
      <c r="S282" s="637" t="s">
        <v>1625</v>
      </c>
      <c r="T282" s="653">
        <v>43290</v>
      </c>
      <c r="U282" s="637" t="s">
        <v>1626</v>
      </c>
      <c r="V282" s="637" t="s">
        <v>659</v>
      </c>
      <c r="W282" s="654">
        <v>28500000</v>
      </c>
      <c r="X282" s="654">
        <v>9500000</v>
      </c>
      <c r="Y282" s="654">
        <v>38000000</v>
      </c>
      <c r="Z282" s="654">
        <v>38000000</v>
      </c>
      <c r="AA282" s="654">
        <f t="shared" si="27"/>
        <v>0</v>
      </c>
      <c r="AB282" s="637" t="s">
        <v>1627</v>
      </c>
      <c r="AC282" s="637">
        <v>26918</v>
      </c>
      <c r="AD282" s="653" t="s">
        <v>910</v>
      </c>
      <c r="AE282" s="653">
        <v>43290</v>
      </c>
      <c r="AF282" s="653">
        <v>43381</v>
      </c>
      <c r="AG282" s="637" t="s">
        <v>1614</v>
      </c>
      <c r="AH282" s="637" t="s">
        <v>816</v>
      </c>
    </row>
    <row r="283" spans="1:34" s="649" customFormat="1" ht="92.1" customHeight="1" x14ac:dyDescent="0.25">
      <c r="A283" s="638">
        <f t="shared" si="24"/>
        <v>236</v>
      </c>
      <c r="B283" s="632" t="s">
        <v>825</v>
      </c>
      <c r="C283" s="632">
        <v>80101706</v>
      </c>
      <c r="D283" s="634" t="s">
        <v>1494</v>
      </c>
      <c r="E283" s="632" t="s">
        <v>48</v>
      </c>
      <c r="F283" s="632">
        <v>1</v>
      </c>
      <c r="G283" s="844" t="s">
        <v>166</v>
      </c>
      <c r="H283" s="845" t="s">
        <v>639</v>
      </c>
      <c r="I283" s="632" t="s">
        <v>61</v>
      </c>
      <c r="J283" s="632" t="s">
        <v>66</v>
      </c>
      <c r="K283" s="632" t="s">
        <v>589</v>
      </c>
      <c r="L283" s="635">
        <v>44450533</v>
      </c>
      <c r="M283" s="636">
        <f t="shared" si="25"/>
        <v>44450533</v>
      </c>
      <c r="N283" s="632" t="s">
        <v>51</v>
      </c>
      <c r="O283" s="632" t="s">
        <v>36</v>
      </c>
      <c r="P283" s="632" t="s">
        <v>535</v>
      </c>
      <c r="R283" s="637" t="s">
        <v>1620</v>
      </c>
      <c r="S283" s="637" t="s">
        <v>821</v>
      </c>
      <c r="T283" s="653">
        <v>43294</v>
      </c>
      <c r="U283" s="637" t="s">
        <v>1621</v>
      </c>
      <c r="V283" s="637" t="s">
        <v>659</v>
      </c>
      <c r="W283" s="654">
        <v>26834000</v>
      </c>
      <c r="X283" s="654"/>
      <c r="Y283" s="654">
        <v>26834000</v>
      </c>
      <c r="Z283" s="654">
        <v>26834000</v>
      </c>
      <c r="AA283" s="654">
        <f t="shared" si="27"/>
        <v>0</v>
      </c>
      <c r="AB283" s="637" t="s">
        <v>1622</v>
      </c>
      <c r="AC283" s="637">
        <v>27018</v>
      </c>
      <c r="AD283" s="653" t="s">
        <v>1593</v>
      </c>
      <c r="AE283" s="653">
        <v>43297</v>
      </c>
      <c r="AF283" s="653">
        <v>43455</v>
      </c>
      <c r="AG283" s="637" t="s">
        <v>1623</v>
      </c>
      <c r="AH283" s="637" t="s">
        <v>825</v>
      </c>
    </row>
    <row r="284" spans="1:34" s="657" customFormat="1" ht="171" customHeight="1" x14ac:dyDescent="0.25">
      <c r="A284" s="638">
        <f t="shared" si="24"/>
        <v>237</v>
      </c>
      <c r="B284" s="632" t="s">
        <v>830</v>
      </c>
      <c r="C284" s="632">
        <v>80101706</v>
      </c>
      <c r="D284" s="634" t="s">
        <v>1495</v>
      </c>
      <c r="E284" s="632" t="s">
        <v>48</v>
      </c>
      <c r="F284" s="632">
        <v>1</v>
      </c>
      <c r="G284" s="844" t="s">
        <v>166</v>
      </c>
      <c r="H284" s="845" t="s">
        <v>639</v>
      </c>
      <c r="I284" s="632" t="s">
        <v>61</v>
      </c>
      <c r="J284" s="632" t="s">
        <v>66</v>
      </c>
      <c r="K284" s="632" t="s">
        <v>589</v>
      </c>
      <c r="L284" s="635">
        <v>21422500</v>
      </c>
      <c r="M284" s="636">
        <f t="shared" si="25"/>
        <v>21422500</v>
      </c>
      <c r="N284" s="632" t="s">
        <v>51</v>
      </c>
      <c r="O284" s="632" t="s">
        <v>36</v>
      </c>
      <c r="P284" s="632" t="s">
        <v>522</v>
      </c>
      <c r="Q284" s="649"/>
      <c r="R284" s="637" t="s">
        <v>1628</v>
      </c>
      <c r="S284" s="637" t="s">
        <v>271</v>
      </c>
      <c r="T284" s="653">
        <v>43294</v>
      </c>
      <c r="U284" s="637" t="s">
        <v>1629</v>
      </c>
      <c r="V284" s="637" t="s">
        <v>659</v>
      </c>
      <c r="W284" s="654">
        <v>26834000</v>
      </c>
      <c r="X284" s="654"/>
      <c r="Y284" s="654">
        <v>26834000</v>
      </c>
      <c r="Z284" s="654">
        <v>26834000</v>
      </c>
      <c r="AA284" s="654">
        <f t="shared" si="27"/>
        <v>0</v>
      </c>
      <c r="AB284" s="637" t="s">
        <v>1622</v>
      </c>
      <c r="AC284" s="637">
        <v>27118</v>
      </c>
      <c r="AD284" s="653" t="s">
        <v>1593</v>
      </c>
      <c r="AE284" s="653">
        <v>43297</v>
      </c>
      <c r="AF284" s="653">
        <v>43455</v>
      </c>
      <c r="AG284" s="637" t="s">
        <v>1623</v>
      </c>
      <c r="AH284" s="637" t="s">
        <v>825</v>
      </c>
    </row>
    <row r="285" spans="1:34" s="721" customFormat="1" ht="138.75" customHeight="1" x14ac:dyDescent="0.25">
      <c r="A285" s="639">
        <f t="shared" si="24"/>
        <v>238</v>
      </c>
      <c r="B285" s="640" t="s">
        <v>830</v>
      </c>
      <c r="C285" s="640">
        <v>80101706</v>
      </c>
      <c r="D285" s="642" t="s">
        <v>1495</v>
      </c>
      <c r="E285" s="640" t="s">
        <v>48</v>
      </c>
      <c r="F285" s="640">
        <v>1</v>
      </c>
      <c r="G285" s="643" t="s">
        <v>166</v>
      </c>
      <c r="H285" s="644">
        <v>5.4666666666666668</v>
      </c>
      <c r="I285" s="640" t="s">
        <v>61</v>
      </c>
      <c r="J285" s="640" t="s">
        <v>66</v>
      </c>
      <c r="K285" s="640" t="s">
        <v>589</v>
      </c>
      <c r="L285" s="645"/>
      <c r="M285" s="646"/>
      <c r="N285" s="640" t="s">
        <v>51</v>
      </c>
      <c r="O285" s="640" t="s">
        <v>36</v>
      </c>
      <c r="P285" s="640" t="s">
        <v>522</v>
      </c>
      <c r="Q285" s="883"/>
      <c r="R285" s="904"/>
      <c r="S285" s="905"/>
      <c r="T285" s="905"/>
      <c r="U285" s="905"/>
      <c r="V285" s="905"/>
      <c r="W285" s="702"/>
      <c r="X285" s="654"/>
      <c r="Y285" s="702"/>
      <c r="Z285" s="702"/>
      <c r="AA285" s="654">
        <f t="shared" si="27"/>
        <v>0</v>
      </c>
      <c r="AB285" s="905"/>
      <c r="AC285" s="905"/>
      <c r="AD285" s="905"/>
      <c r="AE285" s="905"/>
      <c r="AF285" s="905"/>
      <c r="AG285" s="905"/>
      <c r="AH285" s="905"/>
    </row>
    <row r="286" spans="1:34" s="657" customFormat="1" ht="209.1" customHeight="1" x14ac:dyDescent="0.25">
      <c r="A286" s="638">
        <f t="shared" si="24"/>
        <v>239</v>
      </c>
      <c r="B286" s="632" t="s">
        <v>1488</v>
      </c>
      <c r="C286" s="632">
        <v>80101706</v>
      </c>
      <c r="D286" s="634" t="s">
        <v>1493</v>
      </c>
      <c r="E286" s="632" t="s">
        <v>48</v>
      </c>
      <c r="F286" s="632">
        <v>1</v>
      </c>
      <c r="G286" s="844" t="s">
        <v>166</v>
      </c>
      <c r="H286" s="845">
        <v>1.9666666666666666</v>
      </c>
      <c r="I286" s="632" t="s">
        <v>61</v>
      </c>
      <c r="J286" s="632" t="s">
        <v>66</v>
      </c>
      <c r="K286" s="632" t="s">
        <v>598</v>
      </c>
      <c r="L286" s="635">
        <v>11800000</v>
      </c>
      <c r="M286" s="636">
        <f t="shared" si="25"/>
        <v>11800000</v>
      </c>
      <c r="N286" s="632" t="s">
        <v>51</v>
      </c>
      <c r="O286" s="632" t="s">
        <v>36</v>
      </c>
      <c r="P286" s="632" t="s">
        <v>1502</v>
      </c>
      <c r="Q286" s="649"/>
      <c r="R286" s="637" t="s">
        <v>1630</v>
      </c>
      <c r="S286" s="637" t="s">
        <v>733</v>
      </c>
      <c r="T286" s="653">
        <v>43293</v>
      </c>
      <c r="U286" s="637" t="s">
        <v>1631</v>
      </c>
      <c r="V286" s="637" t="s">
        <v>659</v>
      </c>
      <c r="W286" s="654">
        <v>12000000</v>
      </c>
      <c r="X286" s="654"/>
      <c r="Y286" s="654">
        <v>12000000</v>
      </c>
      <c r="Z286" s="654">
        <v>12000000</v>
      </c>
      <c r="AA286" s="654"/>
      <c r="AB286" s="637" t="s">
        <v>1632</v>
      </c>
      <c r="AC286" s="637">
        <v>30218</v>
      </c>
      <c r="AD286" s="637" t="s">
        <v>939</v>
      </c>
      <c r="AE286" s="653">
        <v>43294</v>
      </c>
      <c r="AF286" s="653">
        <v>43355</v>
      </c>
      <c r="AG286" s="637" t="s">
        <v>1619</v>
      </c>
      <c r="AH286" s="637" t="s">
        <v>816</v>
      </c>
    </row>
    <row r="287" spans="1:34" s="657" customFormat="1" ht="171" customHeight="1" x14ac:dyDescent="0.25">
      <c r="A287" s="638">
        <f t="shared" si="24"/>
        <v>240</v>
      </c>
      <c r="B287" s="632" t="s">
        <v>1488</v>
      </c>
      <c r="C287" s="632">
        <v>80101706</v>
      </c>
      <c r="D287" s="634" t="s">
        <v>1493</v>
      </c>
      <c r="E287" s="632" t="s">
        <v>48</v>
      </c>
      <c r="F287" s="632">
        <v>1</v>
      </c>
      <c r="G287" s="844" t="s">
        <v>166</v>
      </c>
      <c r="H287" s="845">
        <v>2</v>
      </c>
      <c r="I287" s="632" t="s">
        <v>61</v>
      </c>
      <c r="J287" s="632" t="s">
        <v>66</v>
      </c>
      <c r="K287" s="632" t="s">
        <v>589</v>
      </c>
      <c r="L287" s="635">
        <v>8680000</v>
      </c>
      <c r="M287" s="636">
        <f t="shared" si="25"/>
        <v>8680000</v>
      </c>
      <c r="N287" s="632" t="s">
        <v>51</v>
      </c>
      <c r="O287" s="632" t="s">
        <v>36</v>
      </c>
      <c r="P287" s="632" t="s">
        <v>1502</v>
      </c>
      <c r="Q287" s="649"/>
      <c r="R287" s="637" t="s">
        <v>1633</v>
      </c>
      <c r="S287" s="637" t="s">
        <v>837</v>
      </c>
      <c r="T287" s="653">
        <v>43294</v>
      </c>
      <c r="U287" s="637" t="s">
        <v>1634</v>
      </c>
      <c r="V287" s="637" t="s">
        <v>659</v>
      </c>
      <c r="W287" s="654">
        <v>20643500</v>
      </c>
      <c r="X287" s="654"/>
      <c r="Y287" s="654">
        <v>20643500</v>
      </c>
      <c r="Z287" s="654">
        <v>20643500</v>
      </c>
      <c r="AA287" s="654">
        <f t="shared" ref="AA287:AA294" si="28">Z287-Y287</f>
        <v>0</v>
      </c>
      <c r="AB287" s="637" t="s">
        <v>1635</v>
      </c>
      <c r="AC287" s="637">
        <v>27318</v>
      </c>
      <c r="AD287" s="637" t="s">
        <v>1593</v>
      </c>
      <c r="AE287" s="653">
        <v>43297</v>
      </c>
      <c r="AF287" s="653">
        <v>43455</v>
      </c>
      <c r="AG287" s="637" t="s">
        <v>1196</v>
      </c>
      <c r="AH287" s="637" t="s">
        <v>830</v>
      </c>
    </row>
    <row r="288" spans="1:34" s="657" customFormat="1" ht="189.95" customHeight="1" x14ac:dyDescent="0.25">
      <c r="A288" s="638">
        <f t="shared" si="24"/>
        <v>241</v>
      </c>
      <c r="B288" s="632" t="s">
        <v>1488</v>
      </c>
      <c r="C288" s="632">
        <v>80101706</v>
      </c>
      <c r="D288" s="634" t="s">
        <v>1493</v>
      </c>
      <c r="E288" s="632" t="s">
        <v>48</v>
      </c>
      <c r="F288" s="632">
        <v>1</v>
      </c>
      <c r="G288" s="844" t="s">
        <v>166</v>
      </c>
      <c r="H288" s="845">
        <v>2.4333333333333331</v>
      </c>
      <c r="I288" s="632" t="s">
        <v>61</v>
      </c>
      <c r="J288" s="632" t="s">
        <v>66</v>
      </c>
      <c r="K288" s="632" t="s">
        <v>589</v>
      </c>
      <c r="L288" s="635">
        <v>38955000</v>
      </c>
      <c r="M288" s="636">
        <f t="shared" si="25"/>
        <v>38955000</v>
      </c>
      <c r="N288" s="632" t="s">
        <v>51</v>
      </c>
      <c r="O288" s="632" t="s">
        <v>36</v>
      </c>
      <c r="P288" s="632" t="s">
        <v>1502</v>
      </c>
      <c r="Q288" s="649"/>
      <c r="R288" s="637" t="s">
        <v>1636</v>
      </c>
      <c r="S288" s="637" t="s">
        <v>843</v>
      </c>
      <c r="T288" s="653">
        <v>43294</v>
      </c>
      <c r="U288" s="637" t="s">
        <v>1637</v>
      </c>
      <c r="V288" s="637" t="s">
        <v>659</v>
      </c>
      <c r="W288" s="654">
        <v>38955000</v>
      </c>
      <c r="X288" s="654"/>
      <c r="Y288" s="654">
        <v>38955000</v>
      </c>
      <c r="Z288" s="654">
        <v>38955000</v>
      </c>
      <c r="AA288" s="654">
        <f t="shared" si="28"/>
        <v>0</v>
      </c>
      <c r="AB288" s="637" t="s">
        <v>1638</v>
      </c>
      <c r="AC288" s="637">
        <v>27418</v>
      </c>
      <c r="AD288" s="637" t="s">
        <v>1593</v>
      </c>
      <c r="AE288" s="653">
        <v>43294</v>
      </c>
      <c r="AF288" s="653">
        <v>43455</v>
      </c>
      <c r="AG288" s="637" t="s">
        <v>1196</v>
      </c>
      <c r="AH288" s="637" t="s">
        <v>830</v>
      </c>
    </row>
    <row r="289" spans="1:34" s="657" customFormat="1" ht="132.94999999999999" customHeight="1" x14ac:dyDescent="0.25">
      <c r="A289" s="638">
        <f t="shared" si="24"/>
        <v>242</v>
      </c>
      <c r="B289" s="632" t="s">
        <v>851</v>
      </c>
      <c r="C289" s="632">
        <v>80101706</v>
      </c>
      <c r="D289" s="634" t="s">
        <v>1496</v>
      </c>
      <c r="E289" s="632" t="s">
        <v>48</v>
      </c>
      <c r="F289" s="632">
        <v>1</v>
      </c>
      <c r="G289" s="844" t="s">
        <v>166</v>
      </c>
      <c r="H289" s="845">
        <v>5.4666666666666668</v>
      </c>
      <c r="I289" s="632" t="s">
        <v>61</v>
      </c>
      <c r="J289" s="632" t="s">
        <v>66</v>
      </c>
      <c r="K289" s="632" t="s">
        <v>589</v>
      </c>
      <c r="L289" s="635">
        <v>9211333</v>
      </c>
      <c r="M289" s="636">
        <f t="shared" si="25"/>
        <v>9211333</v>
      </c>
      <c r="N289" s="632" t="s">
        <v>51</v>
      </c>
      <c r="O289" s="632" t="s">
        <v>36</v>
      </c>
      <c r="P289" s="632" t="s">
        <v>524</v>
      </c>
      <c r="Q289" s="649"/>
      <c r="R289" s="637" t="s">
        <v>1639</v>
      </c>
      <c r="S289" s="637" t="s">
        <v>847</v>
      </c>
      <c r="T289" s="653">
        <v>43300</v>
      </c>
      <c r="U289" s="637" t="s">
        <v>1640</v>
      </c>
      <c r="V289" s="637" t="s">
        <v>666</v>
      </c>
      <c r="W289" s="654">
        <v>8705833</v>
      </c>
      <c r="X289" s="654"/>
      <c r="Y289" s="654">
        <v>8705833</v>
      </c>
      <c r="Z289" s="654">
        <v>8705833</v>
      </c>
      <c r="AA289" s="654">
        <f t="shared" si="28"/>
        <v>0</v>
      </c>
      <c r="AB289" s="637" t="s">
        <v>1641</v>
      </c>
      <c r="AC289" s="637">
        <v>27518</v>
      </c>
      <c r="AD289" s="637" t="s">
        <v>1593</v>
      </c>
      <c r="AE289" s="653">
        <v>43305</v>
      </c>
      <c r="AF289" s="653">
        <v>43455</v>
      </c>
      <c r="AG289" s="637" t="s">
        <v>1642</v>
      </c>
      <c r="AH289" s="637" t="s">
        <v>851</v>
      </c>
    </row>
    <row r="290" spans="1:34" s="657" customFormat="1" ht="114.95" customHeight="1" x14ac:dyDescent="0.25">
      <c r="A290" s="638">
        <f t="shared" si="24"/>
        <v>243</v>
      </c>
      <c r="B290" s="632" t="s">
        <v>851</v>
      </c>
      <c r="C290" s="632">
        <v>80101706</v>
      </c>
      <c r="D290" s="634" t="s">
        <v>1496</v>
      </c>
      <c r="E290" s="632" t="s">
        <v>48</v>
      </c>
      <c r="F290" s="632">
        <v>1</v>
      </c>
      <c r="G290" s="844" t="s">
        <v>166</v>
      </c>
      <c r="H290" s="845">
        <v>5.2</v>
      </c>
      <c r="I290" s="632" t="s">
        <v>61</v>
      </c>
      <c r="J290" s="632" t="s">
        <v>66</v>
      </c>
      <c r="K290" s="632" t="s">
        <v>589</v>
      </c>
      <c r="L290" s="635">
        <v>38220000</v>
      </c>
      <c r="M290" s="636">
        <f t="shared" si="25"/>
        <v>38220000</v>
      </c>
      <c r="N290" s="632" t="s">
        <v>51</v>
      </c>
      <c r="O290" s="632" t="s">
        <v>36</v>
      </c>
      <c r="P290" s="632" t="s">
        <v>524</v>
      </c>
      <c r="Q290" s="649"/>
      <c r="R290" s="637" t="s">
        <v>1643</v>
      </c>
      <c r="S290" s="637" t="s">
        <v>857</v>
      </c>
      <c r="T290" s="653">
        <v>43312</v>
      </c>
      <c r="U290" s="637" t="s">
        <v>1644</v>
      </c>
      <c r="V290" s="637" t="s">
        <v>659</v>
      </c>
      <c r="W290" s="654">
        <v>36750000</v>
      </c>
      <c r="X290" s="654"/>
      <c r="Y290" s="654">
        <v>36750000</v>
      </c>
      <c r="Z290" s="654">
        <v>36750000</v>
      </c>
      <c r="AA290" s="654">
        <f t="shared" si="28"/>
        <v>0</v>
      </c>
      <c r="AB290" s="637" t="s">
        <v>859</v>
      </c>
      <c r="AC290" s="637">
        <v>27618</v>
      </c>
      <c r="AD290" s="637" t="s">
        <v>1602</v>
      </c>
      <c r="AE290" s="653">
        <v>43312</v>
      </c>
      <c r="AF290" s="653">
        <v>43464</v>
      </c>
      <c r="AG290" s="637" t="s">
        <v>1076</v>
      </c>
      <c r="AH290" s="637" t="s">
        <v>851</v>
      </c>
    </row>
    <row r="291" spans="1:34" s="657" customFormat="1" ht="132.94999999999999" customHeight="1" x14ac:dyDescent="0.25">
      <c r="A291" s="638">
        <f t="shared" si="24"/>
        <v>244</v>
      </c>
      <c r="B291" s="632" t="s">
        <v>529</v>
      </c>
      <c r="C291" s="632">
        <v>80101706</v>
      </c>
      <c r="D291" s="634" t="s">
        <v>1497</v>
      </c>
      <c r="E291" s="632" t="s">
        <v>48</v>
      </c>
      <c r="F291" s="632">
        <v>1</v>
      </c>
      <c r="G291" s="844" t="s">
        <v>166</v>
      </c>
      <c r="H291" s="845">
        <v>5.4</v>
      </c>
      <c r="I291" s="632" t="s">
        <v>61</v>
      </c>
      <c r="J291" s="632" t="s">
        <v>66</v>
      </c>
      <c r="K291" s="632" t="s">
        <v>589</v>
      </c>
      <c r="L291" s="635">
        <v>22680000</v>
      </c>
      <c r="M291" s="636">
        <f t="shared" si="25"/>
        <v>22680000</v>
      </c>
      <c r="N291" s="632" t="s">
        <v>51</v>
      </c>
      <c r="O291" s="632" t="s">
        <v>36</v>
      </c>
      <c r="P291" s="632" t="s">
        <v>531</v>
      </c>
      <c r="Q291" s="649"/>
      <c r="R291" s="637" t="s">
        <v>1645</v>
      </c>
      <c r="S291" s="637" t="s">
        <v>1646</v>
      </c>
      <c r="T291" s="653">
        <v>43300</v>
      </c>
      <c r="U291" s="637" t="s">
        <v>1647</v>
      </c>
      <c r="V291" s="637" t="s">
        <v>659</v>
      </c>
      <c r="W291" s="654">
        <v>22260000</v>
      </c>
      <c r="X291" s="654"/>
      <c r="Y291" s="654">
        <v>22260000</v>
      </c>
      <c r="Z291" s="654">
        <v>22260000</v>
      </c>
      <c r="AA291" s="654">
        <f t="shared" si="28"/>
        <v>0</v>
      </c>
      <c r="AB291" s="637" t="s">
        <v>1648</v>
      </c>
      <c r="AC291" s="637">
        <v>27718</v>
      </c>
      <c r="AD291" s="637" t="s">
        <v>1593</v>
      </c>
      <c r="AE291" s="653">
        <v>43300</v>
      </c>
      <c r="AF291" s="653">
        <v>43455</v>
      </c>
      <c r="AG291" s="637" t="s">
        <v>1649</v>
      </c>
      <c r="AH291" s="637" t="s">
        <v>529</v>
      </c>
    </row>
    <row r="292" spans="1:34" s="657" customFormat="1" ht="114" customHeight="1" x14ac:dyDescent="0.25">
      <c r="A292" s="638">
        <f t="shared" si="24"/>
        <v>245</v>
      </c>
      <c r="B292" s="632" t="s">
        <v>529</v>
      </c>
      <c r="C292" s="632">
        <v>80101706</v>
      </c>
      <c r="D292" s="634" t="s">
        <v>1497</v>
      </c>
      <c r="E292" s="632" t="s">
        <v>48</v>
      </c>
      <c r="F292" s="632">
        <v>1</v>
      </c>
      <c r="G292" s="844" t="s">
        <v>166</v>
      </c>
      <c r="H292" s="845">
        <v>5.3</v>
      </c>
      <c r="I292" s="632" t="s">
        <v>61</v>
      </c>
      <c r="J292" s="632" t="s">
        <v>66</v>
      </c>
      <c r="K292" s="632" t="s">
        <v>589</v>
      </c>
      <c r="L292" s="635">
        <v>24910000</v>
      </c>
      <c r="M292" s="636">
        <f t="shared" si="25"/>
        <v>24910000</v>
      </c>
      <c r="N292" s="632" t="s">
        <v>51</v>
      </c>
      <c r="O292" s="632" t="s">
        <v>36</v>
      </c>
      <c r="P292" s="632" t="s">
        <v>531</v>
      </c>
      <c r="Q292" s="649"/>
      <c r="R292" s="637" t="s">
        <v>1650</v>
      </c>
      <c r="S292" s="637" t="s">
        <v>1651</v>
      </c>
      <c r="T292" s="653">
        <v>43298</v>
      </c>
      <c r="U292" s="637" t="s">
        <v>1652</v>
      </c>
      <c r="V292" s="637" t="s">
        <v>659</v>
      </c>
      <c r="W292" s="654">
        <v>15213333</v>
      </c>
      <c r="X292" s="654">
        <v>9696667</v>
      </c>
      <c r="Y292" s="654">
        <v>24910000</v>
      </c>
      <c r="Z292" s="654">
        <v>24910000</v>
      </c>
      <c r="AA292" s="654">
        <f t="shared" si="28"/>
        <v>0</v>
      </c>
      <c r="AB292" s="637" t="s">
        <v>1653</v>
      </c>
      <c r="AC292" s="637">
        <v>29618</v>
      </c>
      <c r="AD292" s="637" t="s">
        <v>1593</v>
      </c>
      <c r="AE292" s="653">
        <v>43305</v>
      </c>
      <c r="AF292" s="653">
        <v>43455</v>
      </c>
      <c r="AG292" s="637" t="s">
        <v>809</v>
      </c>
      <c r="AH292" s="637" t="s">
        <v>810</v>
      </c>
    </row>
    <row r="293" spans="1:34" s="657" customFormat="1" ht="132.94999999999999" customHeight="1" x14ac:dyDescent="0.25">
      <c r="A293" s="638">
        <f t="shared" si="24"/>
        <v>246</v>
      </c>
      <c r="B293" s="632" t="s">
        <v>529</v>
      </c>
      <c r="C293" s="632">
        <v>80101706</v>
      </c>
      <c r="D293" s="634" t="s">
        <v>1497</v>
      </c>
      <c r="E293" s="632" t="s">
        <v>48</v>
      </c>
      <c r="F293" s="632">
        <v>1</v>
      </c>
      <c r="G293" s="844" t="s">
        <v>166</v>
      </c>
      <c r="H293" s="845">
        <v>5.2666666666666666</v>
      </c>
      <c r="I293" s="632" t="s">
        <v>61</v>
      </c>
      <c r="J293" s="632" t="s">
        <v>66</v>
      </c>
      <c r="K293" s="632" t="s">
        <v>589</v>
      </c>
      <c r="L293" s="635">
        <v>24753333</v>
      </c>
      <c r="M293" s="636">
        <f t="shared" si="25"/>
        <v>24753333</v>
      </c>
      <c r="N293" s="632" t="s">
        <v>51</v>
      </c>
      <c r="O293" s="632" t="s">
        <v>36</v>
      </c>
      <c r="P293" s="632" t="s">
        <v>531</v>
      </c>
      <c r="Q293" s="649"/>
      <c r="R293" s="637" t="s">
        <v>1654</v>
      </c>
      <c r="S293" s="637" t="s">
        <v>866</v>
      </c>
      <c r="T293" s="653">
        <v>43300</v>
      </c>
      <c r="U293" s="637" t="s">
        <v>1655</v>
      </c>
      <c r="V293" s="637" t="s">
        <v>659</v>
      </c>
      <c r="W293" s="654">
        <v>24440000</v>
      </c>
      <c r="X293" s="654"/>
      <c r="Y293" s="654">
        <v>24440000</v>
      </c>
      <c r="Z293" s="654">
        <v>24440000</v>
      </c>
      <c r="AA293" s="654">
        <f t="shared" si="28"/>
        <v>0</v>
      </c>
      <c r="AB293" s="637" t="s">
        <v>1656</v>
      </c>
      <c r="AC293" s="637">
        <v>27918</v>
      </c>
      <c r="AD293" s="637" t="s">
        <v>1593</v>
      </c>
      <c r="AE293" s="653">
        <v>43304</v>
      </c>
      <c r="AF293" s="653">
        <v>43455</v>
      </c>
      <c r="AG293" s="637" t="s">
        <v>864</v>
      </c>
      <c r="AH293" s="637" t="s">
        <v>529</v>
      </c>
    </row>
    <row r="294" spans="1:34" s="657" customFormat="1" ht="114" customHeight="1" x14ac:dyDescent="0.25">
      <c r="A294" s="638">
        <f t="shared" si="24"/>
        <v>247</v>
      </c>
      <c r="B294" s="632" t="s">
        <v>529</v>
      </c>
      <c r="C294" s="632">
        <v>80101706</v>
      </c>
      <c r="D294" s="634" t="s">
        <v>1497</v>
      </c>
      <c r="E294" s="632" t="s">
        <v>48</v>
      </c>
      <c r="F294" s="632">
        <v>1</v>
      </c>
      <c r="G294" s="844" t="s">
        <v>166</v>
      </c>
      <c r="H294" s="845">
        <v>2</v>
      </c>
      <c r="I294" s="632" t="s">
        <v>61</v>
      </c>
      <c r="J294" s="632" t="s">
        <v>66</v>
      </c>
      <c r="K294" s="632" t="s">
        <v>589</v>
      </c>
      <c r="L294" s="635">
        <v>3818000</v>
      </c>
      <c r="M294" s="636">
        <f t="shared" si="25"/>
        <v>3818000</v>
      </c>
      <c r="N294" s="632" t="s">
        <v>51</v>
      </c>
      <c r="O294" s="632" t="s">
        <v>36</v>
      </c>
      <c r="P294" s="632" t="s">
        <v>531</v>
      </c>
      <c r="Q294" s="649"/>
      <c r="R294" s="637" t="s">
        <v>1657</v>
      </c>
      <c r="S294" s="637" t="s">
        <v>1658</v>
      </c>
      <c r="T294" s="653">
        <v>43290</v>
      </c>
      <c r="U294" s="637" t="s">
        <v>1659</v>
      </c>
      <c r="V294" s="637" t="s">
        <v>666</v>
      </c>
      <c r="W294" s="654">
        <v>3818000</v>
      </c>
      <c r="X294" s="654"/>
      <c r="Y294" s="654">
        <v>3818000</v>
      </c>
      <c r="Z294" s="654">
        <v>3818000</v>
      </c>
      <c r="AA294" s="654">
        <f t="shared" si="28"/>
        <v>0</v>
      </c>
      <c r="AB294" s="637" t="s">
        <v>1660</v>
      </c>
      <c r="AC294" s="637">
        <v>28018</v>
      </c>
      <c r="AD294" s="637" t="s">
        <v>939</v>
      </c>
      <c r="AE294" s="653">
        <v>43292</v>
      </c>
      <c r="AF294" s="653">
        <v>43353</v>
      </c>
      <c r="AG294" s="637" t="s">
        <v>864</v>
      </c>
      <c r="AH294" s="637" t="s">
        <v>529</v>
      </c>
    </row>
    <row r="295" spans="1:34" s="657" customFormat="1" ht="92.1" customHeight="1" x14ac:dyDescent="0.25">
      <c r="A295" s="638">
        <f t="shared" si="24"/>
        <v>248</v>
      </c>
      <c r="B295" s="632" t="s">
        <v>234</v>
      </c>
      <c r="C295" s="632">
        <v>80101706</v>
      </c>
      <c r="D295" s="634" t="s">
        <v>1498</v>
      </c>
      <c r="E295" s="632" t="s">
        <v>48</v>
      </c>
      <c r="F295" s="632">
        <v>1</v>
      </c>
      <c r="G295" s="844" t="s">
        <v>166</v>
      </c>
      <c r="H295" s="845">
        <v>5.2666666666666666</v>
      </c>
      <c r="I295" s="632" t="s">
        <v>61</v>
      </c>
      <c r="J295" s="632" t="s">
        <v>66</v>
      </c>
      <c r="K295" s="632" t="s">
        <v>598</v>
      </c>
      <c r="L295" s="635">
        <v>30020000</v>
      </c>
      <c r="M295" s="636">
        <f t="shared" si="25"/>
        <v>30020000</v>
      </c>
      <c r="N295" s="632" t="s">
        <v>51</v>
      </c>
      <c r="O295" s="632" t="s">
        <v>36</v>
      </c>
      <c r="P295" s="632" t="s">
        <v>1503</v>
      </c>
      <c r="Q295" s="649"/>
      <c r="R295" s="637" t="s">
        <v>1782</v>
      </c>
      <c r="S295" s="637" t="s">
        <v>1783</v>
      </c>
      <c r="T295" s="653">
        <v>43321</v>
      </c>
      <c r="U295" s="637" t="s">
        <v>1784</v>
      </c>
      <c r="V295" s="637" t="s">
        <v>659</v>
      </c>
      <c r="W295" s="654">
        <v>26410000</v>
      </c>
      <c r="X295" s="654"/>
      <c r="Y295" s="654">
        <v>26410000</v>
      </c>
      <c r="Z295" s="654">
        <v>26410000</v>
      </c>
      <c r="AA295" s="654"/>
      <c r="AB295" s="637" t="s">
        <v>1785</v>
      </c>
      <c r="AC295" s="637">
        <v>30318</v>
      </c>
      <c r="AD295" s="637" t="s">
        <v>1786</v>
      </c>
      <c r="AE295" s="653">
        <v>43322</v>
      </c>
      <c r="AF295" s="653" t="s">
        <v>1787</v>
      </c>
      <c r="AG295" s="637" t="s">
        <v>1671</v>
      </c>
      <c r="AH295" s="637" t="s">
        <v>234</v>
      </c>
    </row>
    <row r="296" spans="1:34" s="657" customFormat="1" ht="127.5" customHeight="1" x14ac:dyDescent="0.25">
      <c r="A296" s="638">
        <f t="shared" si="24"/>
        <v>249</v>
      </c>
      <c r="B296" s="632" t="s">
        <v>234</v>
      </c>
      <c r="C296" s="632">
        <v>80101706</v>
      </c>
      <c r="D296" s="634" t="s">
        <v>1498</v>
      </c>
      <c r="E296" s="632" t="s">
        <v>48</v>
      </c>
      <c r="F296" s="632">
        <v>1</v>
      </c>
      <c r="G296" s="844" t="s">
        <v>166</v>
      </c>
      <c r="H296" s="845">
        <v>5.4666666666666668</v>
      </c>
      <c r="I296" s="632" t="s">
        <v>61</v>
      </c>
      <c r="J296" s="632" t="s">
        <v>66</v>
      </c>
      <c r="K296" s="632" t="s">
        <v>589</v>
      </c>
      <c r="L296" s="635">
        <v>27377067</v>
      </c>
      <c r="M296" s="636">
        <f t="shared" si="25"/>
        <v>27377067</v>
      </c>
      <c r="N296" s="632" t="s">
        <v>51</v>
      </c>
      <c r="O296" s="632" t="s">
        <v>36</v>
      </c>
      <c r="P296" s="632" t="s">
        <v>1503</v>
      </c>
      <c r="Q296" s="649"/>
      <c r="R296" s="637" t="s">
        <v>1661</v>
      </c>
      <c r="S296" s="637" t="s">
        <v>248</v>
      </c>
      <c r="T296" s="653">
        <v>43294</v>
      </c>
      <c r="U296" s="637" t="s">
        <v>1662</v>
      </c>
      <c r="V296" s="637" t="s">
        <v>659</v>
      </c>
      <c r="W296" s="654">
        <v>27377067</v>
      </c>
      <c r="X296" s="654"/>
      <c r="Y296" s="654">
        <v>27377067</v>
      </c>
      <c r="Z296" s="654">
        <v>27377067</v>
      </c>
      <c r="AA296" s="654">
        <f t="shared" ref="AA296:AA300" si="29">Z296-Y296</f>
        <v>0</v>
      </c>
      <c r="AB296" s="637" t="s">
        <v>1663</v>
      </c>
      <c r="AC296" s="637">
        <v>28118</v>
      </c>
      <c r="AD296" s="637" t="s">
        <v>1593</v>
      </c>
      <c r="AE296" s="653">
        <v>43298</v>
      </c>
      <c r="AF296" s="653">
        <v>43455</v>
      </c>
      <c r="AG296" s="637" t="s">
        <v>1664</v>
      </c>
      <c r="AH296" s="637" t="s">
        <v>234</v>
      </c>
    </row>
    <row r="297" spans="1:34" s="657" customFormat="1" ht="90" customHeight="1" x14ac:dyDescent="0.25">
      <c r="A297" s="638">
        <f>+A296+1</f>
        <v>250</v>
      </c>
      <c r="B297" s="632" t="s">
        <v>234</v>
      </c>
      <c r="C297" s="632">
        <v>80101706</v>
      </c>
      <c r="D297" s="632" t="s">
        <v>1498</v>
      </c>
      <c r="E297" s="632" t="s">
        <v>48</v>
      </c>
      <c r="F297" s="632">
        <v>1</v>
      </c>
      <c r="G297" s="844" t="s">
        <v>166</v>
      </c>
      <c r="H297" s="845">
        <v>5.4666666666666668</v>
      </c>
      <c r="I297" s="632" t="s">
        <v>61</v>
      </c>
      <c r="J297" s="632" t="s">
        <v>66</v>
      </c>
      <c r="K297" s="848" t="s">
        <v>589</v>
      </c>
      <c r="L297" s="872">
        <v>9850933.5</v>
      </c>
      <c r="M297" s="873">
        <f>+L297</f>
        <v>9850933.5</v>
      </c>
      <c r="N297" s="632" t="s">
        <v>51</v>
      </c>
      <c r="O297" s="632" t="s">
        <v>36</v>
      </c>
      <c r="P297" s="632" t="s">
        <v>1503</v>
      </c>
      <c r="Q297" s="649"/>
      <c r="R297" s="637" t="s">
        <v>1665</v>
      </c>
      <c r="S297" s="637" t="s">
        <v>305</v>
      </c>
      <c r="T297" s="653">
        <v>43292</v>
      </c>
      <c r="U297" s="897" t="s">
        <v>1666</v>
      </c>
      <c r="V297" s="637" t="s">
        <v>659</v>
      </c>
      <c r="W297" s="889">
        <v>6006667</v>
      </c>
      <c r="X297" s="654">
        <v>13695200</v>
      </c>
      <c r="Y297" s="889">
        <v>19701867</v>
      </c>
      <c r="Z297" s="889">
        <v>19701867</v>
      </c>
      <c r="AA297" s="654">
        <f t="shared" si="29"/>
        <v>0</v>
      </c>
      <c r="AB297" s="637" t="s">
        <v>1788</v>
      </c>
      <c r="AC297" s="637">
        <v>28218</v>
      </c>
      <c r="AD297" s="637" t="s">
        <v>1789</v>
      </c>
      <c r="AE297" s="653">
        <v>43344</v>
      </c>
      <c r="AF297" s="653">
        <v>43455</v>
      </c>
      <c r="AG297" s="637" t="s">
        <v>1664</v>
      </c>
      <c r="AH297" s="637" t="s">
        <v>234</v>
      </c>
    </row>
    <row r="298" spans="1:34" s="657" customFormat="1" ht="132.94999999999999" customHeight="1" x14ac:dyDescent="0.25">
      <c r="A298" s="638">
        <f>+A297+1</f>
        <v>251</v>
      </c>
      <c r="B298" s="632" t="s">
        <v>234</v>
      </c>
      <c r="C298" s="632">
        <v>80101706</v>
      </c>
      <c r="D298" s="634" t="s">
        <v>1498</v>
      </c>
      <c r="E298" s="632" t="s">
        <v>48</v>
      </c>
      <c r="F298" s="632">
        <v>1</v>
      </c>
      <c r="G298" s="844" t="s">
        <v>166</v>
      </c>
      <c r="H298" s="845">
        <v>5.4333333333333336</v>
      </c>
      <c r="I298" s="632" t="s">
        <v>61</v>
      </c>
      <c r="J298" s="632" t="s">
        <v>66</v>
      </c>
      <c r="K298" s="632" t="s">
        <v>589</v>
      </c>
      <c r="L298" s="635">
        <v>29948533</v>
      </c>
      <c r="M298" s="636">
        <f t="shared" si="25"/>
        <v>29948533</v>
      </c>
      <c r="N298" s="632" t="s">
        <v>51</v>
      </c>
      <c r="O298" s="632" t="s">
        <v>36</v>
      </c>
      <c r="P298" s="632" t="s">
        <v>1503</v>
      </c>
      <c r="Q298" s="649"/>
      <c r="R298" s="637" t="s">
        <v>1667</v>
      </c>
      <c r="S298" s="637" t="s">
        <v>900</v>
      </c>
      <c r="T298" s="653">
        <v>43305</v>
      </c>
      <c r="U298" s="637" t="s">
        <v>1668</v>
      </c>
      <c r="V298" s="637" t="s">
        <v>659</v>
      </c>
      <c r="W298" s="654">
        <v>29948533</v>
      </c>
      <c r="X298" s="654"/>
      <c r="Y298" s="654">
        <v>29948533</v>
      </c>
      <c r="Z298" s="654">
        <v>29948533</v>
      </c>
      <c r="AA298" s="654">
        <f t="shared" si="29"/>
        <v>0</v>
      </c>
      <c r="AB298" s="637" t="s">
        <v>1669</v>
      </c>
      <c r="AC298" s="637">
        <v>28318</v>
      </c>
      <c r="AD298" s="637" t="s">
        <v>1670</v>
      </c>
      <c r="AE298" s="653">
        <v>43305</v>
      </c>
      <c r="AF298" s="653">
        <v>43462</v>
      </c>
      <c r="AG298" s="637" t="s">
        <v>1671</v>
      </c>
      <c r="AH298" s="637" t="s">
        <v>234</v>
      </c>
    </row>
    <row r="299" spans="1:34" s="657" customFormat="1" ht="114" customHeight="1" x14ac:dyDescent="0.25">
      <c r="A299" s="638">
        <f t="shared" si="24"/>
        <v>252</v>
      </c>
      <c r="B299" s="632" t="s">
        <v>234</v>
      </c>
      <c r="C299" s="632">
        <v>80101706</v>
      </c>
      <c r="D299" s="634" t="s">
        <v>1498</v>
      </c>
      <c r="E299" s="632" t="s">
        <v>48</v>
      </c>
      <c r="F299" s="632">
        <v>1</v>
      </c>
      <c r="G299" s="844" t="s">
        <v>166</v>
      </c>
      <c r="H299" s="845">
        <v>5.2333333333333334</v>
      </c>
      <c r="I299" s="632" t="s">
        <v>61</v>
      </c>
      <c r="J299" s="632" t="s">
        <v>66</v>
      </c>
      <c r="K299" s="632" t="s">
        <v>589</v>
      </c>
      <c r="L299" s="635">
        <v>40574033</v>
      </c>
      <c r="M299" s="636">
        <f t="shared" si="25"/>
        <v>40574033</v>
      </c>
      <c r="N299" s="632" t="s">
        <v>51</v>
      </c>
      <c r="O299" s="632" t="s">
        <v>36</v>
      </c>
      <c r="P299" s="632" t="s">
        <v>1503</v>
      </c>
      <c r="Q299" s="649"/>
      <c r="R299" s="637" t="s">
        <v>1672</v>
      </c>
      <c r="S299" s="637" t="s">
        <v>1673</v>
      </c>
      <c r="T299" s="653">
        <v>43306</v>
      </c>
      <c r="U299" s="637" t="s">
        <v>1674</v>
      </c>
      <c r="V299" s="637" t="s">
        <v>659</v>
      </c>
      <c r="W299" s="654">
        <v>40574033</v>
      </c>
      <c r="X299" s="654"/>
      <c r="Y299" s="654">
        <v>40574033</v>
      </c>
      <c r="Z299" s="654">
        <v>40574033</v>
      </c>
      <c r="AA299" s="654">
        <f t="shared" si="29"/>
        <v>0</v>
      </c>
      <c r="AB299" s="637" t="s">
        <v>1675</v>
      </c>
      <c r="AC299" s="637">
        <v>28418</v>
      </c>
      <c r="AD299" s="637" t="s">
        <v>1670</v>
      </c>
      <c r="AE299" s="653">
        <v>43306</v>
      </c>
      <c r="AF299" s="653">
        <v>43462</v>
      </c>
      <c r="AG299" s="637" t="s">
        <v>1671</v>
      </c>
      <c r="AH299" s="637" t="s">
        <v>234</v>
      </c>
    </row>
    <row r="300" spans="1:34" s="657" customFormat="1" ht="95.1" customHeight="1" x14ac:dyDescent="0.25">
      <c r="A300" s="638">
        <f t="shared" si="24"/>
        <v>253</v>
      </c>
      <c r="B300" s="632" t="s">
        <v>234</v>
      </c>
      <c r="C300" s="632">
        <v>80101706</v>
      </c>
      <c r="D300" s="634" t="s">
        <v>1498</v>
      </c>
      <c r="E300" s="632" t="s">
        <v>48</v>
      </c>
      <c r="F300" s="632">
        <v>1</v>
      </c>
      <c r="G300" s="844" t="s">
        <v>166</v>
      </c>
      <c r="H300" s="845">
        <v>5.2</v>
      </c>
      <c r="I300" s="632" t="s">
        <v>61</v>
      </c>
      <c r="J300" s="632" t="s">
        <v>66</v>
      </c>
      <c r="K300" s="632" t="s">
        <v>589</v>
      </c>
      <c r="L300" s="635">
        <v>26041600</v>
      </c>
      <c r="M300" s="636">
        <f t="shared" si="25"/>
        <v>26041600</v>
      </c>
      <c r="N300" s="632" t="s">
        <v>51</v>
      </c>
      <c r="O300" s="632" t="s">
        <v>36</v>
      </c>
      <c r="P300" s="632" t="s">
        <v>1503</v>
      </c>
      <c r="Q300" s="649"/>
      <c r="R300" s="637" t="s">
        <v>1676</v>
      </c>
      <c r="S300" s="637" t="s">
        <v>904</v>
      </c>
      <c r="T300" s="653">
        <v>43305</v>
      </c>
      <c r="U300" s="637" t="s">
        <v>1677</v>
      </c>
      <c r="V300" s="637" t="s">
        <v>659</v>
      </c>
      <c r="W300" s="654">
        <v>26041600</v>
      </c>
      <c r="X300" s="654"/>
      <c r="Y300" s="654">
        <v>26041600</v>
      </c>
      <c r="Z300" s="654">
        <v>26041600</v>
      </c>
      <c r="AA300" s="654">
        <f t="shared" si="29"/>
        <v>0</v>
      </c>
      <c r="AB300" s="637" t="s">
        <v>1678</v>
      </c>
      <c r="AC300" s="637">
        <v>28518</v>
      </c>
      <c r="AD300" s="637" t="s">
        <v>1679</v>
      </c>
      <c r="AE300" s="653">
        <v>43306</v>
      </c>
      <c r="AF300" s="653">
        <v>43457</v>
      </c>
      <c r="AG300" s="637" t="s">
        <v>1664</v>
      </c>
      <c r="AH300" s="637" t="s">
        <v>234</v>
      </c>
    </row>
    <row r="301" spans="1:34" s="657" customFormat="1" ht="95.1" customHeight="1" x14ac:dyDescent="0.25">
      <c r="A301" s="638">
        <f t="shared" si="24"/>
        <v>254</v>
      </c>
      <c r="B301" s="632" t="s">
        <v>877</v>
      </c>
      <c r="C301" s="632">
        <v>80101706</v>
      </c>
      <c r="D301" s="634" t="s">
        <v>528</v>
      </c>
      <c r="E301" s="632" t="s">
        <v>48</v>
      </c>
      <c r="F301" s="632">
        <v>1</v>
      </c>
      <c r="G301" s="844" t="s">
        <v>166</v>
      </c>
      <c r="H301" s="845" t="s">
        <v>639</v>
      </c>
      <c r="I301" s="632" t="s">
        <v>61</v>
      </c>
      <c r="J301" s="632" t="s">
        <v>66</v>
      </c>
      <c r="K301" s="632" t="s">
        <v>607</v>
      </c>
      <c r="L301" s="635">
        <v>23320000</v>
      </c>
      <c r="M301" s="636">
        <v>23320000</v>
      </c>
      <c r="N301" s="632" t="s">
        <v>51</v>
      </c>
      <c r="O301" s="632" t="s">
        <v>36</v>
      </c>
      <c r="P301" s="632" t="s">
        <v>306</v>
      </c>
      <c r="Q301" s="649"/>
      <c r="R301" s="637" t="s">
        <v>1680</v>
      </c>
      <c r="S301" s="637" t="s">
        <v>879</v>
      </c>
      <c r="T301" s="653">
        <v>43292</v>
      </c>
      <c r="U301" s="637" t="s">
        <v>1681</v>
      </c>
      <c r="V301" s="637" t="s">
        <v>659</v>
      </c>
      <c r="W301" s="654">
        <v>23320000</v>
      </c>
      <c r="X301" s="654"/>
      <c r="Y301" s="654">
        <v>23320000</v>
      </c>
      <c r="Z301" s="654">
        <v>23320000</v>
      </c>
      <c r="AA301" s="654"/>
      <c r="AB301" s="637" t="s">
        <v>1682</v>
      </c>
      <c r="AC301" s="637">
        <v>30118</v>
      </c>
      <c r="AD301" s="637" t="s">
        <v>1593</v>
      </c>
      <c r="AE301" s="653">
        <v>43293</v>
      </c>
      <c r="AF301" s="653">
        <v>43455</v>
      </c>
      <c r="AG301" s="637" t="s">
        <v>1683</v>
      </c>
      <c r="AH301" s="637" t="s">
        <v>877</v>
      </c>
    </row>
    <row r="302" spans="1:34" s="657" customFormat="1" ht="132.94999999999999" customHeight="1" x14ac:dyDescent="0.25">
      <c r="A302" s="638" t="s">
        <v>1568</v>
      </c>
      <c r="B302" s="632" t="s">
        <v>877</v>
      </c>
      <c r="C302" s="632">
        <v>80101707</v>
      </c>
      <c r="D302" s="634" t="s">
        <v>528</v>
      </c>
      <c r="E302" s="632" t="s">
        <v>48</v>
      </c>
      <c r="F302" s="632">
        <v>2</v>
      </c>
      <c r="G302" s="844" t="s">
        <v>81</v>
      </c>
      <c r="H302" s="845" t="s">
        <v>202</v>
      </c>
      <c r="I302" s="632" t="s">
        <v>61</v>
      </c>
      <c r="J302" s="632" t="s">
        <v>66</v>
      </c>
      <c r="K302" s="632" t="s">
        <v>607</v>
      </c>
      <c r="L302" s="635">
        <v>20000000</v>
      </c>
      <c r="M302" s="636">
        <v>20000000</v>
      </c>
      <c r="N302" s="632" t="s">
        <v>51</v>
      </c>
      <c r="O302" s="632" t="s">
        <v>36</v>
      </c>
      <c r="P302" s="632" t="s">
        <v>306</v>
      </c>
      <c r="Q302" s="649"/>
      <c r="R302" s="637" t="s">
        <v>1684</v>
      </c>
      <c r="S302" s="637" t="s">
        <v>778</v>
      </c>
      <c r="T302" s="653">
        <v>43300</v>
      </c>
      <c r="U302" s="637" t="s">
        <v>1685</v>
      </c>
      <c r="V302" s="637" t="s">
        <v>659</v>
      </c>
      <c r="W302" s="654">
        <v>20000000</v>
      </c>
      <c r="X302" s="654"/>
      <c r="Y302" s="654">
        <v>20000000</v>
      </c>
      <c r="Z302" s="654">
        <v>20000000</v>
      </c>
      <c r="AA302" s="654"/>
      <c r="AB302" s="637" t="s">
        <v>1686</v>
      </c>
      <c r="AC302" s="637">
        <v>31918</v>
      </c>
      <c r="AD302" s="637" t="s">
        <v>1928</v>
      </c>
      <c r="AE302" s="653">
        <v>43300</v>
      </c>
      <c r="AF302" s="653">
        <v>43422</v>
      </c>
      <c r="AG302" s="637" t="s">
        <v>782</v>
      </c>
      <c r="AH302" s="637" t="s">
        <v>783</v>
      </c>
    </row>
    <row r="303" spans="1:34" s="657" customFormat="1" ht="152.1" customHeight="1" x14ac:dyDescent="0.25">
      <c r="A303" s="638">
        <f>+A301+1</f>
        <v>255</v>
      </c>
      <c r="B303" s="632" t="s">
        <v>877</v>
      </c>
      <c r="C303" s="632">
        <v>80101706</v>
      </c>
      <c r="D303" s="634" t="s">
        <v>528</v>
      </c>
      <c r="E303" s="632" t="s">
        <v>48</v>
      </c>
      <c r="F303" s="632">
        <v>1</v>
      </c>
      <c r="G303" s="844" t="s">
        <v>166</v>
      </c>
      <c r="H303" s="845">
        <v>5.3</v>
      </c>
      <c r="I303" s="632" t="s">
        <v>61</v>
      </c>
      <c r="J303" s="632" t="s">
        <v>66</v>
      </c>
      <c r="K303" s="632" t="s">
        <v>607</v>
      </c>
      <c r="L303" s="635">
        <v>37100000</v>
      </c>
      <c r="M303" s="636">
        <v>37100000</v>
      </c>
      <c r="N303" s="632" t="s">
        <v>51</v>
      </c>
      <c r="O303" s="632" t="s">
        <v>36</v>
      </c>
      <c r="P303" s="632" t="s">
        <v>306</v>
      </c>
      <c r="Q303" s="649"/>
      <c r="R303" s="637" t="s">
        <v>1687</v>
      </c>
      <c r="S303" s="637" t="s">
        <v>882</v>
      </c>
      <c r="T303" s="653">
        <v>43306</v>
      </c>
      <c r="U303" s="637" t="s">
        <v>1688</v>
      </c>
      <c r="V303" s="637" t="s">
        <v>659</v>
      </c>
      <c r="W303" s="654">
        <v>36400000</v>
      </c>
      <c r="X303" s="654"/>
      <c r="Y303" s="654">
        <v>36400000</v>
      </c>
      <c r="Z303" s="654">
        <v>36400000</v>
      </c>
      <c r="AA303" s="654"/>
      <c r="AB303" s="637" t="s">
        <v>1689</v>
      </c>
      <c r="AC303" s="637">
        <v>29818</v>
      </c>
      <c r="AD303" s="637" t="s">
        <v>1670</v>
      </c>
      <c r="AE303" s="653">
        <v>43307</v>
      </c>
      <c r="AF303" s="653">
        <v>43462</v>
      </c>
      <c r="AG303" s="637" t="s">
        <v>885</v>
      </c>
      <c r="AH303" s="637" t="s">
        <v>877</v>
      </c>
    </row>
    <row r="304" spans="1:34" s="657" customFormat="1" ht="209.1" customHeight="1" x14ac:dyDescent="0.25">
      <c r="A304" s="638">
        <f t="shared" si="24"/>
        <v>256</v>
      </c>
      <c r="B304" s="632" t="s">
        <v>877</v>
      </c>
      <c r="C304" s="632">
        <v>80101706</v>
      </c>
      <c r="D304" s="634" t="s">
        <v>528</v>
      </c>
      <c r="E304" s="632" t="s">
        <v>48</v>
      </c>
      <c r="F304" s="632">
        <v>1</v>
      </c>
      <c r="G304" s="844" t="s">
        <v>166</v>
      </c>
      <c r="H304" s="845" t="s">
        <v>639</v>
      </c>
      <c r="I304" s="632" t="s">
        <v>61</v>
      </c>
      <c r="J304" s="632" t="s">
        <v>66</v>
      </c>
      <c r="K304" s="632" t="s">
        <v>607</v>
      </c>
      <c r="L304" s="635">
        <v>35805000</v>
      </c>
      <c r="M304" s="636">
        <v>35805000</v>
      </c>
      <c r="N304" s="632" t="s">
        <v>51</v>
      </c>
      <c r="O304" s="632" t="s">
        <v>36</v>
      </c>
      <c r="P304" s="632" t="s">
        <v>306</v>
      </c>
      <c r="Q304" s="649"/>
      <c r="R304" s="637" t="s">
        <v>1690</v>
      </c>
      <c r="S304" s="637" t="s">
        <v>242</v>
      </c>
      <c r="T304" s="653">
        <v>43298</v>
      </c>
      <c r="U304" s="637" t="s">
        <v>1691</v>
      </c>
      <c r="V304" s="637" t="s">
        <v>659</v>
      </c>
      <c r="W304" s="654">
        <v>34937000</v>
      </c>
      <c r="X304" s="654"/>
      <c r="Y304" s="654">
        <v>34937000</v>
      </c>
      <c r="Z304" s="654">
        <v>34937000</v>
      </c>
      <c r="AA304" s="654"/>
      <c r="AB304" s="637" t="s">
        <v>1692</v>
      </c>
      <c r="AC304" s="637">
        <v>29918</v>
      </c>
      <c r="AD304" s="637" t="s">
        <v>1593</v>
      </c>
      <c r="AE304" s="653">
        <v>43299</v>
      </c>
      <c r="AF304" s="653">
        <v>43455</v>
      </c>
      <c r="AG304" s="637" t="s">
        <v>1693</v>
      </c>
      <c r="AH304" s="637" t="s">
        <v>877</v>
      </c>
    </row>
    <row r="305" spans="1:34" s="657" customFormat="1" ht="209.1" customHeight="1" x14ac:dyDescent="0.25">
      <c r="A305" s="638">
        <f t="shared" si="24"/>
        <v>257</v>
      </c>
      <c r="B305" s="632" t="s">
        <v>877</v>
      </c>
      <c r="C305" s="632">
        <v>80101706</v>
      </c>
      <c r="D305" s="634" t="s">
        <v>528</v>
      </c>
      <c r="E305" s="632" t="s">
        <v>48</v>
      </c>
      <c r="F305" s="632">
        <v>1</v>
      </c>
      <c r="G305" s="844" t="s">
        <v>166</v>
      </c>
      <c r="H305" s="845">
        <v>5.4666666666666668</v>
      </c>
      <c r="I305" s="632" t="s">
        <v>61</v>
      </c>
      <c r="J305" s="632" t="s">
        <v>66</v>
      </c>
      <c r="K305" s="632" t="s">
        <v>607</v>
      </c>
      <c r="L305" s="635">
        <v>35588000</v>
      </c>
      <c r="M305" s="636">
        <v>2558000</v>
      </c>
      <c r="N305" s="632" t="s">
        <v>51</v>
      </c>
      <c r="O305" s="632" t="s">
        <v>36</v>
      </c>
      <c r="P305" s="632" t="s">
        <v>306</v>
      </c>
      <c r="Q305" s="649"/>
      <c r="R305" s="637" t="s">
        <v>1694</v>
      </c>
      <c r="S305" s="637" t="s">
        <v>895</v>
      </c>
      <c r="T305" s="653">
        <v>43299</v>
      </c>
      <c r="U305" s="637" t="s">
        <v>1691</v>
      </c>
      <c r="V305" s="637" t="s">
        <v>659</v>
      </c>
      <c r="W305" s="654">
        <v>34937000</v>
      </c>
      <c r="X305" s="654"/>
      <c r="Y305" s="654">
        <v>34937000</v>
      </c>
      <c r="Z305" s="654">
        <v>34937000</v>
      </c>
      <c r="AA305" s="654"/>
      <c r="AB305" s="637" t="s">
        <v>1695</v>
      </c>
      <c r="AC305" s="637">
        <v>30018</v>
      </c>
      <c r="AD305" s="637" t="s">
        <v>1593</v>
      </c>
      <c r="AE305" s="653">
        <v>43300</v>
      </c>
      <c r="AF305" s="653">
        <v>43455</v>
      </c>
      <c r="AG305" s="637" t="s">
        <v>885</v>
      </c>
      <c r="AH305" s="637" t="s">
        <v>877</v>
      </c>
    </row>
    <row r="306" spans="1:34" s="657" customFormat="1" ht="69" customHeight="1" x14ac:dyDescent="0.25">
      <c r="A306" s="638">
        <f t="shared" si="24"/>
        <v>258</v>
      </c>
      <c r="B306" s="640" t="s">
        <v>877</v>
      </c>
      <c r="C306" s="640">
        <v>80101706</v>
      </c>
      <c r="D306" s="642" t="s">
        <v>528</v>
      </c>
      <c r="E306" s="640" t="s">
        <v>48</v>
      </c>
      <c r="F306" s="640">
        <v>1</v>
      </c>
      <c r="G306" s="643" t="s">
        <v>166</v>
      </c>
      <c r="H306" s="644">
        <v>5.4666666666666668</v>
      </c>
      <c r="I306" s="640" t="s">
        <v>61</v>
      </c>
      <c r="J306" s="640" t="s">
        <v>66</v>
      </c>
      <c r="K306" s="640" t="s">
        <v>607</v>
      </c>
      <c r="L306" s="645"/>
      <c r="M306" s="646"/>
      <c r="N306" s="640" t="s">
        <v>51</v>
      </c>
      <c r="O306" s="640" t="s">
        <v>36</v>
      </c>
      <c r="P306" s="640" t="s">
        <v>306</v>
      </c>
      <c r="Q306" s="649"/>
      <c r="R306" s="906"/>
      <c r="S306" s="907"/>
      <c r="T306" s="907"/>
      <c r="U306" s="907"/>
      <c r="V306" s="907"/>
      <c r="W306" s="907"/>
      <c r="X306" s="654"/>
      <c r="Y306" s="907"/>
      <c r="Z306" s="907"/>
      <c r="AA306" s="907"/>
      <c r="AB306" s="907"/>
      <c r="AC306" s="907"/>
      <c r="AD306" s="907"/>
      <c r="AE306" s="907"/>
      <c r="AF306" s="907"/>
      <c r="AG306" s="907"/>
      <c r="AH306" s="907"/>
    </row>
    <row r="307" spans="1:34" s="657" customFormat="1" ht="209.1" customHeight="1" x14ac:dyDescent="0.25">
      <c r="A307" s="638">
        <f t="shared" si="24"/>
        <v>259</v>
      </c>
      <c r="B307" s="632" t="s">
        <v>877</v>
      </c>
      <c r="C307" s="632">
        <v>80101706</v>
      </c>
      <c r="D307" s="634" t="s">
        <v>528</v>
      </c>
      <c r="E307" s="632" t="s">
        <v>48</v>
      </c>
      <c r="F307" s="632">
        <v>1</v>
      </c>
      <c r="G307" s="844" t="s">
        <v>166</v>
      </c>
      <c r="H307" s="845">
        <v>5.166666666666667</v>
      </c>
      <c r="I307" s="632" t="s">
        <v>61</v>
      </c>
      <c r="J307" s="632" t="s">
        <v>66</v>
      </c>
      <c r="K307" s="632" t="s">
        <v>589</v>
      </c>
      <c r="L307" s="635">
        <v>33635000</v>
      </c>
      <c r="M307" s="636">
        <v>33635000</v>
      </c>
      <c r="N307" s="632" t="s">
        <v>51</v>
      </c>
      <c r="O307" s="632" t="s">
        <v>36</v>
      </c>
      <c r="P307" s="632" t="s">
        <v>306</v>
      </c>
      <c r="Q307" s="649"/>
      <c r="R307" s="637" t="s">
        <v>1696</v>
      </c>
      <c r="S307" s="637" t="s">
        <v>963</v>
      </c>
      <c r="T307" s="653">
        <v>43312</v>
      </c>
      <c r="U307" s="637" t="s">
        <v>1697</v>
      </c>
      <c r="V307" s="637" t="s">
        <v>659</v>
      </c>
      <c r="W307" s="654">
        <v>32550000</v>
      </c>
      <c r="X307" s="654"/>
      <c r="Y307" s="654">
        <v>32550000</v>
      </c>
      <c r="Z307" s="654">
        <v>32550000</v>
      </c>
      <c r="AA307" s="654">
        <f>Z307-Y307</f>
        <v>0</v>
      </c>
      <c r="AB307" s="637" t="s">
        <v>888</v>
      </c>
      <c r="AC307" s="637">
        <v>28618</v>
      </c>
      <c r="AD307" s="637" t="s">
        <v>1602</v>
      </c>
      <c r="AE307" s="653">
        <v>43312</v>
      </c>
      <c r="AF307" s="653">
        <v>43464</v>
      </c>
      <c r="AG307" s="637" t="s">
        <v>893</v>
      </c>
      <c r="AH307" s="637" t="s">
        <v>877</v>
      </c>
    </row>
    <row r="308" spans="1:34" s="657" customFormat="1" ht="117" customHeight="1" x14ac:dyDescent="0.25">
      <c r="A308" s="846">
        <f t="shared" si="24"/>
        <v>260</v>
      </c>
      <c r="B308" s="847" t="s">
        <v>1489</v>
      </c>
      <c r="C308" s="847">
        <v>80101706</v>
      </c>
      <c r="D308" s="847" t="s">
        <v>1499</v>
      </c>
      <c r="E308" s="874" t="s">
        <v>48</v>
      </c>
      <c r="F308" s="848">
        <v>1</v>
      </c>
      <c r="G308" s="849" t="s">
        <v>166</v>
      </c>
      <c r="H308" s="870" t="s">
        <v>639</v>
      </c>
      <c r="I308" s="848" t="s">
        <v>61</v>
      </c>
      <c r="J308" s="848" t="s">
        <v>66</v>
      </c>
      <c r="K308" s="632" t="s">
        <v>598</v>
      </c>
      <c r="L308" s="635">
        <f>28166667/2</f>
        <v>14083333.5</v>
      </c>
      <c r="M308" s="636">
        <v>14083333.5</v>
      </c>
      <c r="N308" s="848" t="s">
        <v>51</v>
      </c>
      <c r="O308" s="848" t="s">
        <v>36</v>
      </c>
      <c r="P308" s="848" t="s">
        <v>504</v>
      </c>
      <c r="Q308" s="649"/>
      <c r="R308" s="897" t="s">
        <v>1698</v>
      </c>
      <c r="S308" s="884" t="s">
        <v>552</v>
      </c>
      <c r="T308" s="885">
        <v>43286</v>
      </c>
      <c r="U308" s="884" t="s">
        <v>1699</v>
      </c>
      <c r="V308" s="884" t="s">
        <v>659</v>
      </c>
      <c r="W308" s="654">
        <v>14083333</v>
      </c>
      <c r="X308" s="654"/>
      <c r="Y308" s="654">
        <v>14083333</v>
      </c>
      <c r="Z308" s="654">
        <v>14083333</v>
      </c>
      <c r="AA308" s="886"/>
      <c r="AB308" s="884" t="s">
        <v>1700</v>
      </c>
      <c r="AC308" s="884">
        <v>28818</v>
      </c>
      <c r="AD308" s="884" t="s">
        <v>1593</v>
      </c>
      <c r="AE308" s="885">
        <v>43287</v>
      </c>
      <c r="AF308" s="885">
        <v>43455</v>
      </c>
      <c r="AG308" s="884" t="s">
        <v>742</v>
      </c>
      <c r="AH308" s="884" t="s">
        <v>743</v>
      </c>
    </row>
    <row r="309" spans="1:34" s="657" customFormat="1" ht="110.25" customHeight="1" x14ac:dyDescent="0.25">
      <c r="A309" s="842"/>
      <c r="B309" s="847" t="s">
        <v>1489</v>
      </c>
      <c r="C309" s="847">
        <v>80101707</v>
      </c>
      <c r="D309" s="847" t="s">
        <v>1499</v>
      </c>
      <c r="E309" s="874" t="s">
        <v>48</v>
      </c>
      <c r="F309" s="848">
        <v>1</v>
      </c>
      <c r="G309" s="849" t="s">
        <v>166</v>
      </c>
      <c r="H309" s="870" t="s">
        <v>639</v>
      </c>
      <c r="I309" s="848" t="s">
        <v>61</v>
      </c>
      <c r="J309" s="848" t="s">
        <v>66</v>
      </c>
      <c r="K309" s="632" t="s">
        <v>589</v>
      </c>
      <c r="L309" s="635">
        <f>28166667/2</f>
        <v>14083333.5</v>
      </c>
      <c r="M309" s="636">
        <v>14083333.5</v>
      </c>
      <c r="N309" s="848" t="s">
        <v>51</v>
      </c>
      <c r="O309" s="848" t="s">
        <v>36</v>
      </c>
      <c r="P309" s="848" t="s">
        <v>504</v>
      </c>
      <c r="Q309" s="649"/>
      <c r="R309" s="897" t="s">
        <v>1698</v>
      </c>
      <c r="S309" s="843"/>
      <c r="T309" s="887"/>
      <c r="U309" s="843"/>
      <c r="V309" s="843"/>
      <c r="W309" s="654">
        <v>14083333</v>
      </c>
      <c r="X309" s="654"/>
      <c r="Y309" s="654">
        <v>14083333</v>
      </c>
      <c r="Z309" s="654">
        <v>14083333</v>
      </c>
      <c r="AA309" s="654">
        <f>Z309-Y309</f>
        <v>0</v>
      </c>
      <c r="AB309" s="843"/>
      <c r="AC309" s="843"/>
      <c r="AD309" s="843"/>
      <c r="AE309" s="887"/>
      <c r="AF309" s="887"/>
      <c r="AG309" s="843"/>
      <c r="AH309" s="843"/>
    </row>
    <row r="310" spans="1:34" s="657" customFormat="1" ht="92.1" customHeight="1" x14ac:dyDescent="0.25">
      <c r="A310" s="846">
        <v>261</v>
      </c>
      <c r="B310" s="848" t="s">
        <v>1489</v>
      </c>
      <c r="C310" s="848">
        <v>80101706</v>
      </c>
      <c r="D310" s="848" t="s">
        <v>1499</v>
      </c>
      <c r="E310" s="875" t="s">
        <v>48</v>
      </c>
      <c r="F310" s="848">
        <v>1</v>
      </c>
      <c r="G310" s="849" t="s">
        <v>166</v>
      </c>
      <c r="H310" s="870" t="s">
        <v>639</v>
      </c>
      <c r="I310" s="848" t="s">
        <v>61</v>
      </c>
      <c r="J310" s="848" t="s">
        <v>66</v>
      </c>
      <c r="K310" s="632" t="s">
        <v>598</v>
      </c>
      <c r="L310" s="635">
        <f>28166667/2</f>
        <v>14083333.5</v>
      </c>
      <c r="M310" s="636">
        <v>14083333.5</v>
      </c>
      <c r="N310" s="848" t="s">
        <v>51</v>
      </c>
      <c r="O310" s="848" t="s">
        <v>36</v>
      </c>
      <c r="P310" s="848" t="s">
        <v>504</v>
      </c>
      <c r="Q310" s="649"/>
      <c r="R310" s="897" t="s">
        <v>1701</v>
      </c>
      <c r="S310" s="884" t="s">
        <v>233</v>
      </c>
      <c r="T310" s="885">
        <v>43286</v>
      </c>
      <c r="U310" s="884" t="s">
        <v>1699</v>
      </c>
      <c r="V310" s="884" t="s">
        <v>659</v>
      </c>
      <c r="W310" s="654">
        <v>14083333</v>
      </c>
      <c r="X310" s="654"/>
      <c r="Y310" s="654">
        <v>14083333</v>
      </c>
      <c r="Z310" s="654">
        <v>14083333</v>
      </c>
      <c r="AA310" s="886"/>
      <c r="AB310" s="884" t="s">
        <v>1700</v>
      </c>
      <c r="AC310" s="884">
        <v>28718</v>
      </c>
      <c r="AD310" s="884" t="s">
        <v>1593</v>
      </c>
      <c r="AE310" s="885">
        <v>43287</v>
      </c>
      <c r="AF310" s="885">
        <v>43455</v>
      </c>
      <c r="AG310" s="884" t="s">
        <v>742</v>
      </c>
      <c r="AH310" s="884" t="s">
        <v>743</v>
      </c>
    </row>
    <row r="311" spans="1:34" s="657" customFormat="1" ht="117.75" customHeight="1" x14ac:dyDescent="0.25">
      <c r="A311" s="842"/>
      <c r="B311" s="848" t="s">
        <v>1489</v>
      </c>
      <c r="C311" s="848">
        <v>80101706</v>
      </c>
      <c r="D311" s="848" t="s">
        <v>1499</v>
      </c>
      <c r="E311" s="875" t="s">
        <v>48</v>
      </c>
      <c r="F311" s="848">
        <v>1</v>
      </c>
      <c r="G311" s="849" t="s">
        <v>166</v>
      </c>
      <c r="H311" s="870">
        <v>5</v>
      </c>
      <c r="I311" s="848" t="s">
        <v>61</v>
      </c>
      <c r="J311" s="848" t="s">
        <v>66</v>
      </c>
      <c r="K311" s="632" t="s">
        <v>589</v>
      </c>
      <c r="L311" s="635">
        <f>28166667/2</f>
        <v>14083333.5</v>
      </c>
      <c r="M311" s="636">
        <v>14083333.5</v>
      </c>
      <c r="N311" s="848" t="s">
        <v>51</v>
      </c>
      <c r="O311" s="848" t="s">
        <v>36</v>
      </c>
      <c r="P311" s="848" t="s">
        <v>504</v>
      </c>
      <c r="Q311" s="649"/>
      <c r="R311" s="897" t="s">
        <v>1701</v>
      </c>
      <c r="S311" s="843"/>
      <c r="T311" s="887"/>
      <c r="U311" s="843"/>
      <c r="V311" s="843"/>
      <c r="W311" s="654">
        <v>14083333</v>
      </c>
      <c r="X311" s="654"/>
      <c r="Y311" s="654">
        <v>14083333</v>
      </c>
      <c r="Z311" s="654">
        <v>14083333</v>
      </c>
      <c r="AA311" s="654">
        <f>Z311-Y311</f>
        <v>0</v>
      </c>
      <c r="AB311" s="843"/>
      <c r="AC311" s="843"/>
      <c r="AD311" s="843"/>
      <c r="AE311" s="887"/>
      <c r="AF311" s="887"/>
      <c r="AG311" s="843"/>
      <c r="AH311" s="843"/>
    </row>
    <row r="312" spans="1:34" s="657" customFormat="1" ht="92.1" customHeight="1" x14ac:dyDescent="0.25">
      <c r="A312" s="846">
        <v>262</v>
      </c>
      <c r="B312" s="848" t="s">
        <v>1489</v>
      </c>
      <c r="C312" s="848">
        <v>80101706</v>
      </c>
      <c r="D312" s="848" t="s">
        <v>1499</v>
      </c>
      <c r="E312" s="875" t="s">
        <v>48</v>
      </c>
      <c r="F312" s="848">
        <v>1</v>
      </c>
      <c r="G312" s="849" t="s">
        <v>166</v>
      </c>
      <c r="H312" s="870">
        <v>5.4666666666666668</v>
      </c>
      <c r="I312" s="848" t="s">
        <v>61</v>
      </c>
      <c r="J312" s="848" t="s">
        <v>66</v>
      </c>
      <c r="K312" s="632" t="s">
        <v>598</v>
      </c>
      <c r="L312" s="635">
        <f>10435867/2</f>
        <v>5217933.5</v>
      </c>
      <c r="M312" s="636">
        <v>5217933.5</v>
      </c>
      <c r="N312" s="848" t="s">
        <v>51</v>
      </c>
      <c r="O312" s="848" t="s">
        <v>36</v>
      </c>
      <c r="P312" s="848" t="s">
        <v>504</v>
      </c>
      <c r="Q312" s="649"/>
      <c r="R312" s="908" t="s">
        <v>1702</v>
      </c>
      <c r="S312" s="884" t="s">
        <v>1703</v>
      </c>
      <c r="T312" s="885">
        <v>43292</v>
      </c>
      <c r="U312" s="884" t="s">
        <v>1704</v>
      </c>
      <c r="V312" s="884" t="s">
        <v>666</v>
      </c>
      <c r="W312" s="654">
        <v>5154500</v>
      </c>
      <c r="X312" s="654"/>
      <c r="Y312" s="654">
        <f>SUM(W312+X312)</f>
        <v>5154500</v>
      </c>
      <c r="Z312" s="654">
        <v>5154500</v>
      </c>
      <c r="AA312" s="886"/>
      <c r="AB312" s="884" t="s">
        <v>1705</v>
      </c>
      <c r="AC312" s="884">
        <v>28918</v>
      </c>
      <c r="AD312" s="884" t="s">
        <v>1593</v>
      </c>
      <c r="AE312" s="885">
        <v>43293</v>
      </c>
      <c r="AF312" s="885">
        <v>43455</v>
      </c>
      <c r="AG312" s="884" t="s">
        <v>742</v>
      </c>
      <c r="AH312" s="884" t="s">
        <v>743</v>
      </c>
    </row>
    <row r="313" spans="1:34" s="657" customFormat="1" ht="123.75" customHeight="1" x14ac:dyDescent="0.25">
      <c r="A313" s="842"/>
      <c r="B313" s="848" t="s">
        <v>1489</v>
      </c>
      <c r="C313" s="848">
        <v>80101706</v>
      </c>
      <c r="D313" s="848" t="s">
        <v>1499</v>
      </c>
      <c r="E313" s="875" t="s">
        <v>48</v>
      </c>
      <c r="F313" s="848">
        <v>1</v>
      </c>
      <c r="G313" s="849" t="s">
        <v>166</v>
      </c>
      <c r="H313" s="870">
        <v>5.4666666666666668</v>
      </c>
      <c r="I313" s="848" t="s">
        <v>61</v>
      </c>
      <c r="J313" s="848" t="s">
        <v>66</v>
      </c>
      <c r="K313" s="632" t="s">
        <v>589</v>
      </c>
      <c r="L313" s="635">
        <f>10435867/2</f>
        <v>5217933.5</v>
      </c>
      <c r="M313" s="636">
        <v>5217933.5</v>
      </c>
      <c r="N313" s="848" t="s">
        <v>51</v>
      </c>
      <c r="O313" s="848" t="s">
        <v>36</v>
      </c>
      <c r="P313" s="848" t="s">
        <v>504</v>
      </c>
      <c r="Q313" s="649"/>
      <c r="R313" s="908" t="s">
        <v>1702</v>
      </c>
      <c r="S313" s="843"/>
      <c r="T313" s="887"/>
      <c r="U313" s="843"/>
      <c r="V313" s="843"/>
      <c r="W313" s="654">
        <v>5154500</v>
      </c>
      <c r="X313" s="654"/>
      <c r="Y313" s="654">
        <v>5154500</v>
      </c>
      <c r="Z313" s="654">
        <v>5154500</v>
      </c>
      <c r="AA313" s="654">
        <f t="shared" ref="AA313:AA318" si="30">Z313-Y313</f>
        <v>0</v>
      </c>
      <c r="AB313" s="843"/>
      <c r="AC313" s="843"/>
      <c r="AD313" s="843"/>
      <c r="AE313" s="887"/>
      <c r="AF313" s="887"/>
      <c r="AG313" s="843"/>
      <c r="AH313" s="843"/>
    </row>
    <row r="314" spans="1:34" s="657" customFormat="1" ht="152.1" customHeight="1" x14ac:dyDescent="0.25">
      <c r="A314" s="638">
        <v>263</v>
      </c>
      <c r="B314" s="632" t="s">
        <v>1490</v>
      </c>
      <c r="C314" s="632">
        <v>80101706</v>
      </c>
      <c r="D314" s="634" t="s">
        <v>1500</v>
      </c>
      <c r="E314" s="632" t="s">
        <v>48</v>
      </c>
      <c r="F314" s="632">
        <v>1</v>
      </c>
      <c r="G314" s="844" t="s">
        <v>166</v>
      </c>
      <c r="H314" s="845">
        <v>5.4666666666666668</v>
      </c>
      <c r="I314" s="632" t="s">
        <v>61</v>
      </c>
      <c r="J314" s="632" t="s">
        <v>66</v>
      </c>
      <c r="K314" s="632" t="s">
        <v>589</v>
      </c>
      <c r="L314" s="635">
        <v>28596133</v>
      </c>
      <c r="M314" s="636">
        <v>28596133</v>
      </c>
      <c r="N314" s="632" t="s">
        <v>51</v>
      </c>
      <c r="O314" s="632" t="s">
        <v>36</v>
      </c>
      <c r="P314" s="632" t="s">
        <v>508</v>
      </c>
      <c r="Q314" s="649"/>
      <c r="R314" s="637" t="s">
        <v>1706</v>
      </c>
      <c r="S314" s="637" t="s">
        <v>278</v>
      </c>
      <c r="T314" s="653">
        <v>43291</v>
      </c>
      <c r="U314" s="637" t="s">
        <v>1707</v>
      </c>
      <c r="V314" s="637" t="s">
        <v>659</v>
      </c>
      <c r="W314" s="654">
        <v>28247400</v>
      </c>
      <c r="X314" s="654"/>
      <c r="Y314" s="654">
        <v>28247400</v>
      </c>
      <c r="Z314" s="654">
        <v>28247400</v>
      </c>
      <c r="AA314" s="654">
        <f t="shared" si="30"/>
        <v>0</v>
      </c>
      <c r="AB314" s="897" t="s">
        <v>1708</v>
      </c>
      <c r="AC314" s="897">
        <v>29018</v>
      </c>
      <c r="AD314" s="897" t="s">
        <v>1593</v>
      </c>
      <c r="AE314" s="909">
        <v>43292</v>
      </c>
      <c r="AF314" s="909">
        <v>43455</v>
      </c>
      <c r="AG314" s="897" t="s">
        <v>757</v>
      </c>
      <c r="AH314" s="897" t="s">
        <v>758</v>
      </c>
    </row>
    <row r="315" spans="1:34" s="657" customFormat="1" ht="171" customHeight="1" x14ac:dyDescent="0.25">
      <c r="A315" s="638">
        <f t="shared" si="24"/>
        <v>264</v>
      </c>
      <c r="B315" s="632" t="s">
        <v>299</v>
      </c>
      <c r="C315" s="632">
        <v>80101706</v>
      </c>
      <c r="D315" s="634" t="s">
        <v>1501</v>
      </c>
      <c r="E315" s="632" t="s">
        <v>48</v>
      </c>
      <c r="F315" s="632">
        <v>1</v>
      </c>
      <c r="G315" s="844" t="s">
        <v>166</v>
      </c>
      <c r="H315" s="845" t="s">
        <v>639</v>
      </c>
      <c r="I315" s="632" t="s">
        <v>61</v>
      </c>
      <c r="J315" s="632" t="s">
        <v>66</v>
      </c>
      <c r="K315" s="632" t="s">
        <v>589</v>
      </c>
      <c r="L315" s="635">
        <v>46756667</v>
      </c>
      <c r="M315" s="636">
        <v>46756667</v>
      </c>
      <c r="N315" s="632" t="s">
        <v>51</v>
      </c>
      <c r="O315" s="632" t="s">
        <v>36</v>
      </c>
      <c r="P315" s="632" t="s">
        <v>493</v>
      </c>
      <c r="Q315" s="649"/>
      <c r="R315" s="637" t="s">
        <v>1709</v>
      </c>
      <c r="S315" s="637" t="s">
        <v>726</v>
      </c>
      <c r="T315" s="653">
        <v>43286</v>
      </c>
      <c r="U315" s="637" t="s">
        <v>1710</v>
      </c>
      <c r="V315" s="637" t="s">
        <v>659</v>
      </c>
      <c r="W315" s="654">
        <v>46756667</v>
      </c>
      <c r="X315" s="654"/>
      <c r="Y315" s="654">
        <v>46756667</v>
      </c>
      <c r="Z315" s="654">
        <v>46756667</v>
      </c>
      <c r="AA315" s="654">
        <f t="shared" si="30"/>
        <v>0</v>
      </c>
      <c r="AB315" s="897" t="s">
        <v>1711</v>
      </c>
      <c r="AC315" s="897">
        <v>29118</v>
      </c>
      <c r="AD315" s="897" t="s">
        <v>1593</v>
      </c>
      <c r="AE315" s="909">
        <v>43287</v>
      </c>
      <c r="AF315" s="909">
        <v>43455</v>
      </c>
      <c r="AG315" s="897" t="s">
        <v>724</v>
      </c>
      <c r="AH315" s="897" t="s">
        <v>299</v>
      </c>
    </row>
    <row r="316" spans="1:34" s="657" customFormat="1" ht="171" customHeight="1" x14ac:dyDescent="0.25">
      <c r="A316" s="638">
        <f t="shared" si="24"/>
        <v>265</v>
      </c>
      <c r="B316" s="632" t="s">
        <v>299</v>
      </c>
      <c r="C316" s="632">
        <v>80101706</v>
      </c>
      <c r="D316" s="634" t="s">
        <v>1501</v>
      </c>
      <c r="E316" s="632" t="s">
        <v>48</v>
      </c>
      <c r="F316" s="632">
        <v>1</v>
      </c>
      <c r="G316" s="844" t="s">
        <v>166</v>
      </c>
      <c r="H316" s="845" t="s">
        <v>639</v>
      </c>
      <c r="I316" s="632" t="s">
        <v>61</v>
      </c>
      <c r="J316" s="632" t="s">
        <v>66</v>
      </c>
      <c r="K316" s="632" t="s">
        <v>589</v>
      </c>
      <c r="L316" s="635">
        <v>49500000</v>
      </c>
      <c r="M316" s="636">
        <v>49500000</v>
      </c>
      <c r="N316" s="632" t="s">
        <v>51</v>
      </c>
      <c r="O316" s="632" t="s">
        <v>36</v>
      </c>
      <c r="P316" s="632" t="s">
        <v>493</v>
      </c>
      <c r="Q316" s="649"/>
      <c r="R316" s="637" t="s">
        <v>1712</v>
      </c>
      <c r="S316" s="637" t="s">
        <v>721</v>
      </c>
      <c r="T316" s="653">
        <v>43297</v>
      </c>
      <c r="U316" s="637" t="s">
        <v>1713</v>
      </c>
      <c r="V316" s="637" t="s">
        <v>659</v>
      </c>
      <c r="W316" s="654">
        <v>47400000</v>
      </c>
      <c r="X316" s="654"/>
      <c r="Y316" s="654">
        <v>47400000</v>
      </c>
      <c r="Z316" s="654">
        <v>47400000</v>
      </c>
      <c r="AA316" s="654">
        <f t="shared" si="30"/>
        <v>0</v>
      </c>
      <c r="AB316" s="897" t="s">
        <v>1714</v>
      </c>
      <c r="AC316" s="897">
        <v>29218</v>
      </c>
      <c r="AD316" s="897" t="s">
        <v>1593</v>
      </c>
      <c r="AE316" s="909">
        <v>43299</v>
      </c>
      <c r="AF316" s="909">
        <v>43455</v>
      </c>
      <c r="AG316" s="897" t="s">
        <v>724</v>
      </c>
      <c r="AH316" s="897" t="s">
        <v>299</v>
      </c>
    </row>
    <row r="317" spans="1:34" ht="139.5" customHeight="1" x14ac:dyDescent="0.25">
      <c r="A317" s="638">
        <f t="shared" si="24"/>
        <v>266</v>
      </c>
      <c r="B317" s="632" t="s">
        <v>529</v>
      </c>
      <c r="C317" s="632">
        <v>80101707</v>
      </c>
      <c r="D317" s="634" t="s">
        <v>1541</v>
      </c>
      <c r="E317" s="632" t="s">
        <v>48</v>
      </c>
      <c r="F317" s="632">
        <v>1</v>
      </c>
      <c r="G317" s="844" t="s">
        <v>166</v>
      </c>
      <c r="H317" s="845">
        <v>2</v>
      </c>
      <c r="I317" s="632" t="s">
        <v>61</v>
      </c>
      <c r="J317" s="632" t="s">
        <v>66</v>
      </c>
      <c r="K317" s="632" t="s">
        <v>589</v>
      </c>
      <c r="L317" s="635">
        <f>4700000*2</f>
        <v>9400000</v>
      </c>
      <c r="M317" s="636">
        <v>9400000</v>
      </c>
      <c r="N317" s="632" t="s">
        <v>51</v>
      </c>
      <c r="O317" s="632" t="s">
        <v>36</v>
      </c>
      <c r="P317" s="632" t="s">
        <v>1542</v>
      </c>
      <c r="Q317" s="649"/>
      <c r="R317" s="637" t="s">
        <v>1715</v>
      </c>
      <c r="S317" s="637" t="s">
        <v>1716</v>
      </c>
      <c r="T317" s="653">
        <v>43293</v>
      </c>
      <c r="U317" s="637" t="s">
        <v>1717</v>
      </c>
      <c r="V317" s="637" t="s">
        <v>659</v>
      </c>
      <c r="W317" s="654">
        <v>9400000</v>
      </c>
      <c r="X317" s="654"/>
      <c r="Y317" s="654">
        <v>9400000</v>
      </c>
      <c r="Z317" s="654">
        <v>9400000</v>
      </c>
      <c r="AA317" s="654">
        <f t="shared" si="30"/>
        <v>0</v>
      </c>
      <c r="AB317" s="637" t="s">
        <v>1718</v>
      </c>
      <c r="AC317" s="637">
        <v>31118</v>
      </c>
      <c r="AD317" s="637" t="s">
        <v>939</v>
      </c>
      <c r="AE317" s="653">
        <v>43297</v>
      </c>
      <c r="AF317" s="653">
        <v>43358</v>
      </c>
      <c r="AG317" s="637" t="s">
        <v>1649</v>
      </c>
      <c r="AH317" s="637" t="s">
        <v>529</v>
      </c>
    </row>
    <row r="318" spans="1:34" ht="114.75" customHeight="1" x14ac:dyDescent="0.25">
      <c r="A318" s="638">
        <f t="shared" si="24"/>
        <v>267</v>
      </c>
      <c r="B318" s="632" t="s">
        <v>264</v>
      </c>
      <c r="C318" s="632">
        <v>80101708</v>
      </c>
      <c r="D318" s="634" t="s">
        <v>1543</v>
      </c>
      <c r="E318" s="632" t="s">
        <v>48</v>
      </c>
      <c r="F318" s="632">
        <v>1</v>
      </c>
      <c r="G318" s="844" t="s">
        <v>166</v>
      </c>
      <c r="H318" s="845">
        <v>2</v>
      </c>
      <c r="I318" s="632" t="s">
        <v>61</v>
      </c>
      <c r="J318" s="632" t="s">
        <v>66</v>
      </c>
      <c r="K318" s="632" t="s">
        <v>589</v>
      </c>
      <c r="L318" s="635">
        <f>4897000*2</f>
        <v>9794000</v>
      </c>
      <c r="M318" s="636">
        <v>9794000</v>
      </c>
      <c r="N318" s="632" t="s">
        <v>51</v>
      </c>
      <c r="O318" s="632" t="s">
        <v>36</v>
      </c>
      <c r="P318" s="632" t="s">
        <v>1544</v>
      </c>
      <c r="Q318" s="649"/>
      <c r="R318" s="637" t="s">
        <v>1790</v>
      </c>
      <c r="S318" s="637" t="s">
        <v>1791</v>
      </c>
      <c r="T318" s="653">
        <v>43326</v>
      </c>
      <c r="U318" s="637" t="s">
        <v>1792</v>
      </c>
      <c r="V318" s="637" t="s">
        <v>659</v>
      </c>
      <c r="W318" s="654">
        <v>8680000</v>
      </c>
      <c r="X318" s="654"/>
      <c r="Y318" s="654">
        <v>8680000</v>
      </c>
      <c r="Z318" s="654">
        <v>8680000</v>
      </c>
      <c r="AA318" s="654">
        <f t="shared" si="30"/>
        <v>0</v>
      </c>
      <c r="AB318" s="637" t="s">
        <v>1793</v>
      </c>
      <c r="AC318" s="637">
        <v>31018</v>
      </c>
      <c r="AD318" s="637" t="s">
        <v>939</v>
      </c>
      <c r="AE318" s="653">
        <v>43327</v>
      </c>
      <c r="AF318" s="653">
        <v>43387</v>
      </c>
      <c r="AG318" s="637" t="s">
        <v>1794</v>
      </c>
      <c r="AH318" s="637" t="s">
        <v>816</v>
      </c>
    </row>
    <row r="319" spans="1:34" ht="114.75" customHeight="1" x14ac:dyDescent="0.25">
      <c r="A319" s="638">
        <f t="shared" si="24"/>
        <v>268</v>
      </c>
      <c r="B319" s="848" t="s">
        <v>612</v>
      </c>
      <c r="C319" s="876">
        <v>80101706</v>
      </c>
      <c r="D319" s="847" t="s">
        <v>528</v>
      </c>
      <c r="E319" s="848" t="s">
        <v>48</v>
      </c>
      <c r="F319" s="848">
        <v>1</v>
      </c>
      <c r="G319" s="849" t="s">
        <v>166</v>
      </c>
      <c r="H319" s="877">
        <v>5.47</v>
      </c>
      <c r="I319" s="848" t="s">
        <v>61</v>
      </c>
      <c r="J319" s="848" t="s">
        <v>66</v>
      </c>
      <c r="K319" s="848" t="s">
        <v>607</v>
      </c>
      <c r="L319" s="878">
        <v>41025000</v>
      </c>
      <c r="M319" s="878">
        <v>41025000</v>
      </c>
      <c r="N319" s="848" t="s">
        <v>51</v>
      </c>
      <c r="O319" s="848" t="s">
        <v>36</v>
      </c>
      <c r="P319" s="848" t="s">
        <v>306</v>
      </c>
      <c r="Q319" s="649"/>
      <c r="R319" s="637" t="s">
        <v>1719</v>
      </c>
      <c r="S319" s="637" t="s">
        <v>891</v>
      </c>
      <c r="T319" s="653">
        <v>43299</v>
      </c>
      <c r="U319" s="637" t="s">
        <v>1720</v>
      </c>
      <c r="V319" s="637" t="s">
        <v>659</v>
      </c>
      <c r="W319" s="654">
        <v>40250000</v>
      </c>
      <c r="X319" s="654"/>
      <c r="Y319" s="654">
        <v>40250000</v>
      </c>
      <c r="Z319" s="654">
        <v>40250000</v>
      </c>
      <c r="AA319" s="654"/>
      <c r="AB319" s="637" t="s">
        <v>1721</v>
      </c>
      <c r="AC319" s="637">
        <v>30918</v>
      </c>
      <c r="AD319" s="637" t="s">
        <v>1593</v>
      </c>
      <c r="AE319" s="653">
        <v>43300</v>
      </c>
      <c r="AF319" s="653">
        <v>43455</v>
      </c>
      <c r="AG319" s="637" t="s">
        <v>885</v>
      </c>
      <c r="AH319" s="637" t="s">
        <v>877</v>
      </c>
    </row>
    <row r="320" spans="1:34" ht="114.6" customHeight="1" x14ac:dyDescent="0.25">
      <c r="A320" s="638">
        <v>269</v>
      </c>
      <c r="B320" s="632" t="s">
        <v>512</v>
      </c>
      <c r="C320" s="632" t="s">
        <v>1566</v>
      </c>
      <c r="D320" s="634" t="s">
        <v>1567</v>
      </c>
      <c r="E320" s="632" t="s">
        <v>48</v>
      </c>
      <c r="F320" s="632">
        <v>1</v>
      </c>
      <c r="G320" s="844" t="s">
        <v>166</v>
      </c>
      <c r="H320" s="845" t="s">
        <v>1562</v>
      </c>
      <c r="I320" s="632" t="s">
        <v>173</v>
      </c>
      <c r="J320" s="632" t="s">
        <v>66</v>
      </c>
      <c r="K320" s="632" t="s">
        <v>598</v>
      </c>
      <c r="L320" s="635">
        <v>2817000</v>
      </c>
      <c r="M320" s="636">
        <v>2817000</v>
      </c>
      <c r="N320" s="632" t="s">
        <v>51</v>
      </c>
      <c r="O320" s="632" t="s">
        <v>36</v>
      </c>
      <c r="P320" s="632" t="s">
        <v>1563</v>
      </c>
      <c r="Q320" s="907"/>
      <c r="R320" s="637" t="s">
        <v>1731</v>
      </c>
      <c r="S320" s="637" t="s">
        <v>1795</v>
      </c>
      <c r="T320" s="653">
        <v>43322</v>
      </c>
      <c r="U320" s="637" t="s">
        <v>1796</v>
      </c>
      <c r="V320" s="637" t="s">
        <v>1210</v>
      </c>
      <c r="W320" s="654">
        <v>2813094.2</v>
      </c>
      <c r="X320" s="654"/>
      <c r="Y320" s="654">
        <v>2813094.2</v>
      </c>
      <c r="Z320" s="654">
        <v>2813094.2</v>
      </c>
      <c r="AA320" s="654"/>
      <c r="AB320" s="637" t="s">
        <v>1929</v>
      </c>
      <c r="AC320" s="637">
        <v>32818</v>
      </c>
      <c r="AD320" s="637" t="s">
        <v>1932</v>
      </c>
      <c r="AE320" s="653">
        <v>43322</v>
      </c>
      <c r="AF320" s="653">
        <v>43352</v>
      </c>
      <c r="AG320" s="637" t="s">
        <v>791</v>
      </c>
      <c r="AH320" s="637" t="s">
        <v>792</v>
      </c>
    </row>
    <row r="321" spans="1:49" ht="114.75" customHeight="1" x14ac:dyDescent="0.25">
      <c r="A321" s="638">
        <v>270</v>
      </c>
      <c r="B321" s="632" t="s">
        <v>1565</v>
      </c>
      <c r="C321" s="632">
        <v>80101706</v>
      </c>
      <c r="D321" s="634" t="s">
        <v>1498</v>
      </c>
      <c r="E321" s="848" t="s">
        <v>48</v>
      </c>
      <c r="F321" s="848">
        <v>1</v>
      </c>
      <c r="G321" s="849" t="s">
        <v>166</v>
      </c>
      <c r="H321" s="870">
        <v>4.5</v>
      </c>
      <c r="I321" s="848" t="s">
        <v>61</v>
      </c>
      <c r="J321" s="848" t="s">
        <v>66</v>
      </c>
      <c r="K321" s="848" t="s">
        <v>589</v>
      </c>
      <c r="L321" s="635">
        <f>3500000*4.5</f>
        <v>15750000</v>
      </c>
      <c r="M321" s="636">
        <v>15750000</v>
      </c>
      <c r="N321" s="632" t="s">
        <v>51</v>
      </c>
      <c r="O321" s="632" t="s">
        <v>36</v>
      </c>
      <c r="P321" s="632" t="s">
        <v>1564</v>
      </c>
      <c r="Q321" s="907"/>
      <c r="R321" s="637" t="s">
        <v>1797</v>
      </c>
      <c r="S321" s="637" t="s">
        <v>1798</v>
      </c>
      <c r="T321" s="653">
        <v>43322</v>
      </c>
      <c r="U321" s="637" t="s">
        <v>1799</v>
      </c>
      <c r="V321" s="637" t="s">
        <v>659</v>
      </c>
      <c r="W321" s="654">
        <v>15400000</v>
      </c>
      <c r="X321" s="654"/>
      <c r="Y321" s="654">
        <v>15400000</v>
      </c>
      <c r="Z321" s="654">
        <v>15400000</v>
      </c>
      <c r="AA321" s="654">
        <f t="shared" ref="AA321:AA323" si="31">Z321-Y321</f>
        <v>0</v>
      </c>
      <c r="AB321" s="637" t="s">
        <v>1800</v>
      </c>
      <c r="AC321" s="637">
        <v>32518</v>
      </c>
      <c r="AD321" s="637" t="s">
        <v>1593</v>
      </c>
      <c r="AE321" s="653">
        <v>43326</v>
      </c>
      <c r="AF321" s="653">
        <v>43455</v>
      </c>
      <c r="AG321" s="637" t="s">
        <v>1671</v>
      </c>
      <c r="AH321" s="637" t="s">
        <v>234</v>
      </c>
    </row>
    <row r="322" spans="1:49" ht="114.75" customHeight="1" x14ac:dyDescent="0.25">
      <c r="A322" s="638">
        <v>271</v>
      </c>
      <c r="B322" s="632" t="s">
        <v>1565</v>
      </c>
      <c r="C322" s="632">
        <v>80101706</v>
      </c>
      <c r="D322" s="634" t="s">
        <v>1498</v>
      </c>
      <c r="E322" s="848" t="s">
        <v>48</v>
      </c>
      <c r="F322" s="848">
        <v>1</v>
      </c>
      <c r="G322" s="849" t="s">
        <v>166</v>
      </c>
      <c r="H322" s="870">
        <v>5</v>
      </c>
      <c r="I322" s="848" t="s">
        <v>61</v>
      </c>
      <c r="J322" s="848" t="s">
        <v>66</v>
      </c>
      <c r="K322" s="848" t="s">
        <v>589</v>
      </c>
      <c r="L322" s="635">
        <f>3500000*4.5</f>
        <v>15750000</v>
      </c>
      <c r="M322" s="636">
        <v>15750000</v>
      </c>
      <c r="N322" s="632" t="s">
        <v>51</v>
      </c>
      <c r="O322" s="632" t="s">
        <v>36</v>
      </c>
      <c r="P322" s="632" t="s">
        <v>1564</v>
      </c>
      <c r="Q322" s="907"/>
      <c r="R322" s="637" t="s">
        <v>1801</v>
      </c>
      <c r="S322" s="637" t="s">
        <v>1802</v>
      </c>
      <c r="T322" s="653">
        <v>43322</v>
      </c>
      <c r="U322" s="637" t="s">
        <v>1799</v>
      </c>
      <c r="V322" s="637" t="s">
        <v>659</v>
      </c>
      <c r="W322" s="654">
        <v>15400000</v>
      </c>
      <c r="X322" s="654"/>
      <c r="Y322" s="654">
        <v>15400000</v>
      </c>
      <c r="Z322" s="654">
        <v>15400000</v>
      </c>
      <c r="AA322" s="654">
        <f t="shared" si="31"/>
        <v>0</v>
      </c>
      <c r="AB322" s="637" t="s">
        <v>1800</v>
      </c>
      <c r="AC322" s="637">
        <v>32618</v>
      </c>
      <c r="AD322" s="637" t="s">
        <v>1593</v>
      </c>
      <c r="AE322" s="653">
        <v>43326</v>
      </c>
      <c r="AF322" s="653">
        <v>43455</v>
      </c>
      <c r="AG322" s="637" t="s">
        <v>1671</v>
      </c>
      <c r="AH322" s="637" t="s">
        <v>234</v>
      </c>
    </row>
    <row r="323" spans="1:49" ht="114.75" customHeight="1" x14ac:dyDescent="0.25">
      <c r="A323" s="638">
        <f t="shared" si="24"/>
        <v>272</v>
      </c>
      <c r="B323" s="632" t="s">
        <v>299</v>
      </c>
      <c r="C323" s="632">
        <v>80101706</v>
      </c>
      <c r="D323" s="634" t="s">
        <v>1501</v>
      </c>
      <c r="E323" s="848" t="s">
        <v>48</v>
      </c>
      <c r="F323" s="848">
        <v>1</v>
      </c>
      <c r="G323" s="849" t="s">
        <v>166</v>
      </c>
      <c r="H323" s="870">
        <v>5</v>
      </c>
      <c r="I323" s="848" t="s">
        <v>61</v>
      </c>
      <c r="J323" s="848" t="s">
        <v>66</v>
      </c>
      <c r="K323" s="848" t="s">
        <v>589</v>
      </c>
      <c r="L323" s="635">
        <f>2500000*4.5</f>
        <v>11250000</v>
      </c>
      <c r="M323" s="636">
        <v>11250000</v>
      </c>
      <c r="N323" s="632" t="s">
        <v>51</v>
      </c>
      <c r="O323" s="632" t="s">
        <v>36</v>
      </c>
      <c r="P323" s="632" t="s">
        <v>493</v>
      </c>
      <c r="Q323" s="907"/>
      <c r="R323" s="637" t="s">
        <v>1803</v>
      </c>
      <c r="S323" s="637" t="s">
        <v>1804</v>
      </c>
      <c r="T323" s="653">
        <v>43326</v>
      </c>
      <c r="U323" s="637" t="s">
        <v>1805</v>
      </c>
      <c r="V323" s="637" t="s">
        <v>659</v>
      </c>
      <c r="W323" s="654">
        <v>10750000</v>
      </c>
      <c r="X323" s="654"/>
      <c r="Y323" s="654">
        <v>10750000</v>
      </c>
      <c r="Z323" s="654">
        <v>10750000</v>
      </c>
      <c r="AA323" s="654">
        <f t="shared" si="31"/>
        <v>0</v>
      </c>
      <c r="AB323" s="637" t="s">
        <v>1806</v>
      </c>
      <c r="AC323" s="637">
        <v>32418</v>
      </c>
      <c r="AD323" s="637" t="s">
        <v>1593</v>
      </c>
      <c r="AE323" s="653">
        <v>43326</v>
      </c>
      <c r="AF323" s="653">
        <v>43455</v>
      </c>
      <c r="AG323" s="637" t="s">
        <v>1807</v>
      </c>
      <c r="AH323" s="637" t="s">
        <v>1808</v>
      </c>
    </row>
    <row r="324" spans="1:49" ht="92.1" customHeight="1" x14ac:dyDescent="0.25">
      <c r="A324" s="638">
        <v>273</v>
      </c>
      <c r="B324" s="632" t="s">
        <v>262</v>
      </c>
      <c r="C324" s="633" t="s">
        <v>1569</v>
      </c>
      <c r="D324" s="634" t="s">
        <v>179</v>
      </c>
      <c r="E324" s="632" t="s">
        <v>48</v>
      </c>
      <c r="F324" s="632">
        <v>1</v>
      </c>
      <c r="G324" s="844" t="s">
        <v>166</v>
      </c>
      <c r="H324" s="845" t="s">
        <v>292</v>
      </c>
      <c r="I324" s="632" t="s">
        <v>55</v>
      </c>
      <c r="J324" s="632" t="s">
        <v>35</v>
      </c>
      <c r="K324" s="632" t="s">
        <v>193</v>
      </c>
      <c r="L324" s="635">
        <v>3000000</v>
      </c>
      <c r="M324" s="636">
        <v>3000000</v>
      </c>
      <c r="N324" s="632" t="s">
        <v>51</v>
      </c>
      <c r="O324" s="632" t="s">
        <v>36</v>
      </c>
      <c r="P324" s="632" t="s">
        <v>317</v>
      </c>
      <c r="Q324" s="907"/>
      <c r="R324" s="897" t="s">
        <v>1809</v>
      </c>
      <c r="S324" s="897" t="s">
        <v>1810</v>
      </c>
      <c r="T324" s="909">
        <v>43325</v>
      </c>
      <c r="U324" s="897" t="s">
        <v>1811</v>
      </c>
      <c r="V324" s="897" t="s">
        <v>644</v>
      </c>
      <c r="W324" s="886">
        <v>1250000</v>
      </c>
      <c r="X324" s="654"/>
      <c r="Y324" s="886">
        <v>1250000</v>
      </c>
      <c r="Z324" s="886">
        <v>1250000</v>
      </c>
      <c r="AA324" s="886"/>
      <c r="AB324" s="637" t="s">
        <v>1930</v>
      </c>
      <c r="AC324" s="897">
        <v>32018</v>
      </c>
      <c r="AD324" s="897" t="s">
        <v>1812</v>
      </c>
      <c r="AE324" s="909">
        <v>43325</v>
      </c>
      <c r="AF324" s="909">
        <v>43434</v>
      </c>
      <c r="AG324" s="897" t="s">
        <v>1813</v>
      </c>
      <c r="AH324" s="897" t="s">
        <v>1814</v>
      </c>
    </row>
    <row r="325" spans="1:49" ht="98.45" customHeight="1" x14ac:dyDescent="0.25">
      <c r="A325" s="638">
        <v>274</v>
      </c>
      <c r="B325" s="632" t="s">
        <v>262</v>
      </c>
      <c r="C325" s="633">
        <v>44103104</v>
      </c>
      <c r="D325" s="634" t="s">
        <v>201</v>
      </c>
      <c r="E325" s="632" t="s">
        <v>48</v>
      </c>
      <c r="F325" s="632">
        <v>1</v>
      </c>
      <c r="G325" s="844" t="s">
        <v>81</v>
      </c>
      <c r="H325" s="845" t="s">
        <v>156</v>
      </c>
      <c r="I325" s="632" t="s">
        <v>53</v>
      </c>
      <c r="J325" s="632" t="s">
        <v>35</v>
      </c>
      <c r="K325" s="632" t="s">
        <v>41</v>
      </c>
      <c r="L325" s="635">
        <v>2100000</v>
      </c>
      <c r="M325" s="635">
        <v>2100000</v>
      </c>
      <c r="N325" s="632" t="s">
        <v>51</v>
      </c>
      <c r="O325" s="632" t="s">
        <v>36</v>
      </c>
      <c r="P325" s="632" t="s">
        <v>317</v>
      </c>
      <c r="Q325" s="910"/>
      <c r="R325" s="637" t="s">
        <v>1729</v>
      </c>
      <c r="S325" s="637" t="s">
        <v>1815</v>
      </c>
      <c r="T325" s="653">
        <v>43341</v>
      </c>
      <c r="U325" s="637" t="s">
        <v>1816</v>
      </c>
      <c r="V325" s="637" t="s">
        <v>1210</v>
      </c>
      <c r="W325" s="654">
        <v>2082500</v>
      </c>
      <c r="X325" s="654">
        <v>0</v>
      </c>
      <c r="Y325" s="654">
        <v>2082500</v>
      </c>
      <c r="Z325" s="654">
        <v>2082500</v>
      </c>
      <c r="AA325" s="654"/>
      <c r="AB325" s="637" t="s">
        <v>1931</v>
      </c>
      <c r="AC325" s="637">
        <v>33518</v>
      </c>
      <c r="AD325" s="897" t="s">
        <v>1933</v>
      </c>
      <c r="AE325" s="653">
        <v>43341</v>
      </c>
      <c r="AF325" s="653">
        <v>43402</v>
      </c>
      <c r="AG325" s="637" t="s">
        <v>1817</v>
      </c>
      <c r="AH325" s="637" t="s">
        <v>1814</v>
      </c>
    </row>
    <row r="326" spans="1:49" ht="174.6" customHeight="1" x14ac:dyDescent="0.25">
      <c r="A326" s="638">
        <v>275</v>
      </c>
      <c r="B326" s="848" t="s">
        <v>612</v>
      </c>
      <c r="C326" s="876">
        <v>80101706</v>
      </c>
      <c r="D326" s="847" t="s">
        <v>1722</v>
      </c>
      <c r="E326" s="848" t="s">
        <v>48</v>
      </c>
      <c r="F326" s="848">
        <v>1</v>
      </c>
      <c r="G326" s="849" t="s">
        <v>81</v>
      </c>
      <c r="H326" s="877">
        <v>4.5</v>
      </c>
      <c r="I326" s="848" t="s">
        <v>61</v>
      </c>
      <c r="J326" s="848" t="s">
        <v>66</v>
      </c>
      <c r="K326" s="632" t="s">
        <v>1504</v>
      </c>
      <c r="L326" s="878">
        <v>36190000</v>
      </c>
      <c r="M326" s="878">
        <v>36190000</v>
      </c>
      <c r="N326" s="848" t="s">
        <v>51</v>
      </c>
      <c r="O326" s="848" t="s">
        <v>36</v>
      </c>
      <c r="P326" s="848" t="s">
        <v>306</v>
      </c>
      <c r="Q326" s="907"/>
      <c r="R326" s="736" t="s">
        <v>1818</v>
      </c>
      <c r="S326" s="736" t="s">
        <v>1819</v>
      </c>
      <c r="T326" s="911">
        <v>43318</v>
      </c>
      <c r="U326" s="736" t="s">
        <v>1820</v>
      </c>
      <c r="V326" s="736" t="s">
        <v>659</v>
      </c>
      <c r="W326" s="888">
        <v>34394000</v>
      </c>
      <c r="X326" s="654"/>
      <c r="Y326" s="888">
        <v>34394000</v>
      </c>
      <c r="Z326" s="888">
        <v>34394000</v>
      </c>
      <c r="AA326" s="888"/>
      <c r="AB326" s="736" t="s">
        <v>1821</v>
      </c>
      <c r="AC326" s="736">
        <v>32918</v>
      </c>
      <c r="AD326" s="736" t="s">
        <v>1593</v>
      </c>
      <c r="AE326" s="911">
        <v>43321</v>
      </c>
      <c r="AF326" s="911">
        <v>43455</v>
      </c>
      <c r="AG326" s="736" t="s">
        <v>885</v>
      </c>
      <c r="AH326" s="736" t="s">
        <v>877</v>
      </c>
    </row>
    <row r="327" spans="1:49" ht="133.5" customHeight="1" x14ac:dyDescent="0.25">
      <c r="A327" s="638">
        <v>276</v>
      </c>
      <c r="B327" s="632" t="s">
        <v>612</v>
      </c>
      <c r="C327" s="632">
        <v>80101706</v>
      </c>
      <c r="D327" s="634" t="s">
        <v>1723</v>
      </c>
      <c r="E327" s="632" t="s">
        <v>48</v>
      </c>
      <c r="F327" s="632">
        <v>1</v>
      </c>
      <c r="G327" s="844" t="s">
        <v>81</v>
      </c>
      <c r="H327" s="879">
        <v>4.5</v>
      </c>
      <c r="I327" s="632" t="s">
        <v>61</v>
      </c>
      <c r="J327" s="632" t="s">
        <v>66</v>
      </c>
      <c r="K327" s="632" t="s">
        <v>1504</v>
      </c>
      <c r="L327" s="635">
        <v>27000000</v>
      </c>
      <c r="M327" s="635">
        <v>27000000</v>
      </c>
      <c r="N327" s="632" t="s">
        <v>51</v>
      </c>
      <c r="O327" s="632" t="s">
        <v>36</v>
      </c>
      <c r="P327" s="632" t="s">
        <v>306</v>
      </c>
      <c r="Q327" s="907"/>
      <c r="R327" s="637" t="s">
        <v>1822</v>
      </c>
      <c r="S327" s="637" t="s">
        <v>1823</v>
      </c>
      <c r="T327" s="653">
        <v>43329</v>
      </c>
      <c r="U327" s="637" t="s">
        <v>1824</v>
      </c>
      <c r="V327" s="637" t="s">
        <v>659</v>
      </c>
      <c r="W327" s="654">
        <v>24000000</v>
      </c>
      <c r="X327" s="654"/>
      <c r="Y327" s="654">
        <v>24000000</v>
      </c>
      <c r="Z327" s="654">
        <v>24000000</v>
      </c>
      <c r="AA327" s="654"/>
      <c r="AB327" s="637" t="s">
        <v>1825</v>
      </c>
      <c r="AC327" s="637">
        <v>33818</v>
      </c>
      <c r="AD327" s="637" t="s">
        <v>1593</v>
      </c>
      <c r="AE327" s="653">
        <v>43339</v>
      </c>
      <c r="AF327" s="653">
        <v>43455</v>
      </c>
      <c r="AG327" s="637" t="s">
        <v>1826</v>
      </c>
      <c r="AH327" s="637" t="s">
        <v>877</v>
      </c>
    </row>
    <row r="328" spans="1:49" ht="127.5" customHeight="1" x14ac:dyDescent="0.25">
      <c r="A328" s="638">
        <v>277</v>
      </c>
      <c r="B328" s="632" t="s">
        <v>612</v>
      </c>
      <c r="C328" s="632">
        <v>80101706</v>
      </c>
      <c r="D328" s="634" t="s">
        <v>1723</v>
      </c>
      <c r="E328" s="632" t="s">
        <v>48</v>
      </c>
      <c r="F328" s="632">
        <v>1</v>
      </c>
      <c r="G328" s="844" t="s">
        <v>81</v>
      </c>
      <c r="H328" s="879">
        <v>4.5</v>
      </c>
      <c r="I328" s="632" t="s">
        <v>61</v>
      </c>
      <c r="J328" s="632" t="s">
        <v>66</v>
      </c>
      <c r="K328" s="632" t="s">
        <v>1504</v>
      </c>
      <c r="L328" s="635">
        <v>27000000</v>
      </c>
      <c r="M328" s="635">
        <v>27000000</v>
      </c>
      <c r="N328" s="632" t="s">
        <v>51</v>
      </c>
      <c r="O328" s="632" t="s">
        <v>36</v>
      </c>
      <c r="P328" s="632" t="s">
        <v>306</v>
      </c>
      <c r="Q328" s="907"/>
      <c r="R328" s="637" t="s">
        <v>1827</v>
      </c>
      <c r="S328" s="637" t="s">
        <v>1828</v>
      </c>
      <c r="T328" s="653">
        <v>43329</v>
      </c>
      <c r="U328" s="637" t="s">
        <v>1824</v>
      </c>
      <c r="V328" s="637" t="s">
        <v>659</v>
      </c>
      <c r="W328" s="654">
        <v>24000000</v>
      </c>
      <c r="X328" s="654"/>
      <c r="Y328" s="654">
        <v>24000000</v>
      </c>
      <c r="Z328" s="654">
        <v>24000000</v>
      </c>
      <c r="AA328" s="654"/>
      <c r="AB328" s="637" t="s">
        <v>1825</v>
      </c>
      <c r="AC328" s="637">
        <v>33918</v>
      </c>
      <c r="AD328" s="637" t="s">
        <v>1593</v>
      </c>
      <c r="AE328" s="653">
        <v>43339</v>
      </c>
      <c r="AF328" s="653">
        <v>43455</v>
      </c>
      <c r="AG328" s="637" t="s">
        <v>1826</v>
      </c>
      <c r="AH328" s="637" t="s">
        <v>877</v>
      </c>
    </row>
    <row r="329" spans="1:49" ht="132.94999999999999" customHeight="1" x14ac:dyDescent="0.25">
      <c r="A329" s="638">
        <v>278</v>
      </c>
      <c r="B329" s="632" t="s">
        <v>612</v>
      </c>
      <c r="C329" s="632">
        <v>80101706</v>
      </c>
      <c r="D329" s="634" t="s">
        <v>1723</v>
      </c>
      <c r="E329" s="632" t="s">
        <v>48</v>
      </c>
      <c r="F329" s="632">
        <v>1</v>
      </c>
      <c r="G329" s="844" t="s">
        <v>81</v>
      </c>
      <c r="H329" s="879">
        <v>4.5</v>
      </c>
      <c r="I329" s="632" t="s">
        <v>61</v>
      </c>
      <c r="J329" s="632" t="s">
        <v>66</v>
      </c>
      <c r="K329" s="632" t="s">
        <v>1504</v>
      </c>
      <c r="L329" s="635">
        <v>27000000</v>
      </c>
      <c r="M329" s="635">
        <v>27000000</v>
      </c>
      <c r="N329" s="632" t="s">
        <v>51</v>
      </c>
      <c r="O329" s="632" t="s">
        <v>36</v>
      </c>
      <c r="P329" s="632" t="s">
        <v>306</v>
      </c>
      <c r="Q329" s="907"/>
      <c r="R329" s="637" t="s">
        <v>1829</v>
      </c>
      <c r="S329" s="637" t="s">
        <v>1830</v>
      </c>
      <c r="T329" s="653">
        <v>43334</v>
      </c>
      <c r="U329" s="637" t="s">
        <v>1824</v>
      </c>
      <c r="V329" s="637" t="s">
        <v>659</v>
      </c>
      <c r="W329" s="654">
        <v>14700000</v>
      </c>
      <c r="X329" s="654"/>
      <c r="Y329" s="654">
        <v>24000000</v>
      </c>
      <c r="Z329" s="654">
        <v>24000000</v>
      </c>
      <c r="AA329" s="654"/>
      <c r="AB329" s="637" t="s">
        <v>1831</v>
      </c>
      <c r="AC329" s="637">
        <v>34318</v>
      </c>
      <c r="AD329" s="637" t="s">
        <v>1832</v>
      </c>
      <c r="AE329" s="653" t="s">
        <v>1833</v>
      </c>
      <c r="AF329" s="653">
        <v>43407</v>
      </c>
      <c r="AG329" s="637" t="s">
        <v>1834</v>
      </c>
      <c r="AH329" s="637" t="s">
        <v>830</v>
      </c>
    </row>
    <row r="330" spans="1:49" ht="98.45" customHeight="1" x14ac:dyDescent="0.25">
      <c r="A330" s="638">
        <v>279</v>
      </c>
      <c r="B330" s="632" t="s">
        <v>612</v>
      </c>
      <c r="C330" s="632">
        <v>80101706</v>
      </c>
      <c r="D330" s="634" t="s">
        <v>1723</v>
      </c>
      <c r="E330" s="632" t="s">
        <v>48</v>
      </c>
      <c r="F330" s="632">
        <v>1</v>
      </c>
      <c r="G330" s="844" t="s">
        <v>81</v>
      </c>
      <c r="H330" s="879">
        <v>4.5</v>
      </c>
      <c r="I330" s="632" t="s">
        <v>61</v>
      </c>
      <c r="J330" s="632" t="s">
        <v>66</v>
      </c>
      <c r="K330" s="632" t="s">
        <v>1504</v>
      </c>
      <c r="L330" s="635">
        <v>27000000</v>
      </c>
      <c r="M330" s="635">
        <v>27000000</v>
      </c>
      <c r="N330" s="632" t="s">
        <v>51</v>
      </c>
      <c r="O330" s="632" t="s">
        <v>36</v>
      </c>
      <c r="P330" s="632" t="s">
        <v>306</v>
      </c>
      <c r="Q330" s="907"/>
      <c r="R330" s="637" t="s">
        <v>1835</v>
      </c>
      <c r="S330" s="637" t="s">
        <v>1836</v>
      </c>
      <c r="T330" s="653">
        <v>43329</v>
      </c>
      <c r="U330" s="637" t="s">
        <v>1824</v>
      </c>
      <c r="V330" s="637" t="s">
        <v>659</v>
      </c>
      <c r="W330" s="654">
        <v>24000000</v>
      </c>
      <c r="X330" s="654"/>
      <c r="Y330" s="654">
        <v>24000000</v>
      </c>
      <c r="Z330" s="654">
        <v>24000000</v>
      </c>
      <c r="AA330" s="654"/>
      <c r="AB330" s="637" t="s">
        <v>1825</v>
      </c>
      <c r="AC330" s="637">
        <v>34118</v>
      </c>
      <c r="AD330" s="637" t="s">
        <v>1593</v>
      </c>
      <c r="AE330" s="653">
        <v>43339</v>
      </c>
      <c r="AF330" s="653">
        <v>43455</v>
      </c>
      <c r="AG330" s="637" t="s">
        <v>885</v>
      </c>
      <c r="AH330" s="637" t="s">
        <v>877</v>
      </c>
    </row>
    <row r="331" spans="1:49" s="657" customFormat="1" ht="98.45" customHeight="1" x14ac:dyDescent="0.25">
      <c r="A331" s="638">
        <v>280</v>
      </c>
      <c r="B331" s="848" t="s">
        <v>171</v>
      </c>
      <c r="C331" s="633">
        <v>80101706</v>
      </c>
      <c r="D331" s="634" t="s">
        <v>525</v>
      </c>
      <c r="E331" s="632" t="s">
        <v>48</v>
      </c>
      <c r="F331" s="632">
        <v>1</v>
      </c>
      <c r="G331" s="849" t="s">
        <v>81</v>
      </c>
      <c r="H331" s="845" t="s">
        <v>157</v>
      </c>
      <c r="I331" s="632" t="s">
        <v>61</v>
      </c>
      <c r="J331" s="632" t="s">
        <v>66</v>
      </c>
      <c r="K331" s="632" t="s">
        <v>589</v>
      </c>
      <c r="L331" s="635">
        <f>9185500*2</f>
        <v>18371000</v>
      </c>
      <c r="M331" s="636">
        <v>18371000</v>
      </c>
      <c r="N331" s="632" t="s">
        <v>51</v>
      </c>
      <c r="O331" s="632" t="s">
        <v>36</v>
      </c>
      <c r="P331" s="632" t="s">
        <v>524</v>
      </c>
      <c r="Q331" s="907"/>
      <c r="R331" s="637" t="s">
        <v>1872</v>
      </c>
      <c r="S331" s="637" t="s">
        <v>1081</v>
      </c>
      <c r="T331" s="653">
        <v>43319</v>
      </c>
      <c r="U331" s="637" t="s">
        <v>1873</v>
      </c>
      <c r="V331" s="637" t="s">
        <v>659</v>
      </c>
      <c r="W331" s="654">
        <v>18371000</v>
      </c>
      <c r="X331" s="654"/>
      <c r="Y331" s="654">
        <v>18371000</v>
      </c>
      <c r="Z331" s="654">
        <v>18371000</v>
      </c>
      <c r="AA331" s="654">
        <f t="shared" ref="AA331:AA333" si="32">Z331-Y331</f>
        <v>0</v>
      </c>
      <c r="AB331" s="637" t="s">
        <v>1874</v>
      </c>
      <c r="AC331" s="637">
        <v>34418</v>
      </c>
      <c r="AD331" s="637" t="s">
        <v>1875</v>
      </c>
      <c r="AE331" s="653">
        <v>43353</v>
      </c>
      <c r="AF331" s="653">
        <v>43413</v>
      </c>
      <c r="AG331" s="637" t="s">
        <v>850</v>
      </c>
      <c r="AH331" s="637" t="s">
        <v>851</v>
      </c>
      <c r="AI331"/>
      <c r="AJ331"/>
      <c r="AK331"/>
      <c r="AL331"/>
      <c r="AM331"/>
      <c r="AN331"/>
      <c r="AO331"/>
      <c r="AP331"/>
      <c r="AQ331"/>
      <c r="AR331"/>
      <c r="AS331"/>
      <c r="AT331"/>
      <c r="AU331"/>
      <c r="AV331"/>
      <c r="AW331"/>
    </row>
    <row r="332" spans="1:49" s="657" customFormat="1" ht="129" customHeight="1" x14ac:dyDescent="0.25">
      <c r="A332" s="638">
        <v>281</v>
      </c>
      <c r="B332" s="848" t="s">
        <v>1724</v>
      </c>
      <c r="C332" s="633">
        <v>80101706</v>
      </c>
      <c r="D332" s="634" t="s">
        <v>521</v>
      </c>
      <c r="E332" s="632" t="s">
        <v>48</v>
      </c>
      <c r="F332" s="632">
        <v>1</v>
      </c>
      <c r="G332" s="849" t="s">
        <v>81</v>
      </c>
      <c r="H332" s="845" t="s">
        <v>157</v>
      </c>
      <c r="I332" s="632" t="s">
        <v>61</v>
      </c>
      <c r="J332" s="632" t="s">
        <v>66</v>
      </c>
      <c r="K332" s="632" t="s">
        <v>589</v>
      </c>
      <c r="L332" s="635">
        <f>7350000*2</f>
        <v>14700000</v>
      </c>
      <c r="M332" s="636">
        <v>14700000</v>
      </c>
      <c r="N332" s="632" t="s">
        <v>51</v>
      </c>
      <c r="O332" s="632" t="s">
        <v>36</v>
      </c>
      <c r="P332" s="632" t="s">
        <v>522</v>
      </c>
      <c r="Q332" s="907"/>
      <c r="R332" s="637" t="s">
        <v>1837</v>
      </c>
      <c r="S332" s="637" t="s">
        <v>258</v>
      </c>
      <c r="T332" s="653">
        <v>43346</v>
      </c>
      <c r="U332" s="637" t="s">
        <v>1838</v>
      </c>
      <c r="V332" s="637" t="s">
        <v>659</v>
      </c>
      <c r="W332" s="654">
        <v>24000000</v>
      </c>
      <c r="X332" s="654">
        <v>-9300000</v>
      </c>
      <c r="Y332" s="654">
        <v>14700000</v>
      </c>
      <c r="Z332" s="654">
        <v>14700000</v>
      </c>
      <c r="AA332" s="654">
        <f t="shared" si="32"/>
        <v>0</v>
      </c>
      <c r="AB332" s="637" t="s">
        <v>1825</v>
      </c>
      <c r="AC332" s="637">
        <v>34018</v>
      </c>
      <c r="AD332" s="637" t="s">
        <v>1593</v>
      </c>
      <c r="AE332" s="653">
        <v>43339</v>
      </c>
      <c r="AF332" s="653">
        <v>43455</v>
      </c>
      <c r="AG332" s="637" t="s">
        <v>1839</v>
      </c>
      <c r="AH332" s="637" t="s">
        <v>877</v>
      </c>
      <c r="AI332"/>
      <c r="AJ332"/>
      <c r="AK332"/>
      <c r="AL332"/>
      <c r="AM332"/>
      <c r="AN332"/>
      <c r="AO332"/>
      <c r="AP332"/>
      <c r="AQ332"/>
      <c r="AR332"/>
      <c r="AS332"/>
      <c r="AT332"/>
      <c r="AU332"/>
      <c r="AV332"/>
      <c r="AW332"/>
    </row>
    <row r="333" spans="1:49" s="657" customFormat="1" ht="98.45" customHeight="1" x14ac:dyDescent="0.25">
      <c r="A333" s="638">
        <v>282</v>
      </c>
      <c r="B333" s="848" t="s">
        <v>264</v>
      </c>
      <c r="C333" s="632">
        <v>80101708</v>
      </c>
      <c r="D333" s="634" t="s">
        <v>1543</v>
      </c>
      <c r="E333" s="632" t="s">
        <v>48</v>
      </c>
      <c r="F333" s="632">
        <v>1</v>
      </c>
      <c r="G333" s="849" t="s">
        <v>81</v>
      </c>
      <c r="H333" s="845" t="s">
        <v>1475</v>
      </c>
      <c r="I333" s="632" t="s">
        <v>61</v>
      </c>
      <c r="J333" s="632" t="s">
        <v>66</v>
      </c>
      <c r="K333" s="632" t="s">
        <v>589</v>
      </c>
      <c r="L333" s="635">
        <f>4897000*3.5</f>
        <v>17139500</v>
      </c>
      <c r="M333" s="636">
        <v>17139500</v>
      </c>
      <c r="N333" s="632" t="s">
        <v>51</v>
      </c>
      <c r="O333" s="632" t="s">
        <v>36</v>
      </c>
      <c r="P333" s="632" t="s">
        <v>1544</v>
      </c>
      <c r="Q333" s="907"/>
      <c r="R333" s="637" t="s">
        <v>1876</v>
      </c>
      <c r="S333" s="637" t="s">
        <v>1877</v>
      </c>
      <c r="T333" s="653">
        <v>43346</v>
      </c>
      <c r="U333" s="637" t="s">
        <v>1878</v>
      </c>
      <c r="V333" s="637" t="s">
        <v>659</v>
      </c>
      <c r="W333" s="654">
        <v>9794000</v>
      </c>
      <c r="X333" s="654"/>
      <c r="Y333" s="654">
        <v>9794000</v>
      </c>
      <c r="Z333" s="654">
        <v>9794000</v>
      </c>
      <c r="AA333" s="654">
        <f t="shared" si="32"/>
        <v>0</v>
      </c>
      <c r="AB333" s="637" t="s">
        <v>1879</v>
      </c>
      <c r="AC333" s="637">
        <v>34218</v>
      </c>
      <c r="AD333" s="637" t="s">
        <v>1880</v>
      </c>
      <c r="AE333" s="653">
        <v>43349</v>
      </c>
      <c r="AF333" s="653">
        <v>43409</v>
      </c>
      <c r="AG333" s="637" t="s">
        <v>1614</v>
      </c>
      <c r="AH333" s="637" t="s">
        <v>816</v>
      </c>
      <c r="AI333"/>
      <c r="AJ333"/>
      <c r="AK333"/>
      <c r="AL333"/>
      <c r="AM333"/>
      <c r="AN333"/>
      <c r="AO333"/>
      <c r="AP333"/>
      <c r="AQ333"/>
      <c r="AR333"/>
      <c r="AS333"/>
      <c r="AT333"/>
      <c r="AU333"/>
      <c r="AV333"/>
      <c r="AW333"/>
    </row>
    <row r="334" spans="1:49" s="657" customFormat="1" ht="122.25" customHeight="1" x14ac:dyDescent="0.25">
      <c r="A334" s="638">
        <v>283</v>
      </c>
      <c r="B334" s="848" t="s">
        <v>512</v>
      </c>
      <c r="C334" s="632">
        <v>80101706</v>
      </c>
      <c r="D334" s="634" t="s">
        <v>1491</v>
      </c>
      <c r="E334" s="632" t="s">
        <v>48</v>
      </c>
      <c r="F334" s="632">
        <v>1</v>
      </c>
      <c r="G334" s="849" t="s">
        <v>81</v>
      </c>
      <c r="H334" s="845" t="s">
        <v>1475</v>
      </c>
      <c r="I334" s="632" t="s">
        <v>61</v>
      </c>
      <c r="J334" s="632" t="s">
        <v>66</v>
      </c>
      <c r="K334" s="632" t="s">
        <v>598</v>
      </c>
      <c r="L334" s="635">
        <f>6000000*3.5</f>
        <v>21000000</v>
      </c>
      <c r="M334" s="636">
        <v>21000000</v>
      </c>
      <c r="N334" s="632" t="s">
        <v>51</v>
      </c>
      <c r="O334" s="632" t="s">
        <v>36</v>
      </c>
      <c r="P334" s="632" t="s">
        <v>514</v>
      </c>
      <c r="Q334" s="907"/>
      <c r="R334" s="637" t="s">
        <v>1840</v>
      </c>
      <c r="S334" s="637" t="s">
        <v>1164</v>
      </c>
      <c r="T334" s="653">
        <v>43342</v>
      </c>
      <c r="U334" s="637" t="s">
        <v>1841</v>
      </c>
      <c r="V334" s="637" t="s">
        <v>659</v>
      </c>
      <c r="W334" s="654">
        <v>21000000</v>
      </c>
      <c r="X334" s="654"/>
      <c r="Y334" s="654">
        <v>21000000</v>
      </c>
      <c r="Z334" s="654">
        <v>21000000</v>
      </c>
      <c r="AA334" s="654"/>
      <c r="AB334" s="637" t="s">
        <v>1842</v>
      </c>
      <c r="AC334" s="637">
        <v>34781</v>
      </c>
      <c r="AD334" s="637" t="s">
        <v>1843</v>
      </c>
      <c r="AE334" s="653">
        <v>43342</v>
      </c>
      <c r="AF334" s="653">
        <v>43448</v>
      </c>
      <c r="AG334" s="637" t="s">
        <v>1844</v>
      </c>
      <c r="AH334" s="637" t="s">
        <v>1845</v>
      </c>
      <c r="AI334"/>
      <c r="AJ334"/>
      <c r="AK334"/>
      <c r="AL334"/>
      <c r="AM334"/>
      <c r="AN334"/>
      <c r="AO334"/>
      <c r="AP334"/>
      <c r="AQ334"/>
      <c r="AR334"/>
      <c r="AS334"/>
      <c r="AT334"/>
      <c r="AU334"/>
      <c r="AV334"/>
      <c r="AW334"/>
    </row>
    <row r="335" spans="1:49" s="657" customFormat="1" ht="122.25" customHeight="1" x14ac:dyDescent="0.25">
      <c r="A335" s="638">
        <v>284</v>
      </c>
      <c r="B335" s="848" t="s">
        <v>512</v>
      </c>
      <c r="C335" s="632">
        <v>80101706</v>
      </c>
      <c r="D335" s="634" t="s">
        <v>1491</v>
      </c>
      <c r="E335" s="632" t="s">
        <v>48</v>
      </c>
      <c r="F335" s="632">
        <v>1</v>
      </c>
      <c r="G335" s="849" t="s">
        <v>81</v>
      </c>
      <c r="H335" s="845" t="s">
        <v>1475</v>
      </c>
      <c r="I335" s="632" t="s">
        <v>61</v>
      </c>
      <c r="J335" s="632" t="s">
        <v>66</v>
      </c>
      <c r="K335" s="632" t="s">
        <v>598</v>
      </c>
      <c r="L335" s="635">
        <f>6000000*3.5</f>
        <v>21000000</v>
      </c>
      <c r="M335" s="636">
        <v>21000000</v>
      </c>
      <c r="N335" s="632" t="s">
        <v>51</v>
      </c>
      <c r="O335" s="632" t="s">
        <v>36</v>
      </c>
      <c r="P335" s="632" t="s">
        <v>514</v>
      </c>
      <c r="Q335" s="907"/>
      <c r="R335" s="637" t="s">
        <v>1846</v>
      </c>
      <c r="S335" s="637" t="s">
        <v>1172</v>
      </c>
      <c r="T335" s="653">
        <v>43342</v>
      </c>
      <c r="U335" s="637" t="s">
        <v>1841</v>
      </c>
      <c r="V335" s="637" t="s">
        <v>659</v>
      </c>
      <c r="W335" s="654">
        <v>21000000</v>
      </c>
      <c r="X335" s="654"/>
      <c r="Y335" s="654">
        <v>21000000</v>
      </c>
      <c r="Z335" s="654">
        <v>21000000</v>
      </c>
      <c r="AA335" s="654"/>
      <c r="AB335" s="637" t="s">
        <v>1842</v>
      </c>
      <c r="AC335" s="637">
        <v>34818</v>
      </c>
      <c r="AD335" s="637" t="s">
        <v>1843</v>
      </c>
      <c r="AE335" s="653">
        <v>43342</v>
      </c>
      <c r="AF335" s="653">
        <v>43448</v>
      </c>
      <c r="AG335" s="637" t="s">
        <v>1844</v>
      </c>
      <c r="AH335" s="637" t="s">
        <v>1845</v>
      </c>
      <c r="AI335"/>
      <c r="AJ335"/>
      <c r="AK335"/>
      <c r="AL335"/>
      <c r="AM335"/>
      <c r="AN335"/>
      <c r="AO335"/>
      <c r="AP335"/>
      <c r="AQ335"/>
      <c r="AR335"/>
      <c r="AS335"/>
      <c r="AT335"/>
      <c r="AU335"/>
      <c r="AV335"/>
      <c r="AW335"/>
    </row>
    <row r="336" spans="1:49" s="657" customFormat="1" ht="122.25" customHeight="1" x14ac:dyDescent="0.25">
      <c r="A336" s="638">
        <v>285</v>
      </c>
      <c r="B336" s="848" t="s">
        <v>512</v>
      </c>
      <c r="C336" s="632">
        <v>80101706</v>
      </c>
      <c r="D336" s="634" t="s">
        <v>1491</v>
      </c>
      <c r="E336" s="632" t="s">
        <v>48</v>
      </c>
      <c r="F336" s="632">
        <v>1</v>
      </c>
      <c r="G336" s="849" t="s">
        <v>81</v>
      </c>
      <c r="H336" s="845" t="s">
        <v>1475</v>
      </c>
      <c r="I336" s="632" t="s">
        <v>61</v>
      </c>
      <c r="J336" s="632" t="s">
        <v>66</v>
      </c>
      <c r="K336" s="632" t="s">
        <v>598</v>
      </c>
      <c r="L336" s="635">
        <f>6000000*3.5</f>
        <v>21000000</v>
      </c>
      <c r="M336" s="636">
        <v>21000000</v>
      </c>
      <c r="N336" s="632" t="s">
        <v>51</v>
      </c>
      <c r="O336" s="632" t="s">
        <v>36</v>
      </c>
      <c r="P336" s="632" t="s">
        <v>514</v>
      </c>
      <c r="Q336" s="907"/>
      <c r="R336" s="637" t="s">
        <v>1847</v>
      </c>
      <c r="S336" s="637" t="s">
        <v>1162</v>
      </c>
      <c r="T336" s="653">
        <v>43342</v>
      </c>
      <c r="U336" s="637" t="s">
        <v>1841</v>
      </c>
      <c r="V336" s="637" t="s">
        <v>659</v>
      </c>
      <c r="W336" s="654">
        <v>21000000</v>
      </c>
      <c r="X336" s="654"/>
      <c r="Y336" s="654">
        <v>21000000</v>
      </c>
      <c r="Z336" s="654">
        <v>21000000</v>
      </c>
      <c r="AA336" s="654"/>
      <c r="AB336" s="637" t="s">
        <v>1842</v>
      </c>
      <c r="AC336" s="637">
        <v>34918</v>
      </c>
      <c r="AD336" s="637" t="s">
        <v>1843</v>
      </c>
      <c r="AE336" s="653">
        <v>43342</v>
      </c>
      <c r="AF336" s="653">
        <v>43448</v>
      </c>
      <c r="AG336" s="637" t="s">
        <v>1844</v>
      </c>
      <c r="AH336" s="637" t="s">
        <v>1845</v>
      </c>
      <c r="AI336"/>
      <c r="AJ336"/>
      <c r="AK336"/>
      <c r="AL336"/>
      <c r="AM336"/>
      <c r="AN336"/>
      <c r="AO336"/>
      <c r="AP336"/>
      <c r="AQ336"/>
      <c r="AR336"/>
      <c r="AS336"/>
      <c r="AT336"/>
      <c r="AU336"/>
      <c r="AV336"/>
      <c r="AW336"/>
    </row>
    <row r="337" spans="1:49" s="657" customFormat="1" ht="122.25" customHeight="1" x14ac:dyDescent="0.25">
      <c r="A337" s="638">
        <v>286</v>
      </c>
      <c r="B337" s="848" t="s">
        <v>512</v>
      </c>
      <c r="C337" s="632">
        <v>80101706</v>
      </c>
      <c r="D337" s="634" t="s">
        <v>1491</v>
      </c>
      <c r="E337" s="632" t="s">
        <v>48</v>
      </c>
      <c r="F337" s="632">
        <v>1</v>
      </c>
      <c r="G337" s="849" t="s">
        <v>81</v>
      </c>
      <c r="H337" s="845" t="s">
        <v>1475</v>
      </c>
      <c r="I337" s="632" t="s">
        <v>61</v>
      </c>
      <c r="J337" s="632" t="s">
        <v>66</v>
      </c>
      <c r="K337" s="632" t="s">
        <v>598</v>
      </c>
      <c r="L337" s="635">
        <f>6000000*3.5</f>
        <v>21000000</v>
      </c>
      <c r="M337" s="636">
        <v>21000000</v>
      </c>
      <c r="N337" s="632" t="s">
        <v>51</v>
      </c>
      <c r="O337" s="632" t="s">
        <v>36</v>
      </c>
      <c r="P337" s="632" t="s">
        <v>514</v>
      </c>
      <c r="Q337" s="907"/>
      <c r="R337" s="637" t="s">
        <v>1848</v>
      </c>
      <c r="S337" s="637" t="s">
        <v>1170</v>
      </c>
      <c r="T337" s="653">
        <v>43342</v>
      </c>
      <c r="U337" s="637" t="s">
        <v>1841</v>
      </c>
      <c r="V337" s="637" t="s">
        <v>659</v>
      </c>
      <c r="W337" s="654">
        <v>21000000</v>
      </c>
      <c r="X337" s="654"/>
      <c r="Y337" s="654">
        <v>21000000</v>
      </c>
      <c r="Z337" s="654">
        <v>21000000</v>
      </c>
      <c r="AA337" s="654"/>
      <c r="AB337" s="637" t="s">
        <v>1842</v>
      </c>
      <c r="AC337" s="637">
        <v>35018</v>
      </c>
      <c r="AD337" s="637" t="s">
        <v>1843</v>
      </c>
      <c r="AE337" s="653">
        <v>43342</v>
      </c>
      <c r="AF337" s="653">
        <v>43448</v>
      </c>
      <c r="AG337" s="637" t="s">
        <v>1844</v>
      </c>
      <c r="AH337" s="637" t="s">
        <v>1845</v>
      </c>
      <c r="AI337"/>
      <c r="AJ337"/>
      <c r="AK337"/>
      <c r="AL337"/>
      <c r="AM337"/>
      <c r="AN337"/>
      <c r="AO337"/>
      <c r="AP337"/>
      <c r="AQ337"/>
      <c r="AR337"/>
      <c r="AS337"/>
      <c r="AT337"/>
      <c r="AU337"/>
      <c r="AV337"/>
      <c r="AW337"/>
    </row>
    <row r="338" spans="1:49" s="657" customFormat="1" ht="122.25" customHeight="1" x14ac:dyDescent="0.25">
      <c r="A338" s="638">
        <v>287</v>
      </c>
      <c r="B338" s="848" t="s">
        <v>512</v>
      </c>
      <c r="C338" s="632">
        <v>80101706</v>
      </c>
      <c r="D338" s="634" t="s">
        <v>1491</v>
      </c>
      <c r="E338" s="632" t="s">
        <v>48</v>
      </c>
      <c r="F338" s="632">
        <v>1</v>
      </c>
      <c r="G338" s="849" t="s">
        <v>81</v>
      </c>
      <c r="H338" s="845" t="s">
        <v>1475</v>
      </c>
      <c r="I338" s="632" t="s">
        <v>61</v>
      </c>
      <c r="J338" s="632" t="s">
        <v>66</v>
      </c>
      <c r="K338" s="632" t="s">
        <v>598</v>
      </c>
      <c r="L338" s="635">
        <f>6000000*3.5</f>
        <v>21000000</v>
      </c>
      <c r="M338" s="636">
        <v>21000000</v>
      </c>
      <c r="N338" s="632" t="s">
        <v>51</v>
      </c>
      <c r="O338" s="632" t="s">
        <v>36</v>
      </c>
      <c r="P338" s="632" t="s">
        <v>514</v>
      </c>
      <c r="Q338" s="907"/>
      <c r="R338" s="637" t="s">
        <v>1849</v>
      </c>
      <c r="S338" s="637" t="s">
        <v>1850</v>
      </c>
      <c r="T338" s="653">
        <v>43342</v>
      </c>
      <c r="U338" s="637" t="s">
        <v>1841</v>
      </c>
      <c r="V338" s="637" t="s">
        <v>659</v>
      </c>
      <c r="W338" s="654">
        <v>21000000</v>
      </c>
      <c r="X338" s="654"/>
      <c r="Y338" s="654">
        <v>21000000</v>
      </c>
      <c r="Z338" s="654">
        <v>21000000</v>
      </c>
      <c r="AA338" s="654"/>
      <c r="AB338" s="637" t="s">
        <v>1842</v>
      </c>
      <c r="AC338" s="637">
        <v>35118</v>
      </c>
      <c r="AD338" s="637" t="s">
        <v>1843</v>
      </c>
      <c r="AE338" s="653">
        <v>43342</v>
      </c>
      <c r="AF338" s="653">
        <v>43448</v>
      </c>
      <c r="AG338" s="637" t="s">
        <v>1844</v>
      </c>
      <c r="AH338" s="637" t="s">
        <v>1845</v>
      </c>
      <c r="AI338"/>
      <c r="AJ338"/>
      <c r="AK338"/>
      <c r="AL338"/>
      <c r="AM338"/>
      <c r="AN338"/>
      <c r="AO338"/>
      <c r="AP338"/>
      <c r="AQ338"/>
      <c r="AR338"/>
      <c r="AS338"/>
      <c r="AT338"/>
      <c r="AU338"/>
      <c r="AV338"/>
      <c r="AW338"/>
    </row>
    <row r="339" spans="1:49" s="657" customFormat="1" ht="122.25" customHeight="1" x14ac:dyDescent="0.25">
      <c r="A339" s="638">
        <v>288</v>
      </c>
      <c r="B339" s="632" t="s">
        <v>612</v>
      </c>
      <c r="C339" s="633">
        <v>80101706</v>
      </c>
      <c r="D339" s="634" t="s">
        <v>1727</v>
      </c>
      <c r="E339" s="632" t="s">
        <v>48</v>
      </c>
      <c r="F339" s="632">
        <v>1</v>
      </c>
      <c r="G339" s="844" t="s">
        <v>81</v>
      </c>
      <c r="H339" s="845" t="s">
        <v>292</v>
      </c>
      <c r="I339" s="632" t="s">
        <v>61</v>
      </c>
      <c r="J339" s="632" t="s">
        <v>66</v>
      </c>
      <c r="K339" s="632" t="s">
        <v>607</v>
      </c>
      <c r="L339" s="635">
        <v>20250000</v>
      </c>
      <c r="M339" s="636">
        <v>20250000</v>
      </c>
      <c r="N339" s="632" t="s">
        <v>51</v>
      </c>
      <c r="O339" s="632" t="s">
        <v>36</v>
      </c>
      <c r="P339" s="632" t="s">
        <v>306</v>
      </c>
      <c r="Q339" s="907"/>
      <c r="R339" s="637" t="s">
        <v>1851</v>
      </c>
      <c r="S339" s="637" t="s">
        <v>1852</v>
      </c>
      <c r="T339" s="653">
        <v>43343</v>
      </c>
      <c r="U339" s="637" t="s">
        <v>1853</v>
      </c>
      <c r="V339" s="637" t="s">
        <v>659</v>
      </c>
      <c r="W339" s="654">
        <v>16650000</v>
      </c>
      <c r="X339" s="654"/>
      <c r="Y339" s="654">
        <v>16650000</v>
      </c>
      <c r="Z339" s="654">
        <v>16650000</v>
      </c>
      <c r="AA339" s="654"/>
      <c r="AB339" s="637" t="s">
        <v>1854</v>
      </c>
      <c r="AC339" s="637">
        <v>35218</v>
      </c>
      <c r="AD339" s="637" t="s">
        <v>1593</v>
      </c>
      <c r="AE339" s="653">
        <v>43343</v>
      </c>
      <c r="AF339" s="653">
        <v>43455</v>
      </c>
      <c r="AG339" s="637" t="s">
        <v>1855</v>
      </c>
      <c r="AH339" s="637" t="s">
        <v>877</v>
      </c>
      <c r="AI339"/>
      <c r="AJ339"/>
      <c r="AK339"/>
      <c r="AL339"/>
      <c r="AM339"/>
      <c r="AN339"/>
      <c r="AO339"/>
      <c r="AP339"/>
      <c r="AQ339"/>
      <c r="AR339"/>
      <c r="AS339"/>
      <c r="AT339"/>
      <c r="AU339"/>
      <c r="AV339"/>
      <c r="AW339"/>
    </row>
    <row r="340" spans="1:49" s="657" customFormat="1" ht="110.45" customHeight="1" x14ac:dyDescent="0.25">
      <c r="A340" s="846">
        <f>SUM(A339+1)</f>
        <v>289</v>
      </c>
      <c r="B340" s="632" t="s">
        <v>313</v>
      </c>
      <c r="C340" s="633">
        <v>78181500</v>
      </c>
      <c r="D340" s="634" t="s">
        <v>581</v>
      </c>
      <c r="E340" s="632" t="s">
        <v>48</v>
      </c>
      <c r="F340" s="632">
        <v>1</v>
      </c>
      <c r="G340" s="844" t="s">
        <v>180</v>
      </c>
      <c r="H340" s="853" t="s">
        <v>1243</v>
      </c>
      <c r="I340" s="632" t="s">
        <v>432</v>
      </c>
      <c r="J340" s="632" t="s">
        <v>35</v>
      </c>
      <c r="K340" s="632" t="s">
        <v>450</v>
      </c>
      <c r="L340" s="635">
        <v>48000000</v>
      </c>
      <c r="M340" s="635">
        <v>1000000</v>
      </c>
      <c r="N340" s="632" t="s">
        <v>49</v>
      </c>
      <c r="O340" s="632" t="s">
        <v>36</v>
      </c>
      <c r="P340" s="632" t="s">
        <v>317</v>
      </c>
      <c r="Q340" s="907"/>
      <c r="R340" s="912"/>
      <c r="S340" s="912"/>
      <c r="T340" s="912"/>
      <c r="U340" s="912"/>
      <c r="V340" s="907"/>
      <c r="W340" s="907"/>
      <c r="X340" s="654"/>
      <c r="Y340" s="907"/>
      <c r="Z340" s="907"/>
      <c r="AA340" s="907"/>
      <c r="AB340" s="907"/>
      <c r="AC340" s="907"/>
      <c r="AD340" s="907"/>
      <c r="AE340" s="907"/>
      <c r="AF340" s="907"/>
      <c r="AG340" s="907"/>
      <c r="AH340" s="907"/>
      <c r="AI340"/>
      <c r="AJ340"/>
      <c r="AK340"/>
      <c r="AL340"/>
      <c r="AM340"/>
      <c r="AN340"/>
      <c r="AO340"/>
      <c r="AP340"/>
      <c r="AQ340"/>
      <c r="AR340"/>
      <c r="AS340"/>
      <c r="AT340"/>
      <c r="AU340"/>
      <c r="AV340"/>
      <c r="AW340"/>
    </row>
    <row r="341" spans="1:49" s="657" customFormat="1" ht="122.45" customHeight="1" x14ac:dyDescent="0.25">
      <c r="A341" s="842"/>
      <c r="B341" s="632" t="s">
        <v>313</v>
      </c>
      <c r="C341" s="633">
        <v>78181501</v>
      </c>
      <c r="D341" s="634" t="s">
        <v>581</v>
      </c>
      <c r="E341" s="632" t="s">
        <v>48</v>
      </c>
      <c r="F341" s="632">
        <v>2</v>
      </c>
      <c r="G341" s="844" t="s">
        <v>180</v>
      </c>
      <c r="H341" s="853" t="s">
        <v>1243</v>
      </c>
      <c r="I341" s="632" t="s">
        <v>432</v>
      </c>
      <c r="J341" s="632" t="s">
        <v>35</v>
      </c>
      <c r="K341" s="632" t="s">
        <v>44</v>
      </c>
      <c r="L341" s="635">
        <v>63000000</v>
      </c>
      <c r="M341" s="635">
        <v>2000000</v>
      </c>
      <c r="N341" s="632" t="s">
        <v>49</v>
      </c>
      <c r="O341" s="632" t="s">
        <v>36</v>
      </c>
      <c r="P341" s="632" t="s">
        <v>317</v>
      </c>
      <c r="Q341" s="907"/>
      <c r="R341" s="912"/>
      <c r="S341" s="912"/>
      <c r="T341" s="912"/>
      <c r="U341" s="907"/>
      <c r="V341" s="907"/>
      <c r="W341" s="907"/>
      <c r="X341" s="654"/>
      <c r="Y341" s="907"/>
      <c r="Z341" s="907"/>
      <c r="AA341" s="907"/>
      <c r="AB341" s="907"/>
      <c r="AC341" s="907"/>
      <c r="AD341" s="907"/>
      <c r="AE341" s="907"/>
      <c r="AF341" s="907"/>
      <c r="AG341" s="907"/>
      <c r="AH341" s="907"/>
      <c r="AI341"/>
      <c r="AJ341"/>
      <c r="AK341"/>
      <c r="AL341"/>
      <c r="AM341"/>
      <c r="AN341"/>
      <c r="AO341"/>
      <c r="AP341"/>
      <c r="AQ341"/>
      <c r="AR341"/>
      <c r="AS341"/>
      <c r="AT341"/>
      <c r="AU341"/>
      <c r="AV341"/>
      <c r="AW341"/>
    </row>
    <row r="342" spans="1:49" s="657" customFormat="1" ht="122.25" customHeight="1" x14ac:dyDescent="0.25">
      <c r="A342" s="638">
        <v>290</v>
      </c>
      <c r="B342" s="632" t="s">
        <v>264</v>
      </c>
      <c r="C342" s="633">
        <v>80101706</v>
      </c>
      <c r="D342" s="634" t="s">
        <v>1856</v>
      </c>
      <c r="E342" s="632" t="s">
        <v>48</v>
      </c>
      <c r="F342" s="632">
        <v>1</v>
      </c>
      <c r="G342" s="844" t="s">
        <v>77</v>
      </c>
      <c r="H342" s="845" t="s">
        <v>1857</v>
      </c>
      <c r="I342" s="632" t="s">
        <v>61</v>
      </c>
      <c r="J342" s="632" t="s">
        <v>66</v>
      </c>
      <c r="K342" s="632" t="s">
        <v>589</v>
      </c>
      <c r="L342" s="635">
        <v>15000000</v>
      </c>
      <c r="M342" s="636">
        <v>15000000</v>
      </c>
      <c r="N342" s="632" t="s">
        <v>51</v>
      </c>
      <c r="O342" s="632" t="s">
        <v>36</v>
      </c>
      <c r="P342" s="632" t="s">
        <v>1544</v>
      </c>
      <c r="Q342" s="907"/>
      <c r="R342" s="637" t="s">
        <v>1894</v>
      </c>
      <c r="S342" s="637" t="s">
        <v>733</v>
      </c>
      <c r="T342" s="653">
        <v>43364</v>
      </c>
      <c r="U342" s="637" t="s">
        <v>1895</v>
      </c>
      <c r="V342" s="637" t="s">
        <v>659</v>
      </c>
      <c r="W342" s="654">
        <v>15000000</v>
      </c>
      <c r="X342" s="654"/>
      <c r="Y342" s="654">
        <v>15000000</v>
      </c>
      <c r="Z342" s="654">
        <v>15000000</v>
      </c>
      <c r="AA342" s="654">
        <f t="shared" ref="AA342:AA343" si="33">Z342-Y342</f>
        <v>0</v>
      </c>
      <c r="AB342" s="637" t="s">
        <v>1896</v>
      </c>
      <c r="AC342" s="637">
        <v>35818</v>
      </c>
      <c r="AD342" s="637" t="s">
        <v>1897</v>
      </c>
      <c r="AE342" s="653">
        <v>43364</v>
      </c>
      <c r="AF342" s="653">
        <v>43813</v>
      </c>
      <c r="AG342" s="637" t="s">
        <v>1614</v>
      </c>
      <c r="AH342" s="637" t="s">
        <v>816</v>
      </c>
      <c r="AI342"/>
      <c r="AJ342"/>
      <c r="AK342"/>
      <c r="AL342"/>
      <c r="AM342"/>
      <c r="AN342"/>
      <c r="AO342"/>
      <c r="AP342"/>
      <c r="AQ342"/>
      <c r="AR342"/>
      <c r="AS342"/>
      <c r="AT342"/>
      <c r="AU342"/>
      <c r="AV342"/>
      <c r="AW342"/>
    </row>
    <row r="343" spans="1:49" s="657" customFormat="1" ht="122.25" customHeight="1" x14ac:dyDescent="0.25">
      <c r="A343" s="638">
        <v>291</v>
      </c>
      <c r="B343" s="632" t="s">
        <v>529</v>
      </c>
      <c r="C343" s="633">
        <v>80101706</v>
      </c>
      <c r="D343" s="634" t="s">
        <v>1858</v>
      </c>
      <c r="E343" s="632" t="s">
        <v>48</v>
      </c>
      <c r="F343" s="632">
        <v>1</v>
      </c>
      <c r="G343" s="844" t="s">
        <v>77</v>
      </c>
      <c r="H343" s="845" t="s">
        <v>1859</v>
      </c>
      <c r="I343" s="632" t="s">
        <v>61</v>
      </c>
      <c r="J343" s="632" t="s">
        <v>66</v>
      </c>
      <c r="K343" s="632" t="s">
        <v>589</v>
      </c>
      <c r="L343" s="635">
        <v>5727000</v>
      </c>
      <c r="M343" s="636">
        <v>5727000</v>
      </c>
      <c r="N343" s="632" t="s">
        <v>51</v>
      </c>
      <c r="O343" s="632" t="s">
        <v>36</v>
      </c>
      <c r="P343" s="632" t="s">
        <v>1542</v>
      </c>
      <c r="Q343" s="907"/>
      <c r="R343" s="637" t="s">
        <v>1898</v>
      </c>
      <c r="S343" s="637" t="s">
        <v>1658</v>
      </c>
      <c r="T343" s="653">
        <v>43361</v>
      </c>
      <c r="U343" s="637" t="s">
        <v>1899</v>
      </c>
      <c r="V343" s="637" t="s">
        <v>666</v>
      </c>
      <c r="W343" s="654">
        <v>5727000</v>
      </c>
      <c r="X343" s="654"/>
      <c r="Y343" s="654">
        <v>5727000</v>
      </c>
      <c r="Z343" s="654">
        <v>5727000</v>
      </c>
      <c r="AA343" s="654">
        <f t="shared" si="33"/>
        <v>0</v>
      </c>
      <c r="AB343" s="637" t="s">
        <v>1900</v>
      </c>
      <c r="AC343" s="637">
        <v>35918</v>
      </c>
      <c r="AD343" s="637" t="s">
        <v>910</v>
      </c>
      <c r="AE343" s="653">
        <v>43363</v>
      </c>
      <c r="AF343" s="653">
        <v>43818</v>
      </c>
      <c r="AG343" s="637" t="s">
        <v>1901</v>
      </c>
      <c r="AH343" s="637" t="s">
        <v>529</v>
      </c>
      <c r="AI343"/>
      <c r="AJ343"/>
      <c r="AK343"/>
      <c r="AL343"/>
      <c r="AM343"/>
      <c r="AN343"/>
      <c r="AO343"/>
      <c r="AP343"/>
      <c r="AQ343"/>
      <c r="AR343"/>
      <c r="AS343"/>
      <c r="AT343"/>
      <c r="AU343"/>
      <c r="AV343"/>
      <c r="AW343"/>
    </row>
    <row r="344" spans="1:49" s="657" customFormat="1" ht="122.25" customHeight="1" x14ac:dyDescent="0.25">
      <c r="A344" s="638">
        <v>292</v>
      </c>
      <c r="B344" s="632" t="s">
        <v>313</v>
      </c>
      <c r="C344" s="633" t="s">
        <v>1865</v>
      </c>
      <c r="D344" s="634" t="s">
        <v>1866</v>
      </c>
      <c r="E344" s="632" t="s">
        <v>48</v>
      </c>
      <c r="F344" s="632">
        <v>1</v>
      </c>
      <c r="G344" s="844" t="s">
        <v>180</v>
      </c>
      <c r="H344" s="845" t="s">
        <v>156</v>
      </c>
      <c r="I344" s="632" t="s">
        <v>55</v>
      </c>
      <c r="J344" s="632" t="s">
        <v>35</v>
      </c>
      <c r="K344" s="632" t="s">
        <v>1479</v>
      </c>
      <c r="L344" s="635">
        <v>14000000</v>
      </c>
      <c r="M344" s="636">
        <v>14000000</v>
      </c>
      <c r="N344" s="632" t="s">
        <v>51</v>
      </c>
      <c r="O344" s="632" t="s">
        <v>36</v>
      </c>
      <c r="P344" s="632" t="s">
        <v>317</v>
      </c>
      <c r="Q344" s="907"/>
      <c r="R344" s="637"/>
      <c r="S344" s="637"/>
      <c r="T344" s="653"/>
      <c r="U344" s="637"/>
      <c r="V344" s="637"/>
      <c r="W344" s="654"/>
      <c r="X344" s="654"/>
      <c r="Y344" s="654"/>
      <c r="Z344" s="654"/>
      <c r="AA344" s="654"/>
      <c r="AB344" s="637"/>
      <c r="AC344" s="637"/>
      <c r="AD344" s="637"/>
      <c r="AE344" s="653"/>
      <c r="AF344" s="653"/>
      <c r="AG344" s="637"/>
      <c r="AH344" s="637"/>
      <c r="AI344"/>
      <c r="AJ344"/>
      <c r="AK344"/>
      <c r="AL344"/>
      <c r="AM344"/>
      <c r="AN344"/>
      <c r="AO344"/>
      <c r="AP344"/>
      <c r="AQ344"/>
      <c r="AR344"/>
      <c r="AS344"/>
      <c r="AT344"/>
      <c r="AU344"/>
      <c r="AV344"/>
      <c r="AW344"/>
    </row>
    <row r="345" spans="1:49" s="657" customFormat="1" ht="122.25" customHeight="1" x14ac:dyDescent="0.25">
      <c r="A345" s="638">
        <v>293</v>
      </c>
      <c r="B345" s="632" t="s">
        <v>313</v>
      </c>
      <c r="C345" s="633">
        <v>44101503</v>
      </c>
      <c r="D345" s="634" t="s">
        <v>1861</v>
      </c>
      <c r="E345" s="632" t="s">
        <v>48</v>
      </c>
      <c r="F345" s="632">
        <v>1</v>
      </c>
      <c r="G345" s="844" t="s">
        <v>74</v>
      </c>
      <c r="H345" s="845" t="s">
        <v>156</v>
      </c>
      <c r="I345" s="632" t="s">
        <v>55</v>
      </c>
      <c r="J345" s="632" t="s">
        <v>35</v>
      </c>
      <c r="K345" s="632" t="s">
        <v>1860</v>
      </c>
      <c r="L345" s="635">
        <v>21800000</v>
      </c>
      <c r="M345" s="636">
        <v>21800000</v>
      </c>
      <c r="N345" s="632" t="s">
        <v>51</v>
      </c>
      <c r="O345" s="632" t="s">
        <v>36</v>
      </c>
      <c r="P345" s="632" t="s">
        <v>317</v>
      </c>
      <c r="Q345" s="907"/>
      <c r="R345" s="637" t="s">
        <v>1960</v>
      </c>
      <c r="S345" s="637" t="s">
        <v>1935</v>
      </c>
      <c r="T345" s="653">
        <v>43390</v>
      </c>
      <c r="U345" s="637" t="s">
        <v>1961</v>
      </c>
      <c r="V345" s="637" t="s">
        <v>652</v>
      </c>
      <c r="W345" s="654">
        <v>20427750</v>
      </c>
      <c r="X345" s="654">
        <v>0</v>
      </c>
      <c r="Y345" s="654">
        <v>20427750</v>
      </c>
      <c r="Z345" s="654">
        <v>20427750</v>
      </c>
      <c r="AA345" s="654"/>
      <c r="AB345" s="637" t="s">
        <v>1962</v>
      </c>
      <c r="AC345" s="637">
        <v>36518</v>
      </c>
      <c r="AD345" s="897" t="s">
        <v>1963</v>
      </c>
      <c r="AE345" s="653">
        <v>43390</v>
      </c>
      <c r="AF345" s="653">
        <v>43449</v>
      </c>
      <c r="AG345" s="637" t="s">
        <v>1817</v>
      </c>
      <c r="AH345" s="637" t="s">
        <v>648</v>
      </c>
      <c r="AI345"/>
      <c r="AJ345"/>
      <c r="AK345"/>
      <c r="AL345"/>
      <c r="AM345"/>
      <c r="AN345"/>
      <c r="AO345"/>
      <c r="AP345"/>
      <c r="AQ345"/>
      <c r="AR345"/>
      <c r="AS345"/>
      <c r="AT345"/>
      <c r="AU345"/>
      <c r="AV345"/>
      <c r="AW345"/>
    </row>
    <row r="346" spans="1:49" s="657" customFormat="1" ht="122.25" customHeight="1" x14ac:dyDescent="0.25">
      <c r="A346" s="638">
        <v>294</v>
      </c>
      <c r="B346" s="632" t="s">
        <v>313</v>
      </c>
      <c r="C346" s="633" t="s">
        <v>1867</v>
      </c>
      <c r="D346" s="634" t="s">
        <v>1862</v>
      </c>
      <c r="E346" s="632" t="s">
        <v>48</v>
      </c>
      <c r="F346" s="632">
        <v>1</v>
      </c>
      <c r="G346" s="844" t="s">
        <v>74</v>
      </c>
      <c r="H346" s="845" t="s">
        <v>156</v>
      </c>
      <c r="I346" s="632" t="s">
        <v>602</v>
      </c>
      <c r="J346" s="632" t="s">
        <v>35</v>
      </c>
      <c r="K346" s="632" t="s">
        <v>294</v>
      </c>
      <c r="L346" s="635">
        <v>5000000</v>
      </c>
      <c r="M346" s="636">
        <v>5000000</v>
      </c>
      <c r="N346" s="632" t="s">
        <v>51</v>
      </c>
      <c r="O346" s="632" t="s">
        <v>36</v>
      </c>
      <c r="P346" s="632" t="s">
        <v>317</v>
      </c>
      <c r="Q346" s="907"/>
      <c r="R346" s="637" t="s">
        <v>1939</v>
      </c>
      <c r="S346" s="637" t="s">
        <v>1935</v>
      </c>
      <c r="T346" s="653">
        <v>43381</v>
      </c>
      <c r="U346" s="637" t="s">
        <v>1940</v>
      </c>
      <c r="V346" s="637" t="s">
        <v>652</v>
      </c>
      <c r="W346" s="654">
        <v>4800000</v>
      </c>
      <c r="X346" s="654"/>
      <c r="Y346" s="654">
        <v>4800000</v>
      </c>
      <c r="Z346" s="654">
        <v>4800000</v>
      </c>
      <c r="AA346" s="654"/>
      <c r="AB346" s="637" t="s">
        <v>1941</v>
      </c>
      <c r="AC346" s="637">
        <v>36418</v>
      </c>
      <c r="AD346" s="637" t="s">
        <v>1559</v>
      </c>
      <c r="AE346" s="653">
        <v>43381</v>
      </c>
      <c r="AF346" s="653">
        <v>43411</v>
      </c>
      <c r="AG346" s="637" t="s">
        <v>1457</v>
      </c>
      <c r="AH346" s="637" t="s">
        <v>648</v>
      </c>
      <c r="AI346"/>
      <c r="AJ346"/>
      <c r="AK346"/>
      <c r="AL346"/>
      <c r="AM346"/>
      <c r="AN346"/>
      <c r="AO346"/>
      <c r="AP346"/>
      <c r="AQ346"/>
      <c r="AR346"/>
      <c r="AS346"/>
      <c r="AT346"/>
      <c r="AU346"/>
      <c r="AV346"/>
      <c r="AW346"/>
    </row>
    <row r="347" spans="1:49" s="657" customFormat="1" ht="132.6" customHeight="1" x14ac:dyDescent="0.25">
      <c r="A347" s="638">
        <v>295</v>
      </c>
      <c r="B347" s="632" t="s">
        <v>262</v>
      </c>
      <c r="C347" s="633" t="s">
        <v>1390</v>
      </c>
      <c r="D347" s="634" t="s">
        <v>181</v>
      </c>
      <c r="E347" s="632" t="s">
        <v>48</v>
      </c>
      <c r="F347" s="632">
        <v>1</v>
      </c>
      <c r="G347" s="844" t="s">
        <v>180</v>
      </c>
      <c r="H347" s="845" t="s">
        <v>156</v>
      </c>
      <c r="I347" s="632" t="s">
        <v>53</v>
      </c>
      <c r="J347" s="632" t="s">
        <v>35</v>
      </c>
      <c r="K347" s="632" t="s">
        <v>44</v>
      </c>
      <c r="L347" s="635">
        <v>6000000</v>
      </c>
      <c r="M347" s="636">
        <v>6000000</v>
      </c>
      <c r="N347" s="632" t="s">
        <v>51</v>
      </c>
      <c r="O347" s="632" t="s">
        <v>36</v>
      </c>
      <c r="P347" s="632" t="s">
        <v>317</v>
      </c>
      <c r="Q347" s="907"/>
      <c r="R347" s="637"/>
      <c r="S347" s="637"/>
      <c r="T347" s="653"/>
      <c r="U347" s="637"/>
      <c r="V347" s="637"/>
      <c r="W347" s="654"/>
      <c r="X347" s="654"/>
      <c r="Y347" s="654"/>
      <c r="Z347" s="654"/>
      <c r="AA347" s="654"/>
      <c r="AB347" s="637"/>
      <c r="AC347" s="637"/>
      <c r="AD347" s="637"/>
      <c r="AE347" s="653"/>
      <c r="AF347" s="653"/>
      <c r="AG347" s="637"/>
      <c r="AH347" s="637"/>
      <c r="AI347"/>
      <c r="AJ347"/>
      <c r="AK347"/>
      <c r="AL347"/>
      <c r="AM347"/>
      <c r="AN347"/>
      <c r="AO347"/>
      <c r="AP347"/>
      <c r="AQ347"/>
      <c r="AR347"/>
      <c r="AS347"/>
      <c r="AT347"/>
      <c r="AU347"/>
      <c r="AV347"/>
      <c r="AW347"/>
    </row>
    <row r="348" spans="1:49" s="657" customFormat="1" ht="122.25" customHeight="1" x14ac:dyDescent="0.25">
      <c r="A348" s="638">
        <v>296</v>
      </c>
      <c r="B348" s="632" t="s">
        <v>313</v>
      </c>
      <c r="C348" s="633" t="s">
        <v>1868</v>
      </c>
      <c r="D348" s="634" t="s">
        <v>1863</v>
      </c>
      <c r="E348" s="632" t="s">
        <v>48</v>
      </c>
      <c r="F348" s="632">
        <v>1</v>
      </c>
      <c r="G348" s="844" t="s">
        <v>74</v>
      </c>
      <c r="H348" s="845" t="s">
        <v>156</v>
      </c>
      <c r="I348" s="632" t="s">
        <v>602</v>
      </c>
      <c r="J348" s="632" t="s">
        <v>35</v>
      </c>
      <c r="K348" s="632" t="s">
        <v>294</v>
      </c>
      <c r="L348" s="635">
        <v>20000000</v>
      </c>
      <c r="M348" s="636">
        <v>20000000</v>
      </c>
      <c r="N348" s="632" t="s">
        <v>51</v>
      </c>
      <c r="O348" s="632" t="s">
        <v>36</v>
      </c>
      <c r="P348" s="632" t="s">
        <v>317</v>
      </c>
      <c r="Q348" s="907"/>
      <c r="R348" s="637" t="s">
        <v>1934</v>
      </c>
      <c r="S348" s="637" t="s">
        <v>1935</v>
      </c>
      <c r="T348" s="653">
        <v>43378</v>
      </c>
      <c r="U348" s="637" t="s">
        <v>1936</v>
      </c>
      <c r="V348" s="637" t="s">
        <v>652</v>
      </c>
      <c r="W348" s="654">
        <v>19599972</v>
      </c>
      <c r="X348" s="654">
        <v>0</v>
      </c>
      <c r="Y348" s="654">
        <v>19599972</v>
      </c>
      <c r="Z348" s="654">
        <v>19599972</v>
      </c>
      <c r="AA348" s="654"/>
      <c r="AB348" s="637" t="s">
        <v>1937</v>
      </c>
      <c r="AC348" s="637">
        <v>36618</v>
      </c>
      <c r="AD348" s="637" t="s">
        <v>1938</v>
      </c>
      <c r="AE348" s="653">
        <v>43378</v>
      </c>
      <c r="AF348" s="653">
        <v>43408</v>
      </c>
      <c r="AG348" s="637" t="s">
        <v>1457</v>
      </c>
      <c r="AH348" s="637" t="s">
        <v>648</v>
      </c>
      <c r="AI348"/>
      <c r="AJ348"/>
      <c r="AK348"/>
      <c r="AL348"/>
      <c r="AM348"/>
      <c r="AN348"/>
      <c r="AO348"/>
      <c r="AP348"/>
      <c r="AQ348"/>
      <c r="AR348"/>
      <c r="AS348"/>
      <c r="AT348"/>
      <c r="AU348"/>
      <c r="AV348"/>
      <c r="AW348"/>
    </row>
    <row r="349" spans="1:49" s="657" customFormat="1" ht="122.25" customHeight="1" x14ac:dyDescent="0.25">
      <c r="A349" s="638">
        <v>297</v>
      </c>
      <c r="B349" s="632" t="s">
        <v>262</v>
      </c>
      <c r="C349" s="633">
        <v>78181701</v>
      </c>
      <c r="D349" s="634" t="s">
        <v>219</v>
      </c>
      <c r="E349" s="632" t="s">
        <v>48</v>
      </c>
      <c r="F349" s="632">
        <v>1</v>
      </c>
      <c r="G349" s="844" t="s">
        <v>74</v>
      </c>
      <c r="H349" s="845" t="s">
        <v>1243</v>
      </c>
      <c r="I349" s="632" t="s">
        <v>50</v>
      </c>
      <c r="J349" s="632" t="s">
        <v>35</v>
      </c>
      <c r="K349" s="632" t="s">
        <v>158</v>
      </c>
      <c r="L349" s="635">
        <v>87400000</v>
      </c>
      <c r="M349" s="636">
        <v>5000000</v>
      </c>
      <c r="N349" s="632" t="s">
        <v>49</v>
      </c>
      <c r="O349" s="632" t="s">
        <v>1882</v>
      </c>
      <c r="P349" s="632" t="s">
        <v>317</v>
      </c>
      <c r="Q349" s="907"/>
      <c r="R349" s="637" t="s">
        <v>1964</v>
      </c>
      <c r="S349" s="637" t="s">
        <v>642</v>
      </c>
      <c r="T349" s="653">
        <v>43390</v>
      </c>
      <c r="U349" s="637" t="s">
        <v>1965</v>
      </c>
      <c r="V349" s="637" t="s">
        <v>1210</v>
      </c>
      <c r="W349" s="654">
        <v>5000000</v>
      </c>
      <c r="X349" s="654">
        <v>0</v>
      </c>
      <c r="Y349" s="654">
        <v>5000000</v>
      </c>
      <c r="Z349" s="654">
        <v>5000000</v>
      </c>
      <c r="AA349" s="654"/>
      <c r="AB349" s="637" t="s">
        <v>1966</v>
      </c>
      <c r="AC349" s="637">
        <v>37618</v>
      </c>
      <c r="AD349" s="637" t="s">
        <v>1967</v>
      </c>
      <c r="AE349" s="653">
        <v>43390</v>
      </c>
      <c r="AF349" s="653">
        <v>43434</v>
      </c>
      <c r="AG349" s="637" t="s">
        <v>647</v>
      </c>
      <c r="AH349" s="637" t="s">
        <v>648</v>
      </c>
      <c r="AI349"/>
      <c r="AJ349"/>
      <c r="AK349"/>
      <c r="AL349"/>
      <c r="AM349"/>
      <c r="AN349"/>
      <c r="AO349"/>
      <c r="AP349"/>
      <c r="AQ349"/>
      <c r="AR349"/>
      <c r="AS349"/>
      <c r="AT349"/>
      <c r="AU349"/>
      <c r="AV349"/>
      <c r="AW349"/>
    </row>
    <row r="350" spans="1:49" s="657" customFormat="1" ht="171.95" customHeight="1" x14ac:dyDescent="0.25">
      <c r="A350" s="638">
        <v>298</v>
      </c>
      <c r="B350" s="632" t="s">
        <v>612</v>
      </c>
      <c r="C350" s="632">
        <v>80101706</v>
      </c>
      <c r="D350" s="634" t="s">
        <v>1902</v>
      </c>
      <c r="E350" s="632" t="s">
        <v>48</v>
      </c>
      <c r="F350" s="632">
        <v>1</v>
      </c>
      <c r="G350" s="844" t="s">
        <v>74</v>
      </c>
      <c r="H350" s="845">
        <v>3</v>
      </c>
      <c r="I350" s="632" t="s">
        <v>61</v>
      </c>
      <c r="J350" s="632" t="s">
        <v>66</v>
      </c>
      <c r="K350" s="632" t="s">
        <v>1504</v>
      </c>
      <c r="L350" s="635">
        <v>29700000</v>
      </c>
      <c r="M350" s="635">
        <v>29700000</v>
      </c>
      <c r="N350" s="632" t="s">
        <v>51</v>
      </c>
      <c r="O350" s="632" t="s">
        <v>36</v>
      </c>
      <c r="P350" s="632" t="s">
        <v>1869</v>
      </c>
      <c r="Q350" s="913"/>
      <c r="R350" s="637" t="s">
        <v>1917</v>
      </c>
      <c r="S350" s="637" t="s">
        <v>1918</v>
      </c>
      <c r="T350" s="653">
        <v>43377</v>
      </c>
      <c r="U350" s="637" t="s">
        <v>1919</v>
      </c>
      <c r="V350" s="637" t="s">
        <v>659</v>
      </c>
      <c r="W350" s="654">
        <v>26730000</v>
      </c>
      <c r="X350" s="654"/>
      <c r="Y350" s="654">
        <v>26730000</v>
      </c>
      <c r="Z350" s="654">
        <v>26730000</v>
      </c>
      <c r="AA350" s="654"/>
      <c r="AB350" s="637" t="s">
        <v>1920</v>
      </c>
      <c r="AC350" s="637">
        <v>36818</v>
      </c>
      <c r="AD350" s="637" t="s">
        <v>1921</v>
      </c>
      <c r="AE350" s="653">
        <v>43381</v>
      </c>
      <c r="AF350" s="653">
        <v>43455</v>
      </c>
      <c r="AG350" s="637" t="s">
        <v>885</v>
      </c>
      <c r="AH350" s="637" t="s">
        <v>877</v>
      </c>
      <c r="AI350"/>
      <c r="AJ350"/>
      <c r="AK350"/>
      <c r="AL350"/>
      <c r="AM350"/>
      <c r="AN350"/>
      <c r="AO350"/>
      <c r="AP350"/>
      <c r="AQ350"/>
      <c r="AR350"/>
      <c r="AS350"/>
      <c r="AT350"/>
      <c r="AU350"/>
      <c r="AV350"/>
      <c r="AW350"/>
    </row>
    <row r="351" spans="1:49" s="657" customFormat="1" ht="141.6" customHeight="1" x14ac:dyDescent="0.25">
      <c r="A351" s="638">
        <v>299</v>
      </c>
      <c r="B351" s="632" t="s">
        <v>262</v>
      </c>
      <c r="C351" s="632">
        <v>24112700</v>
      </c>
      <c r="D351" s="634" t="s">
        <v>1903</v>
      </c>
      <c r="E351" s="632" t="s">
        <v>48</v>
      </c>
      <c r="F351" s="632">
        <v>1</v>
      </c>
      <c r="G351" s="844" t="s">
        <v>180</v>
      </c>
      <c r="H351" s="845" t="s">
        <v>156</v>
      </c>
      <c r="I351" s="632" t="s">
        <v>53</v>
      </c>
      <c r="J351" s="632" t="s">
        <v>35</v>
      </c>
      <c r="K351" s="632" t="s">
        <v>294</v>
      </c>
      <c r="L351" s="635">
        <v>3000000</v>
      </c>
      <c r="M351" s="635">
        <v>3000000</v>
      </c>
      <c r="N351" s="632" t="s">
        <v>51</v>
      </c>
      <c r="O351" s="632" t="s">
        <v>36</v>
      </c>
      <c r="P351" s="632" t="s">
        <v>317</v>
      </c>
      <c r="Q351" s="913"/>
      <c r="R351" s="637"/>
      <c r="S351" s="637"/>
      <c r="T351" s="653"/>
      <c r="U351" s="637"/>
      <c r="V351" s="637"/>
      <c r="W351" s="654"/>
      <c r="X351" s="654"/>
      <c r="Y351" s="654"/>
      <c r="Z351" s="654"/>
      <c r="AA351" s="654"/>
      <c r="AB351" s="637"/>
      <c r="AC351" s="637"/>
      <c r="AD351" s="637"/>
      <c r="AE351" s="653"/>
      <c r="AF351" s="653"/>
      <c r="AG351" s="637"/>
      <c r="AH351" s="637"/>
      <c r="AI351" s="692"/>
      <c r="AJ351" s="693"/>
      <c r="AK351" s="693"/>
      <c r="AL351" s="694"/>
      <c r="AM351" s="693"/>
      <c r="AN351" s="693"/>
      <c r="AO351" s="695"/>
      <c r="AP351" s="696"/>
      <c r="AQ351" s="693"/>
      <c r="AR351" s="693"/>
      <c r="AS351" s="693"/>
    </row>
    <row r="352" spans="1:49" s="657" customFormat="1" ht="142.5" customHeight="1" x14ac:dyDescent="0.25">
      <c r="A352" s="638">
        <v>300</v>
      </c>
      <c r="B352" s="632" t="s">
        <v>262</v>
      </c>
      <c r="C352" s="633" t="s">
        <v>1904</v>
      </c>
      <c r="D352" s="634" t="s">
        <v>1905</v>
      </c>
      <c r="E352" s="632" t="s">
        <v>48</v>
      </c>
      <c r="F352" s="632">
        <v>1</v>
      </c>
      <c r="G352" s="844" t="s">
        <v>180</v>
      </c>
      <c r="H352" s="845">
        <v>2</v>
      </c>
      <c r="I352" s="632" t="s">
        <v>53</v>
      </c>
      <c r="J352" s="632" t="s">
        <v>35</v>
      </c>
      <c r="K352" s="632" t="s">
        <v>41</v>
      </c>
      <c r="L352" s="635">
        <v>21000000</v>
      </c>
      <c r="M352" s="635">
        <v>21000000</v>
      </c>
      <c r="N352" s="632" t="s">
        <v>51</v>
      </c>
      <c r="O352" s="632" t="s">
        <v>36</v>
      </c>
      <c r="P352" s="632" t="s">
        <v>317</v>
      </c>
      <c r="Q352" s="913"/>
      <c r="R352" s="637"/>
      <c r="S352" s="637"/>
      <c r="T352" s="653"/>
      <c r="U352" s="637"/>
      <c r="V352" s="637"/>
      <c r="W352" s="654"/>
      <c r="X352" s="654"/>
      <c r="Y352" s="654"/>
      <c r="Z352" s="654"/>
      <c r="AA352" s="654"/>
      <c r="AB352" s="637"/>
      <c r="AC352" s="637"/>
      <c r="AD352" s="637"/>
      <c r="AE352" s="653"/>
      <c r="AF352" s="653"/>
      <c r="AG352" s="637"/>
      <c r="AH352" s="637"/>
      <c r="AI352" s="692"/>
      <c r="AJ352" s="693"/>
      <c r="AK352" s="693"/>
      <c r="AL352" s="694"/>
      <c r="AM352" s="693"/>
      <c r="AN352" s="693"/>
      <c r="AO352" s="695"/>
      <c r="AP352" s="696"/>
      <c r="AQ352" s="693"/>
      <c r="AR352" s="693"/>
      <c r="AS352" s="693"/>
    </row>
    <row r="353" spans="1:45" s="657" customFormat="1" ht="130.5" customHeight="1" x14ac:dyDescent="0.25">
      <c r="A353" s="638">
        <v>301</v>
      </c>
      <c r="B353" s="632" t="s">
        <v>263</v>
      </c>
      <c r="C353" s="633">
        <v>80101706</v>
      </c>
      <c r="D353" s="634" t="s">
        <v>1942</v>
      </c>
      <c r="E353" s="632" t="s">
        <v>48</v>
      </c>
      <c r="F353" s="632">
        <v>1</v>
      </c>
      <c r="G353" s="844" t="s">
        <v>74</v>
      </c>
      <c r="H353" s="845" t="s">
        <v>1943</v>
      </c>
      <c r="I353" s="632" t="s">
        <v>61</v>
      </c>
      <c r="J353" s="632" t="s">
        <v>66</v>
      </c>
      <c r="K353" s="632" t="s">
        <v>589</v>
      </c>
      <c r="L353" s="635">
        <f>2000000*2.5</f>
        <v>5000000</v>
      </c>
      <c r="M353" s="636">
        <f>+L353</f>
        <v>5000000</v>
      </c>
      <c r="N353" s="632" t="s">
        <v>51</v>
      </c>
      <c r="O353" s="632" t="s">
        <v>36</v>
      </c>
      <c r="P353" s="632" t="s">
        <v>493</v>
      </c>
      <c r="Q353" s="913"/>
      <c r="R353" s="637" t="s">
        <v>1950</v>
      </c>
      <c r="S353" s="637" t="s">
        <v>1951</v>
      </c>
      <c r="T353" s="653">
        <v>43389</v>
      </c>
      <c r="U353" s="637" t="s">
        <v>1954</v>
      </c>
      <c r="V353" s="637" t="s">
        <v>666</v>
      </c>
      <c r="W353" s="654">
        <v>4000000</v>
      </c>
      <c r="X353" s="654">
        <v>0</v>
      </c>
      <c r="Y353" s="654">
        <v>4000000</v>
      </c>
      <c r="Z353" s="654">
        <v>4000000</v>
      </c>
      <c r="AA353" s="654">
        <f t="shared" ref="AA353:AA355" si="34">Z353-Y353</f>
        <v>0</v>
      </c>
      <c r="AB353" s="637" t="s">
        <v>1956</v>
      </c>
      <c r="AC353" s="637">
        <v>37218</v>
      </c>
      <c r="AD353" s="637" t="s">
        <v>939</v>
      </c>
      <c r="AE353" s="653">
        <v>43390</v>
      </c>
      <c r="AF353" s="653">
        <v>43450</v>
      </c>
      <c r="AG353" s="637" t="s">
        <v>1959</v>
      </c>
      <c r="AH353" s="637" t="s">
        <v>669</v>
      </c>
      <c r="AI353" s="692"/>
      <c r="AJ353" s="693"/>
      <c r="AK353" s="693"/>
      <c r="AL353" s="694"/>
      <c r="AM353" s="693"/>
      <c r="AN353" s="693"/>
      <c r="AO353" s="695"/>
      <c r="AP353" s="696"/>
      <c r="AQ353" s="693"/>
      <c r="AR353" s="693"/>
      <c r="AS353" s="693"/>
    </row>
    <row r="354" spans="1:45" s="657" customFormat="1" ht="117.95" customHeight="1" x14ac:dyDescent="0.25">
      <c r="A354" s="638">
        <v>302</v>
      </c>
      <c r="B354" s="632" t="s">
        <v>263</v>
      </c>
      <c r="C354" s="633">
        <v>80101706</v>
      </c>
      <c r="D354" s="634" t="s">
        <v>492</v>
      </c>
      <c r="E354" s="632" t="s">
        <v>48</v>
      </c>
      <c r="F354" s="632">
        <v>1</v>
      </c>
      <c r="G354" s="844" t="s">
        <v>74</v>
      </c>
      <c r="H354" s="845" t="s">
        <v>1943</v>
      </c>
      <c r="I354" s="632" t="s">
        <v>61</v>
      </c>
      <c r="J354" s="632" t="s">
        <v>66</v>
      </c>
      <c r="K354" s="632" t="s">
        <v>589</v>
      </c>
      <c r="L354" s="635">
        <f>10000000*2.5</f>
        <v>25000000</v>
      </c>
      <c r="M354" s="636">
        <v>25000000</v>
      </c>
      <c r="N354" s="632" t="s">
        <v>51</v>
      </c>
      <c r="O354" s="632" t="s">
        <v>36</v>
      </c>
      <c r="P354" s="632" t="s">
        <v>493</v>
      </c>
      <c r="Q354" s="913"/>
      <c r="R354" s="637" t="s">
        <v>1952</v>
      </c>
      <c r="S354" s="637" t="s">
        <v>1953</v>
      </c>
      <c r="T354" s="653">
        <v>43389</v>
      </c>
      <c r="U354" s="637" t="s">
        <v>1955</v>
      </c>
      <c r="V354" s="637" t="s">
        <v>659</v>
      </c>
      <c r="W354" s="654">
        <v>25000000</v>
      </c>
      <c r="X354" s="654">
        <v>0</v>
      </c>
      <c r="Y354" s="654">
        <v>25000000</v>
      </c>
      <c r="Z354" s="654">
        <v>25000000</v>
      </c>
      <c r="AA354" s="654">
        <f t="shared" si="34"/>
        <v>0</v>
      </c>
      <c r="AB354" s="637" t="s">
        <v>1957</v>
      </c>
      <c r="AC354" s="637">
        <v>37318</v>
      </c>
      <c r="AD354" s="637" t="s">
        <v>1958</v>
      </c>
      <c r="AE354" s="653">
        <v>43389</v>
      </c>
      <c r="AF354" s="653">
        <v>43455</v>
      </c>
      <c r="AG354" s="637" t="s">
        <v>1959</v>
      </c>
      <c r="AH354" s="637" t="s">
        <v>669</v>
      </c>
      <c r="AI354" s="692"/>
      <c r="AJ354" s="693"/>
      <c r="AK354" s="693"/>
      <c r="AL354" s="694"/>
      <c r="AM354" s="693"/>
      <c r="AN354" s="693"/>
      <c r="AO354" s="695"/>
      <c r="AP354" s="696"/>
      <c r="AQ354" s="693"/>
      <c r="AR354" s="693"/>
      <c r="AS354" s="693"/>
    </row>
    <row r="355" spans="1:45" s="657" customFormat="1" ht="143.44999999999999" customHeight="1" x14ac:dyDescent="0.25">
      <c r="A355" s="638">
        <v>303</v>
      </c>
      <c r="B355" s="632" t="s">
        <v>171</v>
      </c>
      <c r="C355" s="633">
        <v>80101706</v>
      </c>
      <c r="D355" s="634" t="s">
        <v>1944</v>
      </c>
      <c r="E355" s="632" t="s">
        <v>48</v>
      </c>
      <c r="F355" s="844">
        <v>1</v>
      </c>
      <c r="G355" s="845" t="s">
        <v>74</v>
      </c>
      <c r="H355" s="632" t="s">
        <v>1943</v>
      </c>
      <c r="I355" s="632" t="s">
        <v>61</v>
      </c>
      <c r="J355" s="632" t="s">
        <v>66</v>
      </c>
      <c r="K355" s="632" t="s">
        <v>589</v>
      </c>
      <c r="L355" s="636">
        <f>10000000*2.5</f>
        <v>25000000</v>
      </c>
      <c r="M355" s="636">
        <v>25000000</v>
      </c>
      <c r="N355" s="632" t="s">
        <v>51</v>
      </c>
      <c r="O355" s="632" t="s">
        <v>36</v>
      </c>
      <c r="P355" s="632" t="s">
        <v>1945</v>
      </c>
      <c r="Q355" s="913"/>
      <c r="R355" s="637" t="s">
        <v>1968</v>
      </c>
      <c r="S355" s="637" t="s">
        <v>1969</v>
      </c>
      <c r="T355" s="653">
        <v>43391</v>
      </c>
      <c r="U355" s="637" t="s">
        <v>1970</v>
      </c>
      <c r="V355" s="637" t="s">
        <v>659</v>
      </c>
      <c r="W355" s="654">
        <v>25000000</v>
      </c>
      <c r="X355" s="654">
        <v>0</v>
      </c>
      <c r="Y355" s="654">
        <v>25000000</v>
      </c>
      <c r="Z355" s="654">
        <v>25000000</v>
      </c>
      <c r="AA355" s="654">
        <f t="shared" si="34"/>
        <v>0</v>
      </c>
      <c r="AB355" s="637" t="s">
        <v>1971</v>
      </c>
      <c r="AC355" s="637">
        <v>37418</v>
      </c>
      <c r="AD355" s="637" t="s">
        <v>1958</v>
      </c>
      <c r="AE355" s="653">
        <v>43391</v>
      </c>
      <c r="AF355" s="653">
        <v>43455</v>
      </c>
      <c r="AG355" s="637" t="s">
        <v>1972</v>
      </c>
      <c r="AH355" s="637" t="s">
        <v>851</v>
      </c>
      <c r="AI355" s="692"/>
      <c r="AJ355" s="693"/>
      <c r="AK355" s="693"/>
      <c r="AL355" s="694"/>
      <c r="AM355" s="693"/>
      <c r="AN355" s="693"/>
      <c r="AO355" s="695"/>
      <c r="AP355" s="696"/>
      <c r="AQ355" s="693"/>
      <c r="AR355" s="693"/>
      <c r="AS355" s="693"/>
    </row>
    <row r="356" spans="1:45" ht="92.1" customHeight="1" x14ac:dyDescent="0.25">
      <c r="A356" s="638">
        <v>304</v>
      </c>
      <c r="B356" s="632" t="s">
        <v>170</v>
      </c>
      <c r="C356" s="632">
        <v>80101706</v>
      </c>
      <c r="D356" s="634" t="s">
        <v>1492</v>
      </c>
      <c r="E356" s="632" t="s">
        <v>48</v>
      </c>
      <c r="F356" s="632">
        <v>1</v>
      </c>
      <c r="G356" s="844" t="s">
        <v>180</v>
      </c>
      <c r="H356" s="845" t="s">
        <v>157</v>
      </c>
      <c r="I356" s="632" t="s">
        <v>61</v>
      </c>
      <c r="J356" s="632" t="s">
        <v>66</v>
      </c>
      <c r="K356" s="632" t="s">
        <v>1504</v>
      </c>
      <c r="L356" s="635">
        <v>12000000</v>
      </c>
      <c r="M356" s="636">
        <v>12000000</v>
      </c>
      <c r="N356" s="632" t="s">
        <v>51</v>
      </c>
      <c r="O356" s="632" t="s">
        <v>36</v>
      </c>
      <c r="P356" s="632" t="s">
        <v>516</v>
      </c>
      <c r="Q356" s="649"/>
      <c r="R356" s="637"/>
      <c r="S356" s="637"/>
      <c r="T356" s="653"/>
      <c r="U356" s="637"/>
      <c r="V356" s="637"/>
      <c r="W356" s="654"/>
      <c r="X356" s="654"/>
      <c r="Y356" s="654"/>
      <c r="Z356" s="654"/>
      <c r="AA356" s="654"/>
      <c r="AB356" s="637"/>
      <c r="AC356" s="637"/>
      <c r="AD356" s="637"/>
      <c r="AE356" s="653"/>
      <c r="AF356" s="653"/>
      <c r="AG356" s="637"/>
      <c r="AH356" s="637"/>
    </row>
    <row r="357" spans="1:45" ht="92.1" customHeight="1" x14ac:dyDescent="0.25">
      <c r="A357" s="638">
        <v>305</v>
      </c>
      <c r="B357" s="632" t="s">
        <v>170</v>
      </c>
      <c r="C357" s="632">
        <v>80101706</v>
      </c>
      <c r="D357" s="634" t="s">
        <v>1492</v>
      </c>
      <c r="E357" s="632" t="s">
        <v>48</v>
      </c>
      <c r="F357" s="632">
        <v>1</v>
      </c>
      <c r="G357" s="844" t="s">
        <v>180</v>
      </c>
      <c r="H357" s="845" t="s">
        <v>157</v>
      </c>
      <c r="I357" s="632" t="s">
        <v>61</v>
      </c>
      <c r="J357" s="632" t="s">
        <v>66</v>
      </c>
      <c r="K357" s="632" t="s">
        <v>1504</v>
      </c>
      <c r="L357" s="635">
        <v>12000000</v>
      </c>
      <c r="M357" s="636">
        <v>12000000</v>
      </c>
      <c r="N357" s="632" t="s">
        <v>51</v>
      </c>
      <c r="O357" s="632" t="s">
        <v>36</v>
      </c>
      <c r="P357" s="632" t="s">
        <v>516</v>
      </c>
      <c r="Q357" s="649"/>
      <c r="R357" s="637"/>
      <c r="S357" s="637"/>
      <c r="T357" s="653"/>
      <c r="U357" s="637"/>
      <c r="V357" s="637"/>
      <c r="W357" s="654"/>
      <c r="X357" s="654"/>
      <c r="Y357" s="654"/>
      <c r="Z357" s="654"/>
      <c r="AA357" s="654"/>
      <c r="AB357" s="637"/>
      <c r="AC357" s="637"/>
      <c r="AD357" s="637"/>
      <c r="AE357" s="653"/>
      <c r="AF357" s="653"/>
      <c r="AG357" s="637"/>
      <c r="AH357" s="637"/>
    </row>
    <row r="358" spans="1:45" ht="92.1" customHeight="1" x14ac:dyDescent="0.25">
      <c r="A358" s="638">
        <v>306</v>
      </c>
      <c r="B358" s="632" t="s">
        <v>1975</v>
      </c>
      <c r="C358" s="632">
        <v>80101706</v>
      </c>
      <c r="D358" s="634" t="s">
        <v>1974</v>
      </c>
      <c r="E358" s="632" t="s">
        <v>48</v>
      </c>
      <c r="F358" s="632">
        <v>1</v>
      </c>
      <c r="G358" s="844" t="s">
        <v>180</v>
      </c>
      <c r="H358" s="845" t="s">
        <v>157</v>
      </c>
      <c r="I358" s="632" t="s">
        <v>61</v>
      </c>
      <c r="J358" s="632" t="s">
        <v>35</v>
      </c>
      <c r="K358" s="632" t="s">
        <v>430</v>
      </c>
      <c r="L358" s="635">
        <v>3600000</v>
      </c>
      <c r="M358" s="635">
        <v>3600000</v>
      </c>
      <c r="N358" s="632" t="s">
        <v>51</v>
      </c>
      <c r="O358" s="632" t="s">
        <v>36</v>
      </c>
      <c r="P358" s="632" t="s">
        <v>317</v>
      </c>
      <c r="Q358" s="649"/>
      <c r="R358" s="907"/>
      <c r="S358" s="907"/>
      <c r="T358" s="907"/>
      <c r="U358" s="907"/>
      <c r="V358" s="907"/>
      <c r="W358" s="907"/>
      <c r="X358" s="654"/>
      <c r="Y358" s="907"/>
      <c r="Z358" s="907"/>
      <c r="AA358" s="907"/>
      <c r="AB358" s="907"/>
      <c r="AC358" s="907"/>
      <c r="AD358" s="907"/>
      <c r="AE358" s="907"/>
      <c r="AF358" s="907"/>
      <c r="AG358" s="907"/>
      <c r="AH358" s="907"/>
    </row>
    <row r="359" spans="1:45" ht="92.1" customHeight="1" x14ac:dyDescent="0.25">
      <c r="A359" s="638">
        <v>307</v>
      </c>
      <c r="B359" s="632" t="s">
        <v>262</v>
      </c>
      <c r="C359" s="633">
        <v>78181701</v>
      </c>
      <c r="D359" s="634" t="s">
        <v>219</v>
      </c>
      <c r="E359" s="632" t="s">
        <v>48</v>
      </c>
      <c r="F359" s="632">
        <v>1</v>
      </c>
      <c r="G359" s="844" t="s">
        <v>180</v>
      </c>
      <c r="H359" s="845" t="s">
        <v>1243</v>
      </c>
      <c r="I359" s="632" t="s">
        <v>50</v>
      </c>
      <c r="J359" s="632" t="s">
        <v>35</v>
      </c>
      <c r="K359" s="632" t="s">
        <v>158</v>
      </c>
      <c r="L359" s="635">
        <v>87400000</v>
      </c>
      <c r="M359" s="636">
        <v>3000000</v>
      </c>
      <c r="N359" s="632" t="s">
        <v>49</v>
      </c>
      <c r="O359" s="632" t="s">
        <v>301</v>
      </c>
      <c r="P359" s="632" t="s">
        <v>317</v>
      </c>
      <c r="Q359" s="910"/>
      <c r="R359" s="907"/>
      <c r="S359" s="907"/>
      <c r="T359" s="907"/>
      <c r="U359" s="907"/>
      <c r="V359" s="907"/>
      <c r="W359" s="907"/>
      <c r="X359" s="654"/>
      <c r="Y359" s="907"/>
      <c r="Z359" s="907"/>
      <c r="AA359" s="907"/>
      <c r="AB359" s="907"/>
      <c r="AC359" s="907"/>
      <c r="AD359" s="907"/>
      <c r="AE359" s="907"/>
      <c r="AF359" s="907"/>
      <c r="AG359" s="907"/>
      <c r="AH359" s="907"/>
    </row>
    <row r="360" spans="1:45" ht="138" customHeight="1" x14ac:dyDescent="0.25">
      <c r="A360" s="880">
        <v>308</v>
      </c>
      <c r="B360" s="632" t="s">
        <v>474</v>
      </c>
      <c r="C360" s="633" t="s">
        <v>1474</v>
      </c>
      <c r="D360" s="634" t="s">
        <v>1976</v>
      </c>
      <c r="E360" s="632" t="s">
        <v>48</v>
      </c>
      <c r="F360" s="632">
        <v>1</v>
      </c>
      <c r="G360" s="844" t="s">
        <v>180</v>
      </c>
      <c r="H360" s="845" t="s">
        <v>1978</v>
      </c>
      <c r="I360" s="632" t="s">
        <v>53</v>
      </c>
      <c r="J360" s="632" t="s">
        <v>35</v>
      </c>
      <c r="K360" s="632" t="s">
        <v>41</v>
      </c>
      <c r="L360" s="854">
        <v>4000000</v>
      </c>
      <c r="M360" s="855">
        <v>4000000</v>
      </c>
      <c r="N360" s="632" t="s">
        <v>51</v>
      </c>
      <c r="O360" s="632" t="s">
        <v>36</v>
      </c>
      <c r="P360" s="632" t="s">
        <v>316</v>
      </c>
      <c r="Q360" s="649"/>
      <c r="R360" s="907"/>
      <c r="S360" s="907"/>
      <c r="T360" s="907"/>
      <c r="U360" s="907"/>
      <c r="V360" s="907"/>
      <c r="W360" s="907"/>
      <c r="X360" s="654"/>
      <c r="Y360" s="907"/>
      <c r="Z360" s="907"/>
      <c r="AA360" s="907"/>
      <c r="AB360" s="907"/>
      <c r="AC360" s="907"/>
      <c r="AD360" s="907"/>
      <c r="AE360" s="907"/>
      <c r="AF360" s="907"/>
      <c r="AG360" s="907"/>
      <c r="AH360" s="907"/>
    </row>
    <row r="361" spans="1:45" ht="92.1" customHeight="1" x14ac:dyDescent="0.25">
      <c r="A361" s="638">
        <v>309</v>
      </c>
      <c r="B361" s="632" t="s">
        <v>474</v>
      </c>
      <c r="C361" s="633" t="s">
        <v>1980</v>
      </c>
      <c r="D361" s="634" t="s">
        <v>1977</v>
      </c>
      <c r="E361" s="632" t="s">
        <v>48</v>
      </c>
      <c r="F361" s="632">
        <v>1</v>
      </c>
      <c r="G361" s="844" t="s">
        <v>180</v>
      </c>
      <c r="H361" s="845" t="s">
        <v>1979</v>
      </c>
      <c r="I361" s="632" t="s">
        <v>53</v>
      </c>
      <c r="J361" s="632" t="s">
        <v>35</v>
      </c>
      <c r="K361" s="632" t="s">
        <v>193</v>
      </c>
      <c r="L361" s="854">
        <v>2500000</v>
      </c>
      <c r="M361" s="855">
        <v>2500000</v>
      </c>
      <c r="N361" s="632" t="s">
        <v>51</v>
      </c>
      <c r="O361" s="632" t="s">
        <v>36</v>
      </c>
      <c r="P361" s="632" t="s">
        <v>316</v>
      </c>
      <c r="Q361" s="649"/>
      <c r="R361" s="907"/>
      <c r="S361" s="907"/>
      <c r="T361" s="907"/>
      <c r="U361" s="907"/>
      <c r="V361" s="907"/>
      <c r="W361" s="907"/>
      <c r="X361" s="654"/>
      <c r="Y361" s="907"/>
      <c r="Z361" s="907"/>
      <c r="AA361" s="907"/>
      <c r="AB361" s="907"/>
      <c r="AC361" s="907"/>
      <c r="AD361" s="907"/>
      <c r="AE361" s="907"/>
      <c r="AF361" s="907"/>
      <c r="AG361" s="907"/>
      <c r="AH361" s="907"/>
    </row>
    <row r="362" spans="1:45" ht="114" customHeight="1" x14ac:dyDescent="0.25">
      <c r="A362" s="638">
        <v>310</v>
      </c>
      <c r="B362" s="632" t="s">
        <v>512</v>
      </c>
      <c r="C362" s="632">
        <v>80101706</v>
      </c>
      <c r="D362" s="632" t="s">
        <v>1990</v>
      </c>
      <c r="E362" s="632" t="s">
        <v>48</v>
      </c>
      <c r="F362" s="632">
        <v>1</v>
      </c>
      <c r="G362" s="632" t="s">
        <v>180</v>
      </c>
      <c r="H362" s="632" t="s">
        <v>1978</v>
      </c>
      <c r="I362" s="632" t="s">
        <v>61</v>
      </c>
      <c r="J362" s="632" t="s">
        <v>66</v>
      </c>
      <c r="K362" s="632" t="s">
        <v>598</v>
      </c>
      <c r="L362" s="635">
        <v>18000000</v>
      </c>
      <c r="M362" s="635">
        <v>18000000</v>
      </c>
      <c r="N362" s="632" t="s">
        <v>51</v>
      </c>
      <c r="O362" s="632" t="s">
        <v>36</v>
      </c>
      <c r="P362" s="632" t="s">
        <v>1982</v>
      </c>
      <c r="Q362" s="913"/>
      <c r="R362" s="637"/>
      <c r="S362" s="637"/>
      <c r="T362" s="653"/>
      <c r="U362" s="637"/>
      <c r="V362" s="637"/>
      <c r="W362" s="654"/>
      <c r="X362" s="654"/>
      <c r="Y362" s="654"/>
      <c r="Z362" s="654"/>
      <c r="AA362" s="654"/>
      <c r="AB362" s="637"/>
      <c r="AC362" s="637"/>
      <c r="AD362" s="637"/>
      <c r="AE362" s="653"/>
      <c r="AF362" s="653"/>
      <c r="AG362" s="637"/>
      <c r="AH362" s="637"/>
    </row>
    <row r="363" spans="1:45" ht="207.75" customHeight="1" x14ac:dyDescent="0.25">
      <c r="A363" s="638">
        <v>311</v>
      </c>
      <c r="B363" s="632" t="s">
        <v>170</v>
      </c>
      <c r="C363" s="632">
        <v>80101706</v>
      </c>
      <c r="D363" s="632" t="s">
        <v>1991</v>
      </c>
      <c r="E363" s="632" t="s">
        <v>48</v>
      </c>
      <c r="F363" s="632">
        <v>1</v>
      </c>
      <c r="G363" s="632" t="s">
        <v>180</v>
      </c>
      <c r="H363" s="632" t="s">
        <v>1978</v>
      </c>
      <c r="I363" s="632" t="s">
        <v>61</v>
      </c>
      <c r="J363" s="632" t="s">
        <v>66</v>
      </c>
      <c r="K363" s="632" t="s">
        <v>598</v>
      </c>
      <c r="L363" s="635">
        <v>10500000</v>
      </c>
      <c r="M363" s="635">
        <v>10500000</v>
      </c>
      <c r="N363" s="632" t="s">
        <v>51</v>
      </c>
      <c r="O363" s="632" t="s">
        <v>36</v>
      </c>
      <c r="P363" s="632" t="s">
        <v>1992</v>
      </c>
      <c r="Q363" s="913"/>
      <c r="R363" s="637"/>
      <c r="S363" s="637"/>
      <c r="T363" s="653"/>
      <c r="U363" s="637"/>
      <c r="V363" s="637"/>
      <c r="W363" s="654"/>
      <c r="X363" s="654"/>
      <c r="Y363" s="654"/>
      <c r="Z363" s="654"/>
      <c r="AA363" s="654"/>
      <c r="AB363" s="637"/>
      <c r="AC363" s="637"/>
      <c r="AD363" s="637"/>
      <c r="AE363" s="653"/>
      <c r="AF363" s="653"/>
      <c r="AG363" s="637"/>
      <c r="AH363" s="637"/>
    </row>
    <row r="364" spans="1:45" ht="144" customHeight="1" x14ac:dyDescent="0.25">
      <c r="A364" s="638">
        <v>312</v>
      </c>
      <c r="B364" s="632" t="s">
        <v>512</v>
      </c>
      <c r="C364" s="632">
        <v>80101706</v>
      </c>
      <c r="D364" s="632" t="s">
        <v>1993</v>
      </c>
      <c r="E364" s="632" t="s">
        <v>48</v>
      </c>
      <c r="F364" s="632">
        <v>1</v>
      </c>
      <c r="G364" s="632" t="s">
        <v>180</v>
      </c>
      <c r="H364" s="632" t="s">
        <v>1978</v>
      </c>
      <c r="I364" s="632" t="s">
        <v>61</v>
      </c>
      <c r="J364" s="632" t="s">
        <v>66</v>
      </c>
      <c r="K364" s="632" t="s">
        <v>598</v>
      </c>
      <c r="L364" s="635">
        <v>10500000</v>
      </c>
      <c r="M364" s="635">
        <v>10500000</v>
      </c>
      <c r="N364" s="632" t="s">
        <v>51</v>
      </c>
      <c r="O364" s="632" t="s">
        <v>36</v>
      </c>
      <c r="P364" s="632" t="s">
        <v>1982</v>
      </c>
      <c r="Q364" s="913"/>
      <c r="R364" s="637"/>
      <c r="S364" s="637"/>
      <c r="T364" s="653"/>
      <c r="U364" s="637"/>
      <c r="V364" s="637"/>
      <c r="W364" s="654"/>
      <c r="X364" s="654"/>
      <c r="Y364" s="654"/>
      <c r="Z364" s="654"/>
      <c r="AA364" s="654"/>
      <c r="AB364" s="637"/>
      <c r="AC364" s="637"/>
      <c r="AD364" s="637"/>
      <c r="AE364" s="653"/>
      <c r="AF364" s="653"/>
      <c r="AG364" s="637"/>
      <c r="AH364" s="637"/>
    </row>
    <row r="365" spans="1:45" ht="114.95" customHeight="1" x14ac:dyDescent="0.25">
      <c r="A365" s="638">
        <v>313</v>
      </c>
      <c r="B365" s="632" t="s">
        <v>1724</v>
      </c>
      <c r="C365" s="632">
        <v>80101706</v>
      </c>
      <c r="D365" s="632" t="s">
        <v>1994</v>
      </c>
      <c r="E365" s="632" t="s">
        <v>48</v>
      </c>
      <c r="F365" s="632">
        <v>1</v>
      </c>
      <c r="G365" s="632" t="s">
        <v>180</v>
      </c>
      <c r="H365" s="632" t="s">
        <v>1978</v>
      </c>
      <c r="I365" s="632" t="s">
        <v>61</v>
      </c>
      <c r="J365" s="632" t="s">
        <v>66</v>
      </c>
      <c r="K365" s="632" t="s">
        <v>598</v>
      </c>
      <c r="L365" s="635">
        <f>7350000*1.5</f>
        <v>11025000</v>
      </c>
      <c r="M365" s="635">
        <f>7350000*1.5</f>
        <v>11025000</v>
      </c>
      <c r="N365" s="632" t="s">
        <v>51</v>
      </c>
      <c r="O365" s="632" t="s">
        <v>36</v>
      </c>
      <c r="P365" s="632" t="s">
        <v>1988</v>
      </c>
      <c r="Q365" s="913"/>
      <c r="R365" s="637"/>
      <c r="S365" s="637"/>
      <c r="T365" s="653"/>
      <c r="U365" s="637"/>
      <c r="V365" s="637"/>
      <c r="W365" s="654"/>
      <c r="X365" s="654"/>
      <c r="Y365" s="654"/>
      <c r="Z365" s="654"/>
      <c r="AA365" s="654"/>
      <c r="AB365" s="637"/>
      <c r="AC365" s="637"/>
      <c r="AD365" s="637"/>
      <c r="AE365" s="653"/>
      <c r="AF365" s="653"/>
      <c r="AG365" s="637"/>
      <c r="AH365" s="637"/>
    </row>
    <row r="366" spans="1:45" ht="165.75" customHeight="1" x14ac:dyDescent="0.25">
      <c r="A366" s="638">
        <v>314</v>
      </c>
      <c r="B366" s="632" t="s">
        <v>512</v>
      </c>
      <c r="C366" s="632">
        <v>80101706</v>
      </c>
      <c r="D366" s="632" t="s">
        <v>1981</v>
      </c>
      <c r="E366" s="632" t="s">
        <v>48</v>
      </c>
      <c r="F366" s="632">
        <v>1</v>
      </c>
      <c r="G366" s="632" t="s">
        <v>180</v>
      </c>
      <c r="H366" s="632" t="s">
        <v>1978</v>
      </c>
      <c r="I366" s="632" t="s">
        <v>61</v>
      </c>
      <c r="J366" s="632" t="s">
        <v>66</v>
      </c>
      <c r="K366" s="632" t="s">
        <v>598</v>
      </c>
      <c r="L366" s="635">
        <v>9000000</v>
      </c>
      <c r="M366" s="635">
        <v>9000000</v>
      </c>
      <c r="N366" s="632" t="s">
        <v>51</v>
      </c>
      <c r="O366" s="632" t="s">
        <v>36</v>
      </c>
      <c r="P366" s="632" t="s">
        <v>1982</v>
      </c>
      <c r="Q366" s="913"/>
      <c r="R366" s="637"/>
      <c r="S366" s="637"/>
      <c r="T366" s="653"/>
      <c r="U366" s="637"/>
      <c r="V366" s="637"/>
      <c r="W366" s="654"/>
      <c r="X366" s="654"/>
      <c r="Y366" s="654"/>
      <c r="Z366" s="654"/>
      <c r="AA366" s="654"/>
      <c r="AB366" s="637"/>
      <c r="AC366" s="637"/>
      <c r="AD366" s="637"/>
      <c r="AE366" s="653"/>
      <c r="AF366" s="653"/>
      <c r="AG366" s="637"/>
      <c r="AH366" s="637"/>
    </row>
    <row r="367" spans="1:45" ht="129" customHeight="1" x14ac:dyDescent="0.25">
      <c r="A367" s="638">
        <v>315</v>
      </c>
      <c r="B367" s="632" t="s">
        <v>512</v>
      </c>
      <c r="C367" s="632">
        <v>80101706</v>
      </c>
      <c r="D367" s="632" t="s">
        <v>1983</v>
      </c>
      <c r="E367" s="632" t="s">
        <v>48</v>
      </c>
      <c r="F367" s="632">
        <v>1</v>
      </c>
      <c r="G367" s="632" t="s">
        <v>180</v>
      </c>
      <c r="H367" s="632" t="s">
        <v>1978</v>
      </c>
      <c r="I367" s="632" t="s">
        <v>61</v>
      </c>
      <c r="J367" s="632" t="s">
        <v>66</v>
      </c>
      <c r="K367" s="632" t="s">
        <v>598</v>
      </c>
      <c r="L367" s="635">
        <v>9000000</v>
      </c>
      <c r="M367" s="635">
        <v>9000000</v>
      </c>
      <c r="N367" s="632" t="s">
        <v>51</v>
      </c>
      <c r="O367" s="632" t="s">
        <v>36</v>
      </c>
      <c r="P367" s="632" t="s">
        <v>1982</v>
      </c>
      <c r="Q367" s="913"/>
      <c r="R367" s="637"/>
      <c r="S367" s="637"/>
      <c r="T367" s="653"/>
      <c r="U367" s="637"/>
      <c r="V367" s="637"/>
      <c r="W367" s="654"/>
      <c r="X367" s="654"/>
      <c r="Y367" s="654"/>
      <c r="Z367" s="654"/>
      <c r="AA367" s="654"/>
      <c r="AB367" s="637"/>
      <c r="AC367" s="637"/>
      <c r="AD367" s="637"/>
      <c r="AE367" s="653"/>
      <c r="AF367" s="653"/>
      <c r="AG367" s="637"/>
      <c r="AH367" s="637"/>
    </row>
    <row r="368" spans="1:45" ht="139.5" x14ac:dyDescent="0.25">
      <c r="A368" s="638">
        <v>316</v>
      </c>
      <c r="B368" s="632" t="s">
        <v>512</v>
      </c>
      <c r="C368" s="632">
        <v>80101706</v>
      </c>
      <c r="D368" s="632" t="s">
        <v>1984</v>
      </c>
      <c r="E368" s="632" t="s">
        <v>48</v>
      </c>
      <c r="F368" s="632">
        <v>1</v>
      </c>
      <c r="G368" s="632" t="s">
        <v>180</v>
      </c>
      <c r="H368" s="632" t="s">
        <v>1978</v>
      </c>
      <c r="I368" s="632" t="s">
        <v>61</v>
      </c>
      <c r="J368" s="632" t="s">
        <v>66</v>
      </c>
      <c r="K368" s="632" t="s">
        <v>598</v>
      </c>
      <c r="L368" s="635">
        <v>9000000</v>
      </c>
      <c r="M368" s="635">
        <v>9000000</v>
      </c>
      <c r="N368" s="632" t="s">
        <v>51</v>
      </c>
      <c r="O368" s="632" t="s">
        <v>36</v>
      </c>
      <c r="P368" s="632" t="s">
        <v>1982</v>
      </c>
      <c r="Q368" s="913"/>
      <c r="R368" s="637"/>
      <c r="S368" s="637"/>
      <c r="T368" s="653"/>
      <c r="U368" s="637"/>
      <c r="V368" s="637"/>
      <c r="W368" s="654"/>
      <c r="X368" s="654"/>
      <c r="Y368" s="654"/>
      <c r="Z368" s="654"/>
      <c r="AA368" s="654"/>
      <c r="AB368" s="637"/>
      <c r="AC368" s="637"/>
      <c r="AD368" s="637"/>
      <c r="AE368" s="653"/>
      <c r="AF368" s="653"/>
      <c r="AG368" s="637"/>
      <c r="AH368" s="637"/>
    </row>
    <row r="369" spans="1:34" ht="114.95" customHeight="1" x14ac:dyDescent="0.25">
      <c r="A369" s="638">
        <v>317</v>
      </c>
      <c r="B369" s="632" t="s">
        <v>512</v>
      </c>
      <c r="C369" s="632">
        <v>80101706</v>
      </c>
      <c r="D369" s="632" t="s">
        <v>1985</v>
      </c>
      <c r="E369" s="632" t="s">
        <v>48</v>
      </c>
      <c r="F369" s="632">
        <v>1</v>
      </c>
      <c r="G369" s="632" t="s">
        <v>180</v>
      </c>
      <c r="H369" s="632" t="s">
        <v>1978</v>
      </c>
      <c r="I369" s="632" t="s">
        <v>61</v>
      </c>
      <c r="J369" s="632" t="s">
        <v>66</v>
      </c>
      <c r="K369" s="632" t="s">
        <v>598</v>
      </c>
      <c r="L369" s="635">
        <v>9000000</v>
      </c>
      <c r="M369" s="635">
        <v>9000000</v>
      </c>
      <c r="N369" s="632" t="s">
        <v>51</v>
      </c>
      <c r="O369" s="632" t="s">
        <v>36</v>
      </c>
      <c r="P369" s="632" t="s">
        <v>1982</v>
      </c>
      <c r="Q369" s="913"/>
      <c r="R369" s="637"/>
      <c r="S369" s="637"/>
      <c r="T369" s="653"/>
      <c r="U369" s="637"/>
      <c r="V369" s="637"/>
      <c r="W369" s="654"/>
      <c r="X369" s="654"/>
      <c r="Y369" s="654"/>
      <c r="Z369" s="654"/>
      <c r="AA369" s="654"/>
      <c r="AB369" s="637"/>
      <c r="AC369" s="637"/>
      <c r="AD369" s="637"/>
      <c r="AE369" s="653"/>
      <c r="AF369" s="653"/>
      <c r="AG369" s="637"/>
      <c r="AH369" s="637"/>
    </row>
    <row r="370" spans="1:34" ht="116.25" x14ac:dyDescent="0.25">
      <c r="A370" s="638">
        <v>318</v>
      </c>
      <c r="B370" s="632" t="s">
        <v>512</v>
      </c>
      <c r="C370" s="632">
        <v>80101706</v>
      </c>
      <c r="D370" s="632" t="s">
        <v>1986</v>
      </c>
      <c r="E370" s="632" t="s">
        <v>48</v>
      </c>
      <c r="F370" s="632">
        <v>1</v>
      </c>
      <c r="G370" s="632" t="s">
        <v>180</v>
      </c>
      <c r="H370" s="632" t="s">
        <v>1978</v>
      </c>
      <c r="I370" s="632" t="s">
        <v>61</v>
      </c>
      <c r="J370" s="632" t="s">
        <v>66</v>
      </c>
      <c r="K370" s="632" t="s">
        <v>598</v>
      </c>
      <c r="L370" s="635">
        <v>13500000</v>
      </c>
      <c r="M370" s="635">
        <v>13500000</v>
      </c>
      <c r="N370" s="632" t="s">
        <v>51</v>
      </c>
      <c r="O370" s="632" t="s">
        <v>36</v>
      </c>
      <c r="P370" s="632" t="s">
        <v>1982</v>
      </c>
      <c r="Q370" s="913"/>
      <c r="R370" s="637"/>
      <c r="S370" s="637"/>
      <c r="T370" s="653"/>
      <c r="U370" s="637"/>
      <c r="V370" s="637"/>
      <c r="W370" s="654"/>
      <c r="X370" s="654"/>
      <c r="Y370" s="654"/>
      <c r="Z370" s="654"/>
      <c r="AA370" s="654"/>
      <c r="AB370" s="637"/>
      <c r="AC370" s="637"/>
      <c r="AD370" s="637"/>
      <c r="AE370" s="653"/>
      <c r="AF370" s="653"/>
      <c r="AG370" s="637"/>
      <c r="AH370" s="637"/>
    </row>
    <row r="371" spans="1:34" ht="116.25" x14ac:dyDescent="0.25">
      <c r="A371" s="638">
        <v>319</v>
      </c>
      <c r="B371" s="632" t="s">
        <v>512</v>
      </c>
      <c r="C371" s="632">
        <v>80101706</v>
      </c>
      <c r="D371" s="632" t="s">
        <v>2000</v>
      </c>
      <c r="E371" s="632" t="s">
        <v>48</v>
      </c>
      <c r="F371" s="632">
        <v>1</v>
      </c>
      <c r="G371" s="632" t="s">
        <v>180</v>
      </c>
      <c r="H371" s="632" t="s">
        <v>1978</v>
      </c>
      <c r="I371" s="632" t="s">
        <v>61</v>
      </c>
      <c r="J371" s="632" t="s">
        <v>66</v>
      </c>
      <c r="K371" s="632" t="s">
        <v>598</v>
      </c>
      <c r="L371" s="635">
        <f>2471000*1.5</f>
        <v>3706500</v>
      </c>
      <c r="M371" s="635">
        <f>2471000*1.5</f>
        <v>3706500</v>
      </c>
      <c r="N371" s="632" t="s">
        <v>51</v>
      </c>
      <c r="O371" s="632" t="s">
        <v>36</v>
      </c>
      <c r="P371" s="632" t="s">
        <v>1982</v>
      </c>
      <c r="Q371" s="913"/>
      <c r="R371" s="637"/>
      <c r="S371" s="637"/>
      <c r="T371" s="653"/>
      <c r="U371" s="637"/>
      <c r="V371" s="637"/>
      <c r="W371" s="654"/>
      <c r="X371" s="654"/>
      <c r="Y371" s="654"/>
      <c r="Z371" s="654"/>
      <c r="AA371" s="654"/>
      <c r="AB371" s="637"/>
      <c r="AC371" s="637"/>
      <c r="AD371" s="637"/>
      <c r="AE371" s="653"/>
      <c r="AF371" s="653"/>
      <c r="AG371" s="637"/>
      <c r="AH371" s="637"/>
    </row>
    <row r="372" spans="1:34" ht="139.5" x14ac:dyDescent="0.25">
      <c r="A372" s="638">
        <v>320</v>
      </c>
      <c r="B372" s="632" t="s">
        <v>1724</v>
      </c>
      <c r="C372" s="632">
        <v>80101706</v>
      </c>
      <c r="D372" s="632" t="s">
        <v>1987</v>
      </c>
      <c r="E372" s="632" t="s">
        <v>48</v>
      </c>
      <c r="F372" s="632">
        <v>1</v>
      </c>
      <c r="G372" s="632" t="s">
        <v>180</v>
      </c>
      <c r="H372" s="632" t="s">
        <v>1978</v>
      </c>
      <c r="I372" s="632" t="s">
        <v>61</v>
      </c>
      <c r="J372" s="632" t="s">
        <v>66</v>
      </c>
      <c r="K372" s="632" t="s">
        <v>589</v>
      </c>
      <c r="L372" s="635">
        <f>7350000*1.5</f>
        <v>11025000</v>
      </c>
      <c r="M372" s="635">
        <f>7350000*1.5</f>
        <v>11025000</v>
      </c>
      <c r="N372" s="632" t="s">
        <v>51</v>
      </c>
      <c r="O372" s="632" t="s">
        <v>36</v>
      </c>
      <c r="P372" s="632" t="s">
        <v>1988</v>
      </c>
      <c r="Q372" s="913"/>
      <c r="R372" s="637"/>
      <c r="S372" s="637"/>
      <c r="T372" s="653"/>
      <c r="U372" s="637"/>
      <c r="V372" s="637"/>
      <c r="W372" s="654"/>
      <c r="X372" s="654"/>
      <c r="Y372" s="654"/>
      <c r="Z372" s="654"/>
      <c r="AA372" s="654"/>
      <c r="AB372" s="637"/>
      <c r="AC372" s="637"/>
      <c r="AD372" s="637"/>
      <c r="AE372" s="653"/>
      <c r="AF372" s="653"/>
      <c r="AG372" s="637"/>
      <c r="AH372" s="637"/>
    </row>
    <row r="373" spans="1:34" ht="129.6" customHeight="1" x14ac:dyDescent="0.25">
      <c r="A373" s="638">
        <v>321</v>
      </c>
      <c r="B373" s="632" t="s">
        <v>1989</v>
      </c>
      <c r="C373" s="632">
        <v>80101706</v>
      </c>
      <c r="D373" s="634" t="s">
        <v>528</v>
      </c>
      <c r="E373" s="632" t="s">
        <v>48</v>
      </c>
      <c r="F373" s="632">
        <v>1</v>
      </c>
      <c r="G373" s="844" t="s">
        <v>180</v>
      </c>
      <c r="H373" s="632" t="s">
        <v>1978</v>
      </c>
      <c r="I373" s="632" t="s">
        <v>61</v>
      </c>
      <c r="J373" s="632" t="s">
        <v>66</v>
      </c>
      <c r="K373" s="632" t="s">
        <v>1504</v>
      </c>
      <c r="L373" s="635">
        <v>12000000</v>
      </c>
      <c r="M373" s="635">
        <v>12000000</v>
      </c>
      <c r="N373" s="632" t="s">
        <v>51</v>
      </c>
      <c r="O373" s="632" t="s">
        <v>36</v>
      </c>
      <c r="P373" s="632" t="s">
        <v>1869</v>
      </c>
      <c r="Q373" s="649"/>
      <c r="R373" s="906"/>
      <c r="S373" s="907"/>
      <c r="T373" s="907"/>
      <c r="U373" s="907"/>
      <c r="V373" s="907"/>
      <c r="W373" s="907"/>
      <c r="X373" s="654"/>
      <c r="Y373" s="907"/>
      <c r="Z373" s="907"/>
      <c r="AA373" s="907"/>
      <c r="AB373" s="907"/>
      <c r="AC373" s="907"/>
      <c r="AD373" s="907"/>
      <c r="AE373" s="907"/>
      <c r="AF373" s="907"/>
      <c r="AG373" s="907"/>
      <c r="AH373" s="907"/>
    </row>
    <row r="374" spans="1:34" ht="129.6" customHeight="1" x14ac:dyDescent="0.25">
      <c r="A374" s="638">
        <v>322</v>
      </c>
      <c r="B374" s="632" t="s">
        <v>1989</v>
      </c>
      <c r="C374" s="632">
        <v>80101706</v>
      </c>
      <c r="D374" s="634" t="s">
        <v>528</v>
      </c>
      <c r="E374" s="632" t="s">
        <v>48</v>
      </c>
      <c r="F374" s="632">
        <v>1</v>
      </c>
      <c r="G374" s="844" t="s">
        <v>180</v>
      </c>
      <c r="H374" s="632" t="s">
        <v>1978</v>
      </c>
      <c r="I374" s="632" t="s">
        <v>61</v>
      </c>
      <c r="J374" s="632" t="s">
        <v>66</v>
      </c>
      <c r="K374" s="632" t="s">
        <v>1504</v>
      </c>
      <c r="L374" s="635">
        <v>12000000</v>
      </c>
      <c r="M374" s="635">
        <v>12000000</v>
      </c>
      <c r="N374" s="632" t="s">
        <v>51</v>
      </c>
      <c r="O374" s="632" t="s">
        <v>36</v>
      </c>
      <c r="P374" s="632" t="s">
        <v>1869</v>
      </c>
      <c r="Q374" s="649"/>
      <c r="R374" s="906"/>
      <c r="S374" s="907"/>
      <c r="T374" s="907"/>
      <c r="U374" s="907"/>
      <c r="V374" s="907"/>
      <c r="W374" s="907"/>
      <c r="X374" s="654"/>
      <c r="Y374" s="907"/>
      <c r="Z374" s="907"/>
      <c r="AA374" s="907"/>
      <c r="AB374" s="907"/>
      <c r="AC374" s="907"/>
      <c r="AD374" s="907"/>
      <c r="AE374" s="907"/>
      <c r="AF374" s="907"/>
      <c r="AG374" s="907"/>
      <c r="AH374" s="907"/>
    </row>
    <row r="375" spans="1:34" ht="129.6" customHeight="1" x14ac:dyDescent="0.25">
      <c r="A375" s="638">
        <v>323</v>
      </c>
      <c r="B375" s="632" t="s">
        <v>1989</v>
      </c>
      <c r="C375" s="632">
        <v>80101706</v>
      </c>
      <c r="D375" s="634" t="s">
        <v>528</v>
      </c>
      <c r="E375" s="632" t="s">
        <v>48</v>
      </c>
      <c r="F375" s="632">
        <v>1</v>
      </c>
      <c r="G375" s="844" t="s">
        <v>180</v>
      </c>
      <c r="H375" s="632" t="s">
        <v>1978</v>
      </c>
      <c r="I375" s="632" t="s">
        <v>61</v>
      </c>
      <c r="J375" s="632" t="s">
        <v>66</v>
      </c>
      <c r="K375" s="632" t="s">
        <v>1504</v>
      </c>
      <c r="L375" s="635">
        <v>12000000</v>
      </c>
      <c r="M375" s="635">
        <v>12000000</v>
      </c>
      <c r="N375" s="632" t="s">
        <v>51</v>
      </c>
      <c r="O375" s="632" t="s">
        <v>36</v>
      </c>
      <c r="P375" s="632" t="s">
        <v>1869</v>
      </c>
      <c r="Q375" s="649"/>
      <c r="R375" s="906"/>
      <c r="S375" s="907"/>
      <c r="T375" s="907"/>
      <c r="U375" s="907"/>
      <c r="V375" s="907"/>
      <c r="W375" s="907"/>
      <c r="X375" s="654"/>
      <c r="Y375" s="907"/>
      <c r="Z375" s="907"/>
      <c r="AA375" s="907"/>
      <c r="AB375" s="907"/>
      <c r="AC375" s="907"/>
      <c r="AD375" s="907"/>
      <c r="AE375" s="907"/>
      <c r="AF375" s="907"/>
      <c r="AG375" s="907"/>
      <c r="AH375" s="907"/>
    </row>
    <row r="376" spans="1:34" ht="129.6" customHeight="1" x14ac:dyDescent="0.25">
      <c r="A376" s="638">
        <v>324</v>
      </c>
      <c r="B376" s="632" t="s">
        <v>1989</v>
      </c>
      <c r="C376" s="632">
        <v>80101706</v>
      </c>
      <c r="D376" s="634" t="s">
        <v>528</v>
      </c>
      <c r="E376" s="632" t="s">
        <v>48</v>
      </c>
      <c r="F376" s="632">
        <v>1</v>
      </c>
      <c r="G376" s="844" t="s">
        <v>180</v>
      </c>
      <c r="H376" s="632" t="s">
        <v>1978</v>
      </c>
      <c r="I376" s="632" t="s">
        <v>61</v>
      </c>
      <c r="J376" s="632" t="s">
        <v>66</v>
      </c>
      <c r="K376" s="632" t="s">
        <v>1504</v>
      </c>
      <c r="L376" s="635">
        <v>12000000</v>
      </c>
      <c r="M376" s="635">
        <v>12000000</v>
      </c>
      <c r="N376" s="632" t="s">
        <v>51</v>
      </c>
      <c r="O376" s="632" t="s">
        <v>36</v>
      </c>
      <c r="P376" s="632" t="s">
        <v>1869</v>
      </c>
      <c r="Q376" s="649"/>
      <c r="R376" s="906"/>
      <c r="S376" s="907"/>
      <c r="T376" s="907"/>
      <c r="U376" s="907"/>
      <c r="V376" s="907"/>
      <c r="W376" s="907"/>
      <c r="X376" s="654"/>
      <c r="Y376" s="907"/>
      <c r="Z376" s="907"/>
      <c r="AA376" s="907"/>
      <c r="AB376" s="907"/>
      <c r="AC376" s="907"/>
      <c r="AD376" s="907"/>
      <c r="AE376" s="907"/>
      <c r="AF376" s="907"/>
      <c r="AG376" s="907"/>
      <c r="AH376" s="907"/>
    </row>
    <row r="377" spans="1:34" s="657" customFormat="1" ht="129.6" customHeight="1" x14ac:dyDescent="0.25">
      <c r="A377" s="638">
        <v>325</v>
      </c>
      <c r="B377" s="632" t="s">
        <v>481</v>
      </c>
      <c r="C377" s="633">
        <v>43211500</v>
      </c>
      <c r="D377" s="634" t="s">
        <v>1995</v>
      </c>
      <c r="E377" s="632" t="s">
        <v>68</v>
      </c>
      <c r="F377" s="632">
        <v>1</v>
      </c>
      <c r="G377" s="844" t="s">
        <v>180</v>
      </c>
      <c r="H377" s="845" t="s">
        <v>156</v>
      </c>
      <c r="I377" s="632" t="s">
        <v>173</v>
      </c>
      <c r="J377" s="632" t="s">
        <v>66</v>
      </c>
      <c r="K377" s="632" t="s">
        <v>607</v>
      </c>
      <c r="L377" s="635">
        <v>280000000</v>
      </c>
      <c r="M377" s="635">
        <v>280000000</v>
      </c>
      <c r="N377" s="632" t="s">
        <v>51</v>
      </c>
      <c r="O377" s="632" t="s">
        <v>36</v>
      </c>
      <c r="P377" s="632" t="s">
        <v>1869</v>
      </c>
      <c r="Q377" s="649"/>
      <c r="R377" s="906"/>
      <c r="S377" s="907"/>
      <c r="T377" s="907"/>
      <c r="U377" s="907"/>
      <c r="V377" s="907"/>
      <c r="W377" s="907"/>
      <c r="X377" s="654"/>
      <c r="Y377" s="907"/>
      <c r="Z377" s="907"/>
      <c r="AA377" s="907"/>
      <c r="AB377" s="907"/>
      <c r="AC377" s="907"/>
      <c r="AD377" s="907"/>
      <c r="AE377" s="907"/>
      <c r="AF377" s="907"/>
      <c r="AG377" s="907"/>
      <c r="AH377" s="907"/>
    </row>
    <row r="378" spans="1:34" s="657" customFormat="1" ht="129.6" customHeight="1" x14ac:dyDescent="0.25">
      <c r="A378" s="638">
        <v>326</v>
      </c>
      <c r="B378" s="632" t="s">
        <v>481</v>
      </c>
      <c r="C378" s="633">
        <v>81112200</v>
      </c>
      <c r="D378" s="634" t="s">
        <v>1996</v>
      </c>
      <c r="E378" s="632" t="s">
        <v>68</v>
      </c>
      <c r="F378" s="632">
        <v>1</v>
      </c>
      <c r="G378" s="844" t="s">
        <v>180</v>
      </c>
      <c r="H378" s="845" t="s">
        <v>156</v>
      </c>
      <c r="I378" s="632" t="s">
        <v>602</v>
      </c>
      <c r="J378" s="632" t="s">
        <v>66</v>
      </c>
      <c r="K378" s="632" t="s">
        <v>574</v>
      </c>
      <c r="L378" s="635">
        <v>19641346</v>
      </c>
      <c r="M378" s="635">
        <v>19641346</v>
      </c>
      <c r="N378" s="632" t="s">
        <v>51</v>
      </c>
      <c r="O378" s="632" t="s">
        <v>36</v>
      </c>
      <c r="P378" s="632" t="s">
        <v>1869</v>
      </c>
      <c r="Q378" s="649"/>
      <c r="R378" s="906"/>
      <c r="S378" s="907"/>
      <c r="T378" s="907"/>
      <c r="U378" s="907"/>
      <c r="V378" s="907"/>
      <c r="W378" s="907"/>
      <c r="X378" s="654"/>
      <c r="Y378" s="907"/>
      <c r="Z378" s="907"/>
      <c r="AA378" s="907"/>
      <c r="AB378" s="907"/>
      <c r="AC378" s="907"/>
      <c r="AD378" s="907"/>
      <c r="AE378" s="907"/>
      <c r="AF378" s="907"/>
      <c r="AG378" s="907"/>
      <c r="AH378" s="907"/>
    </row>
    <row r="379" spans="1:34" ht="162" customHeight="1" x14ac:dyDescent="0.25">
      <c r="A379" s="638">
        <v>327</v>
      </c>
      <c r="B379" s="632" t="s">
        <v>262</v>
      </c>
      <c r="C379" s="633" t="s">
        <v>2006</v>
      </c>
      <c r="D379" s="634" t="s">
        <v>2007</v>
      </c>
      <c r="E379" s="632" t="s">
        <v>48</v>
      </c>
      <c r="F379" s="632">
        <v>1</v>
      </c>
      <c r="G379" s="844" t="s">
        <v>180</v>
      </c>
      <c r="H379" s="845" t="s">
        <v>2014</v>
      </c>
      <c r="I379" s="632" t="s">
        <v>2003</v>
      </c>
      <c r="J379" s="632" t="s">
        <v>35</v>
      </c>
      <c r="K379" s="632" t="s">
        <v>195</v>
      </c>
      <c r="L379" s="635">
        <v>6890000</v>
      </c>
      <c r="M379" s="635">
        <f>3300000+2300000+800000+490000</f>
        <v>6890000</v>
      </c>
      <c r="N379" s="632" t="s">
        <v>51</v>
      </c>
      <c r="O379" s="632" t="s">
        <v>36</v>
      </c>
      <c r="P379" s="632" t="s">
        <v>317</v>
      </c>
      <c r="Q379" s="649"/>
      <c r="R379" s="906"/>
      <c r="S379" s="907"/>
      <c r="T379" s="907"/>
      <c r="U379" s="907"/>
      <c r="V379" s="907"/>
      <c r="W379" s="907"/>
      <c r="X379" s="654"/>
      <c r="Y379" s="907"/>
      <c r="Z379" s="907"/>
      <c r="AA379" s="907"/>
      <c r="AB379" s="907"/>
      <c r="AC379" s="907"/>
      <c r="AD379" s="907"/>
      <c r="AE379" s="907"/>
      <c r="AF379" s="907"/>
      <c r="AG379" s="907"/>
      <c r="AH379" s="907"/>
    </row>
    <row r="380" spans="1:34" ht="162" customHeight="1" x14ac:dyDescent="0.25">
      <c r="A380" s="638">
        <v>328</v>
      </c>
      <c r="B380" s="632" t="s">
        <v>262</v>
      </c>
      <c r="C380" s="633">
        <v>46191601</v>
      </c>
      <c r="D380" s="634" t="s">
        <v>2005</v>
      </c>
      <c r="E380" s="632" t="s">
        <v>48</v>
      </c>
      <c r="F380" s="632">
        <v>1</v>
      </c>
      <c r="G380" s="844" t="s">
        <v>180</v>
      </c>
      <c r="H380" s="845" t="s">
        <v>156</v>
      </c>
      <c r="I380" s="632" t="s">
        <v>2003</v>
      </c>
      <c r="J380" s="632" t="s">
        <v>35</v>
      </c>
      <c r="K380" s="632" t="s">
        <v>195</v>
      </c>
      <c r="L380" s="635">
        <v>4500000</v>
      </c>
      <c r="M380" s="635">
        <v>4500000</v>
      </c>
      <c r="N380" s="632" t="s">
        <v>51</v>
      </c>
      <c r="O380" s="632" t="s">
        <v>36</v>
      </c>
      <c r="P380" s="632" t="s">
        <v>317</v>
      </c>
      <c r="Q380" s="649"/>
      <c r="R380" s="906"/>
      <c r="S380" s="907"/>
      <c r="T380" s="907"/>
      <c r="U380" s="907"/>
      <c r="V380" s="907"/>
      <c r="W380" s="907"/>
      <c r="X380" s="654"/>
      <c r="Y380" s="907"/>
      <c r="Z380" s="907"/>
      <c r="AA380" s="907"/>
      <c r="AB380" s="907"/>
      <c r="AC380" s="907"/>
      <c r="AD380" s="907"/>
      <c r="AE380" s="907"/>
      <c r="AF380" s="907"/>
      <c r="AG380" s="907"/>
      <c r="AH380" s="907"/>
    </row>
    <row r="381" spans="1:34" ht="129.6" customHeight="1" x14ac:dyDescent="0.25">
      <c r="A381" s="638">
        <v>329</v>
      </c>
      <c r="B381" s="632" t="s">
        <v>262</v>
      </c>
      <c r="C381" s="633">
        <v>43231508</v>
      </c>
      <c r="D381" s="634" t="s">
        <v>2004</v>
      </c>
      <c r="E381" s="632" t="s">
        <v>59</v>
      </c>
      <c r="F381" s="632">
        <v>1</v>
      </c>
      <c r="G381" s="844" t="s">
        <v>180</v>
      </c>
      <c r="H381" s="845" t="s">
        <v>156</v>
      </c>
      <c r="I381" s="632" t="s">
        <v>602</v>
      </c>
      <c r="J381" s="632" t="s">
        <v>66</v>
      </c>
      <c r="K381" s="632" t="s">
        <v>607</v>
      </c>
      <c r="L381" s="635">
        <v>21800000</v>
      </c>
      <c r="M381" s="635">
        <v>21800000</v>
      </c>
      <c r="N381" s="632" t="s">
        <v>51</v>
      </c>
      <c r="O381" s="632" t="s">
        <v>36</v>
      </c>
      <c r="P381" s="632" t="s">
        <v>1869</v>
      </c>
      <c r="Q381" s="649"/>
      <c r="R381" s="906"/>
      <c r="S381" s="907"/>
      <c r="T381" s="907"/>
      <c r="U381" s="907"/>
      <c r="V381" s="907"/>
      <c r="W381" s="907"/>
      <c r="X381" s="907"/>
      <c r="Y381" s="907"/>
      <c r="Z381" s="907"/>
      <c r="AA381" s="907"/>
      <c r="AB381" s="907"/>
      <c r="AC381" s="907"/>
      <c r="AD381" s="907"/>
      <c r="AE381" s="907"/>
      <c r="AF381" s="907"/>
      <c r="AG381" s="907"/>
      <c r="AH381" s="907"/>
    </row>
    <row r="382" spans="1:34" ht="129.6" customHeight="1" x14ac:dyDescent="0.25">
      <c r="A382" s="638">
        <v>330</v>
      </c>
      <c r="B382" s="632" t="s">
        <v>198</v>
      </c>
      <c r="C382" s="633">
        <v>55101500</v>
      </c>
      <c r="D382" s="634" t="s">
        <v>2015</v>
      </c>
      <c r="E382" s="632" t="s">
        <v>48</v>
      </c>
      <c r="F382" s="632">
        <v>1</v>
      </c>
      <c r="G382" s="844" t="s">
        <v>180</v>
      </c>
      <c r="H382" s="845" t="s">
        <v>156</v>
      </c>
      <c r="I382" s="632" t="s">
        <v>61</v>
      </c>
      <c r="J382" s="632" t="s">
        <v>66</v>
      </c>
      <c r="K382" s="632" t="s">
        <v>589</v>
      </c>
      <c r="L382" s="635">
        <v>17000000</v>
      </c>
      <c r="M382" s="635">
        <v>17000000</v>
      </c>
      <c r="N382" s="632" t="s">
        <v>51</v>
      </c>
      <c r="O382" s="632" t="s">
        <v>36</v>
      </c>
      <c r="P382" s="632" t="s">
        <v>304</v>
      </c>
      <c r="Q382" s="649"/>
      <c r="R382" s="906"/>
      <c r="S382" s="907"/>
      <c r="T382" s="907"/>
      <c r="U382" s="907"/>
      <c r="V382" s="907"/>
      <c r="W382" s="907"/>
      <c r="X382" s="907"/>
      <c r="Y382" s="907"/>
      <c r="Z382" s="907"/>
      <c r="AA382" s="907"/>
      <c r="AB382" s="907"/>
      <c r="AC382" s="907"/>
      <c r="AD382" s="907"/>
      <c r="AE382" s="907"/>
      <c r="AF382" s="907"/>
      <c r="AG382" s="907"/>
      <c r="AH382" s="907"/>
    </row>
    <row r="383" spans="1:34" ht="129.6" customHeight="1" x14ac:dyDescent="0.25">
      <c r="A383" s="638">
        <v>331</v>
      </c>
      <c r="B383" s="632" t="s">
        <v>264</v>
      </c>
      <c r="C383" s="633">
        <v>80101706</v>
      </c>
      <c r="D383" s="634" t="s">
        <v>1856</v>
      </c>
      <c r="E383" s="632" t="s">
        <v>48</v>
      </c>
      <c r="F383" s="632">
        <v>1</v>
      </c>
      <c r="G383" s="844" t="s">
        <v>180</v>
      </c>
      <c r="H383" s="845" t="s">
        <v>156</v>
      </c>
      <c r="I383" s="632" t="s">
        <v>61</v>
      </c>
      <c r="J383" s="632" t="s">
        <v>66</v>
      </c>
      <c r="K383" s="632" t="s">
        <v>589</v>
      </c>
      <c r="L383" s="635">
        <v>12000000</v>
      </c>
      <c r="M383" s="635">
        <v>12000000</v>
      </c>
      <c r="N383" s="632" t="s">
        <v>51</v>
      </c>
      <c r="O383" s="632" t="s">
        <v>36</v>
      </c>
      <c r="P383" s="632" t="s">
        <v>2016</v>
      </c>
      <c r="Q383" s="649"/>
      <c r="R383" s="906"/>
      <c r="S383" s="907"/>
      <c r="T383" s="907"/>
      <c r="U383" s="907"/>
      <c r="V383" s="907"/>
      <c r="W383" s="907"/>
      <c r="X383" s="907"/>
      <c r="Y383" s="907"/>
      <c r="Z383" s="907"/>
      <c r="AA383" s="907"/>
      <c r="AB383" s="907"/>
      <c r="AC383" s="907"/>
      <c r="AD383" s="907"/>
      <c r="AE383" s="907"/>
      <c r="AF383" s="907"/>
      <c r="AG383" s="907"/>
      <c r="AH383" s="907"/>
    </row>
    <row r="384" spans="1:34" ht="93" x14ac:dyDescent="0.25">
      <c r="A384" s="638">
        <v>332</v>
      </c>
      <c r="B384" s="632" t="s">
        <v>264</v>
      </c>
      <c r="C384" s="633">
        <v>80101706</v>
      </c>
      <c r="D384" s="634" t="s">
        <v>1856</v>
      </c>
      <c r="E384" s="632" t="s">
        <v>48</v>
      </c>
      <c r="F384" s="632">
        <v>1</v>
      </c>
      <c r="G384" s="844" t="s">
        <v>180</v>
      </c>
      <c r="H384" s="845" t="s">
        <v>156</v>
      </c>
      <c r="I384" s="632" t="s">
        <v>61</v>
      </c>
      <c r="J384" s="632" t="s">
        <v>66</v>
      </c>
      <c r="K384" s="632" t="s">
        <v>589</v>
      </c>
      <c r="L384" s="635">
        <v>13500000</v>
      </c>
      <c r="M384" s="635">
        <v>13500000</v>
      </c>
      <c r="N384" s="632" t="s">
        <v>51</v>
      </c>
      <c r="O384" s="632" t="s">
        <v>36</v>
      </c>
      <c r="P384" s="632" t="s">
        <v>2016</v>
      </c>
      <c r="Q384" s="649"/>
      <c r="R384" s="906"/>
      <c r="S384" s="907"/>
      <c r="T384" s="907"/>
      <c r="U384" s="907"/>
      <c r="V384" s="907"/>
      <c r="W384" s="907"/>
      <c r="X384" s="907"/>
      <c r="Y384" s="907"/>
      <c r="Z384" s="907"/>
      <c r="AA384" s="907"/>
      <c r="AB384" s="907"/>
      <c r="AC384" s="907"/>
      <c r="AD384" s="907"/>
      <c r="AE384" s="907"/>
      <c r="AF384" s="907"/>
      <c r="AG384" s="907"/>
      <c r="AH384" s="907"/>
    </row>
    <row r="385" spans="1:34" ht="69.75" x14ac:dyDescent="0.25">
      <c r="A385" s="638">
        <v>333</v>
      </c>
      <c r="B385" s="632" t="s">
        <v>171</v>
      </c>
      <c r="C385" s="633">
        <v>80101706</v>
      </c>
      <c r="D385" s="634" t="s">
        <v>2017</v>
      </c>
      <c r="E385" s="632" t="s">
        <v>48</v>
      </c>
      <c r="F385" s="632">
        <v>1</v>
      </c>
      <c r="G385" s="844" t="s">
        <v>180</v>
      </c>
      <c r="H385" s="845" t="s">
        <v>156</v>
      </c>
      <c r="I385" s="632" t="s">
        <v>61</v>
      </c>
      <c r="J385" s="632" t="s">
        <v>66</v>
      </c>
      <c r="K385" s="632" t="s">
        <v>589</v>
      </c>
      <c r="L385" s="635">
        <v>18000000</v>
      </c>
      <c r="M385" s="635">
        <v>18000000</v>
      </c>
      <c r="N385" s="632" t="s">
        <v>51</v>
      </c>
      <c r="O385" s="632" t="s">
        <v>36</v>
      </c>
      <c r="P385" s="632" t="s">
        <v>2018</v>
      </c>
      <c r="Q385" s="649"/>
      <c r="R385" s="906"/>
      <c r="S385" s="907"/>
      <c r="T385" s="907"/>
      <c r="U385" s="907"/>
      <c r="V385" s="907"/>
      <c r="W385" s="907"/>
      <c r="X385" s="907"/>
      <c r="Y385" s="907"/>
      <c r="Z385" s="907"/>
      <c r="AA385" s="907"/>
      <c r="AB385" s="907"/>
      <c r="AC385" s="907"/>
      <c r="AD385" s="907"/>
      <c r="AE385" s="907"/>
      <c r="AF385" s="907"/>
      <c r="AG385" s="907"/>
      <c r="AH385" s="907"/>
    </row>
    <row r="386" spans="1:34" ht="69.75" x14ac:dyDescent="0.25">
      <c r="A386" s="638">
        <v>334</v>
      </c>
      <c r="B386" s="632" t="s">
        <v>171</v>
      </c>
      <c r="C386" s="633">
        <v>80101706</v>
      </c>
      <c r="D386" s="634" t="s">
        <v>2017</v>
      </c>
      <c r="E386" s="632" t="s">
        <v>48</v>
      </c>
      <c r="F386" s="632">
        <v>1</v>
      </c>
      <c r="G386" s="844" t="s">
        <v>180</v>
      </c>
      <c r="H386" s="845" t="s">
        <v>156</v>
      </c>
      <c r="I386" s="632" t="s">
        <v>61</v>
      </c>
      <c r="J386" s="632" t="s">
        <v>66</v>
      </c>
      <c r="K386" s="632" t="s">
        <v>589</v>
      </c>
      <c r="L386" s="635">
        <v>9000000</v>
      </c>
      <c r="M386" s="635">
        <v>9000000</v>
      </c>
      <c r="N386" s="632" t="s">
        <v>51</v>
      </c>
      <c r="O386" s="632" t="s">
        <v>36</v>
      </c>
      <c r="P386" s="632" t="s">
        <v>2018</v>
      </c>
      <c r="Q386" s="649"/>
      <c r="R386" s="906"/>
      <c r="S386" s="907"/>
      <c r="T386" s="907"/>
      <c r="U386" s="907"/>
      <c r="V386" s="907"/>
      <c r="W386" s="907"/>
      <c r="X386" s="907"/>
      <c r="Y386" s="907"/>
      <c r="Z386" s="907"/>
      <c r="AA386" s="907"/>
      <c r="AB386" s="907"/>
      <c r="AC386" s="907"/>
      <c r="AD386" s="907"/>
      <c r="AE386" s="907"/>
      <c r="AF386" s="907"/>
      <c r="AG386" s="907"/>
      <c r="AH386" s="907"/>
    </row>
    <row r="387" spans="1:34" ht="69.75" x14ac:dyDescent="0.25">
      <c r="A387" s="638">
        <v>335</v>
      </c>
      <c r="B387" s="632" t="s">
        <v>171</v>
      </c>
      <c r="C387" s="633">
        <v>80101706</v>
      </c>
      <c r="D387" s="634" t="s">
        <v>2017</v>
      </c>
      <c r="E387" s="632" t="s">
        <v>48</v>
      </c>
      <c r="F387" s="632">
        <v>1</v>
      </c>
      <c r="G387" s="844" t="s">
        <v>180</v>
      </c>
      <c r="H387" s="845" t="s">
        <v>156</v>
      </c>
      <c r="I387" s="632" t="s">
        <v>61</v>
      </c>
      <c r="J387" s="632" t="s">
        <v>66</v>
      </c>
      <c r="K387" s="632" t="s">
        <v>589</v>
      </c>
      <c r="L387" s="635">
        <v>15000000</v>
      </c>
      <c r="M387" s="635">
        <v>15000000</v>
      </c>
      <c r="N387" s="632" t="s">
        <v>51</v>
      </c>
      <c r="O387" s="632" t="s">
        <v>36</v>
      </c>
      <c r="P387" s="632" t="s">
        <v>2018</v>
      </c>
      <c r="Q387" s="649"/>
      <c r="R387" s="906"/>
      <c r="S387" s="907"/>
      <c r="T387" s="907"/>
      <c r="U387" s="907"/>
      <c r="V387" s="907"/>
      <c r="W387" s="907"/>
      <c r="X387" s="907"/>
      <c r="Y387" s="907"/>
      <c r="Z387" s="907"/>
      <c r="AA387" s="907"/>
      <c r="AB387" s="907"/>
      <c r="AC387" s="907"/>
      <c r="AD387" s="907"/>
      <c r="AE387" s="907"/>
      <c r="AF387" s="907"/>
      <c r="AG387" s="907"/>
      <c r="AH387" s="907"/>
    </row>
    <row r="388" spans="1:34" ht="69.75" x14ac:dyDescent="0.25">
      <c r="A388" s="638">
        <v>336</v>
      </c>
      <c r="B388" s="632" t="s">
        <v>171</v>
      </c>
      <c r="C388" s="633">
        <v>80101706</v>
      </c>
      <c r="D388" s="634" t="s">
        <v>2017</v>
      </c>
      <c r="E388" s="632" t="s">
        <v>48</v>
      </c>
      <c r="F388" s="632">
        <v>1</v>
      </c>
      <c r="G388" s="844" t="s">
        <v>180</v>
      </c>
      <c r="H388" s="845" t="s">
        <v>156</v>
      </c>
      <c r="I388" s="632" t="s">
        <v>61</v>
      </c>
      <c r="J388" s="632" t="s">
        <v>66</v>
      </c>
      <c r="K388" s="632" t="s">
        <v>589</v>
      </c>
      <c r="L388" s="635">
        <v>15000000</v>
      </c>
      <c r="M388" s="635">
        <v>15000000</v>
      </c>
      <c r="N388" s="632" t="s">
        <v>51</v>
      </c>
      <c r="O388" s="632" t="s">
        <v>36</v>
      </c>
      <c r="P388" s="632" t="s">
        <v>2018</v>
      </c>
      <c r="Q388" s="649"/>
      <c r="R388" s="906"/>
      <c r="S388" s="907"/>
      <c r="T388" s="907"/>
      <c r="U388" s="907"/>
      <c r="V388" s="907"/>
      <c r="W388" s="907"/>
      <c r="X388" s="907"/>
      <c r="Y388" s="907"/>
      <c r="Z388" s="907"/>
      <c r="AA388" s="907"/>
      <c r="AB388" s="907"/>
      <c r="AC388" s="907"/>
      <c r="AD388" s="907"/>
      <c r="AE388" s="907"/>
      <c r="AF388" s="907"/>
      <c r="AG388" s="907"/>
      <c r="AH388" s="907"/>
    </row>
    <row r="389" spans="1:34" ht="69.75" x14ac:dyDescent="0.25">
      <c r="A389" s="638">
        <v>337</v>
      </c>
      <c r="B389" s="632" t="s">
        <v>171</v>
      </c>
      <c r="C389" s="633">
        <v>80101706</v>
      </c>
      <c r="D389" s="634" t="s">
        <v>2017</v>
      </c>
      <c r="E389" s="632" t="s">
        <v>48</v>
      </c>
      <c r="F389" s="632">
        <v>1</v>
      </c>
      <c r="G389" s="844" t="s">
        <v>180</v>
      </c>
      <c r="H389" s="845" t="s">
        <v>156</v>
      </c>
      <c r="I389" s="632" t="s">
        <v>61</v>
      </c>
      <c r="J389" s="632" t="s">
        <v>66</v>
      </c>
      <c r="K389" s="632" t="s">
        <v>589</v>
      </c>
      <c r="L389" s="635">
        <v>15000000</v>
      </c>
      <c r="M389" s="635">
        <v>15000000</v>
      </c>
      <c r="N389" s="632" t="s">
        <v>51</v>
      </c>
      <c r="O389" s="632" t="s">
        <v>36</v>
      </c>
      <c r="P389" s="632" t="s">
        <v>2018</v>
      </c>
      <c r="Q389" s="649"/>
      <c r="R389" s="906"/>
      <c r="S389" s="907"/>
      <c r="T389" s="907"/>
      <c r="U389" s="907"/>
      <c r="V389" s="907"/>
      <c r="W389" s="907"/>
      <c r="X389" s="907"/>
      <c r="Y389" s="907"/>
      <c r="Z389" s="907"/>
      <c r="AA389" s="907"/>
      <c r="AB389" s="907"/>
      <c r="AC389" s="907"/>
      <c r="AD389" s="907"/>
      <c r="AE389" s="907"/>
      <c r="AF389" s="907"/>
      <c r="AG389" s="907"/>
      <c r="AH389" s="907"/>
    </row>
    <row r="390" spans="1:34" ht="93" x14ac:dyDescent="0.25">
      <c r="A390" s="638">
        <v>338</v>
      </c>
      <c r="B390" s="632" t="s">
        <v>1724</v>
      </c>
      <c r="C390" s="633">
        <v>80101706</v>
      </c>
      <c r="D390" s="634" t="s">
        <v>2019</v>
      </c>
      <c r="E390" s="632" t="s">
        <v>48</v>
      </c>
      <c r="F390" s="632">
        <v>1</v>
      </c>
      <c r="G390" s="844" t="s">
        <v>180</v>
      </c>
      <c r="H390" s="845" t="s">
        <v>156</v>
      </c>
      <c r="I390" s="632" t="s">
        <v>61</v>
      </c>
      <c r="J390" s="632" t="s">
        <v>66</v>
      </c>
      <c r="K390" s="632" t="s">
        <v>589</v>
      </c>
      <c r="L390" s="635">
        <v>14250000</v>
      </c>
      <c r="M390" s="635">
        <v>14250000</v>
      </c>
      <c r="N390" s="632" t="s">
        <v>51</v>
      </c>
      <c r="O390" s="632" t="s">
        <v>36</v>
      </c>
      <c r="P390" s="632" t="s">
        <v>2020</v>
      </c>
      <c r="Q390" s="649"/>
      <c r="R390" s="906"/>
      <c r="S390" s="907"/>
      <c r="T390" s="907"/>
      <c r="U390" s="907"/>
      <c r="V390" s="907"/>
      <c r="W390" s="907"/>
      <c r="X390" s="907"/>
      <c r="Y390" s="907"/>
      <c r="Z390" s="907"/>
      <c r="AA390" s="907"/>
      <c r="AB390" s="907"/>
      <c r="AC390" s="907"/>
      <c r="AD390" s="907"/>
      <c r="AE390" s="907"/>
      <c r="AF390" s="907"/>
      <c r="AG390" s="907"/>
      <c r="AH390" s="907"/>
    </row>
    <row r="391" spans="1:34" ht="93" x14ac:dyDescent="0.25">
      <c r="A391" s="638">
        <v>339</v>
      </c>
      <c r="B391" s="632" t="s">
        <v>299</v>
      </c>
      <c r="C391" s="633">
        <v>80101706</v>
      </c>
      <c r="D391" s="634" t="s">
        <v>636</v>
      </c>
      <c r="E391" s="632" t="s">
        <v>48</v>
      </c>
      <c r="F391" s="632">
        <v>1</v>
      </c>
      <c r="G391" s="844" t="s">
        <v>180</v>
      </c>
      <c r="H391" s="845" t="s">
        <v>156</v>
      </c>
      <c r="I391" s="632" t="s">
        <v>61</v>
      </c>
      <c r="J391" s="632" t="s">
        <v>66</v>
      </c>
      <c r="K391" s="632" t="s">
        <v>589</v>
      </c>
      <c r="L391" s="635">
        <v>18000000</v>
      </c>
      <c r="M391" s="635">
        <v>18000000</v>
      </c>
      <c r="N391" s="632" t="s">
        <v>51</v>
      </c>
      <c r="O391" s="632" t="s">
        <v>36</v>
      </c>
      <c r="P391" s="632" t="s">
        <v>2021</v>
      </c>
      <c r="Q391" s="649"/>
      <c r="R391" s="906"/>
      <c r="S391" s="907"/>
      <c r="T391" s="907"/>
      <c r="U391" s="907"/>
      <c r="V391" s="907"/>
      <c r="W391" s="907"/>
      <c r="X391" s="907"/>
      <c r="Y391" s="907"/>
      <c r="Z391" s="907"/>
      <c r="AA391" s="907"/>
      <c r="AB391" s="907"/>
      <c r="AC391" s="907"/>
      <c r="AD391" s="907"/>
      <c r="AE391" s="907"/>
      <c r="AF391" s="907"/>
      <c r="AG391" s="907"/>
      <c r="AH391" s="907"/>
    </row>
    <row r="392" spans="1:34" s="657" customFormat="1" ht="140.1" customHeight="1" x14ac:dyDescent="0.25">
      <c r="A392" s="638">
        <v>340</v>
      </c>
      <c r="B392" s="632" t="s">
        <v>1989</v>
      </c>
      <c r="C392" s="633" t="s">
        <v>2023</v>
      </c>
      <c r="D392" s="634" t="s">
        <v>2024</v>
      </c>
      <c r="E392" s="632" t="s">
        <v>48</v>
      </c>
      <c r="F392" s="632">
        <v>1</v>
      </c>
      <c r="G392" s="844" t="s">
        <v>180</v>
      </c>
      <c r="H392" s="845" t="s">
        <v>156</v>
      </c>
      <c r="I392" s="632" t="s">
        <v>602</v>
      </c>
      <c r="J392" s="632" t="s">
        <v>66</v>
      </c>
      <c r="K392" s="632" t="s">
        <v>607</v>
      </c>
      <c r="L392" s="635">
        <v>15000000</v>
      </c>
      <c r="M392" s="635">
        <v>15000000</v>
      </c>
      <c r="N392" s="632" t="s">
        <v>51</v>
      </c>
      <c r="O392" s="632" t="s">
        <v>36</v>
      </c>
      <c r="P392" s="632" t="s">
        <v>2025</v>
      </c>
      <c r="Q392" s="649"/>
      <c r="R392" s="906"/>
      <c r="S392" s="907"/>
      <c r="T392" s="907"/>
      <c r="U392" s="907"/>
      <c r="V392" s="907"/>
      <c r="W392" s="907"/>
      <c r="X392" s="907"/>
      <c r="Y392" s="907"/>
      <c r="Z392" s="907"/>
      <c r="AA392" s="907"/>
      <c r="AB392" s="907"/>
      <c r="AC392" s="907"/>
      <c r="AD392" s="907"/>
      <c r="AE392" s="907"/>
      <c r="AF392" s="907"/>
      <c r="AG392" s="907"/>
      <c r="AH392" s="907"/>
    </row>
    <row r="393" spans="1:34" s="657" customFormat="1" ht="45" x14ac:dyDescent="0.25">
      <c r="A393" s="692"/>
      <c r="B393" s="693"/>
      <c r="C393" s="693"/>
      <c r="D393" s="694"/>
      <c r="E393" s="693"/>
      <c r="F393" s="693"/>
      <c r="G393" s="695"/>
      <c r="H393" s="696"/>
      <c r="I393" s="693"/>
      <c r="J393" s="693"/>
      <c r="K393" s="693"/>
      <c r="L393" s="708"/>
      <c r="M393" s="708"/>
      <c r="N393" s="693"/>
      <c r="O393" s="693"/>
      <c r="P393" s="693"/>
      <c r="R393" s="734"/>
      <c r="S393" s="735"/>
      <c r="T393" s="735"/>
      <c r="U393" s="735"/>
      <c r="V393" s="735"/>
      <c r="W393" s="735"/>
      <c r="X393" s="735"/>
      <c r="Y393" s="735"/>
      <c r="Z393" s="735"/>
      <c r="AA393" s="735"/>
      <c r="AB393" s="735"/>
      <c r="AC393" s="735"/>
      <c r="AD393" s="735"/>
      <c r="AE393" s="735"/>
      <c r="AF393" s="735"/>
      <c r="AG393" s="735"/>
      <c r="AH393" s="735"/>
    </row>
    <row r="394" spans="1:34" s="657" customFormat="1" ht="45" x14ac:dyDescent="0.25">
      <c r="A394" s="692"/>
      <c r="B394" s="693"/>
      <c r="C394" s="693"/>
      <c r="D394" s="694"/>
      <c r="E394" s="693"/>
      <c r="F394" s="693"/>
      <c r="G394" s="695"/>
      <c r="H394" s="696"/>
      <c r="I394" s="693"/>
      <c r="J394" s="693"/>
      <c r="K394" s="693"/>
      <c r="L394" s="708"/>
      <c r="M394" s="708"/>
      <c r="N394" s="693"/>
      <c r="O394" s="693"/>
      <c r="P394" s="693"/>
      <c r="R394" s="734"/>
      <c r="S394" s="735"/>
      <c r="T394" s="735"/>
      <c r="U394" s="735"/>
      <c r="V394" s="735"/>
      <c r="W394" s="735"/>
      <c r="X394" s="735"/>
      <c r="Y394" s="735"/>
      <c r="Z394" s="735"/>
      <c r="AA394" s="735"/>
      <c r="AB394" s="735"/>
      <c r="AC394" s="735"/>
      <c r="AD394" s="735"/>
      <c r="AE394" s="735"/>
      <c r="AF394" s="735"/>
      <c r="AG394" s="735"/>
      <c r="AH394" s="735"/>
    </row>
    <row r="395" spans="1:34" s="657" customFormat="1" ht="45" x14ac:dyDescent="0.25">
      <c r="A395" s="692"/>
      <c r="B395" s="693"/>
      <c r="C395" s="693"/>
      <c r="D395" s="694"/>
      <c r="E395" s="693"/>
      <c r="F395" s="693"/>
      <c r="G395" s="695"/>
      <c r="H395" s="696"/>
      <c r="I395" s="693"/>
      <c r="J395" s="693"/>
      <c r="K395" s="693"/>
      <c r="L395" s="708"/>
      <c r="M395" s="708"/>
      <c r="N395" s="693"/>
      <c r="O395" s="693"/>
      <c r="P395" s="693"/>
      <c r="R395" s="734"/>
      <c r="S395" s="735"/>
      <c r="T395" s="735"/>
      <c r="U395" s="735"/>
      <c r="V395" s="735"/>
      <c r="W395" s="735"/>
      <c r="X395" s="735"/>
      <c r="Y395" s="735"/>
      <c r="Z395" s="735"/>
      <c r="AA395" s="735"/>
      <c r="AB395" s="735"/>
      <c r="AC395" s="735"/>
      <c r="AD395" s="735"/>
      <c r="AE395" s="735"/>
      <c r="AF395" s="735"/>
      <c r="AG395" s="735"/>
      <c r="AH395" s="735"/>
    </row>
    <row r="400" spans="1:34" ht="101.1" customHeight="1" x14ac:dyDescent="0.35">
      <c r="D400" s="733" t="s">
        <v>2022</v>
      </c>
      <c r="E400" s="732"/>
      <c r="F400" s="732"/>
      <c r="G400" s="732"/>
      <c r="H400" s="732"/>
      <c r="I400" s="732"/>
      <c r="J400" s="732"/>
      <c r="K400" s="733" t="s">
        <v>1973</v>
      </c>
    </row>
  </sheetData>
  <autoFilter ref="A19:AS392"/>
  <mergeCells count="213">
    <mergeCell ref="AH312:AH313"/>
    <mergeCell ref="AH310:AH311"/>
    <mergeCell ref="A340:A341"/>
    <mergeCell ref="AB312:AB313"/>
    <mergeCell ref="AC312:AC313"/>
    <mergeCell ref="AD312:AD313"/>
    <mergeCell ref="AE312:AE313"/>
    <mergeCell ref="AF312:AF313"/>
    <mergeCell ref="AG312:AG313"/>
    <mergeCell ref="AD310:AD311"/>
    <mergeCell ref="AE310:AE311"/>
    <mergeCell ref="AF310:AF311"/>
    <mergeCell ref="AG310:AG311"/>
    <mergeCell ref="A312:A313"/>
    <mergeCell ref="S312:S313"/>
    <mergeCell ref="T312:T313"/>
    <mergeCell ref="U312:U313"/>
    <mergeCell ref="V312:V313"/>
    <mergeCell ref="A310:A311"/>
    <mergeCell ref="S310:S311"/>
    <mergeCell ref="T310:T311"/>
    <mergeCell ref="U310:U311"/>
    <mergeCell ref="V310:V311"/>
    <mergeCell ref="AB310:AB311"/>
    <mergeCell ref="AC310:AC311"/>
    <mergeCell ref="A263:A264"/>
    <mergeCell ref="S263:S264"/>
    <mergeCell ref="T263:T264"/>
    <mergeCell ref="U263:U264"/>
    <mergeCell ref="V263:V264"/>
    <mergeCell ref="AH263:AH264"/>
    <mergeCell ref="A308:A309"/>
    <mergeCell ref="S308:S309"/>
    <mergeCell ref="T308:T309"/>
    <mergeCell ref="U308:U309"/>
    <mergeCell ref="V308:V309"/>
    <mergeCell ref="AB308:AB309"/>
    <mergeCell ref="AC308:AC309"/>
    <mergeCell ref="AD308:AD309"/>
    <mergeCell ref="AE308:AE309"/>
    <mergeCell ref="AB263:AB264"/>
    <mergeCell ref="AC263:AC264"/>
    <mergeCell ref="AD263:AD264"/>
    <mergeCell ref="AE263:AE264"/>
    <mergeCell ref="AF263:AF264"/>
    <mergeCell ref="AG263:AG264"/>
    <mergeCell ref="AF308:AF309"/>
    <mergeCell ref="AG308:AG309"/>
    <mergeCell ref="AH308:AH309"/>
    <mergeCell ref="AH140:AH141"/>
    <mergeCell ref="A143:A144"/>
    <mergeCell ref="S143:S144"/>
    <mergeCell ref="T143:T144"/>
    <mergeCell ref="U143:U144"/>
    <mergeCell ref="V143:V144"/>
    <mergeCell ref="AB143:AB144"/>
    <mergeCell ref="AC143:AC144"/>
    <mergeCell ref="AD143:AD144"/>
    <mergeCell ref="AE143:AE144"/>
    <mergeCell ref="AF143:AF144"/>
    <mergeCell ref="AG143:AG144"/>
    <mergeCell ref="AH143:AH144"/>
    <mergeCell ref="AH138:AH139"/>
    <mergeCell ref="A140:A141"/>
    <mergeCell ref="S140:S141"/>
    <mergeCell ref="T140:T141"/>
    <mergeCell ref="U140:U141"/>
    <mergeCell ref="V140:V141"/>
    <mergeCell ref="AB140:AB141"/>
    <mergeCell ref="AC140:AC141"/>
    <mergeCell ref="AD140:AD141"/>
    <mergeCell ref="AE140:AE141"/>
    <mergeCell ref="AB138:AB139"/>
    <mergeCell ref="AC138:AC139"/>
    <mergeCell ref="AD138:AD139"/>
    <mergeCell ref="AE138:AE139"/>
    <mergeCell ref="AF138:AF139"/>
    <mergeCell ref="AG138:AG139"/>
    <mergeCell ref="A138:A139"/>
    <mergeCell ref="S138:S139"/>
    <mergeCell ref="T138:T139"/>
    <mergeCell ref="U138:U139"/>
    <mergeCell ref="V138:V139"/>
    <mergeCell ref="W138:W139"/>
    <mergeCell ref="AF140:AF141"/>
    <mergeCell ref="AG140:AG141"/>
    <mergeCell ref="AB133:AB134"/>
    <mergeCell ref="AD133:AD134"/>
    <mergeCell ref="AE133:AE134"/>
    <mergeCell ref="AF133:AF134"/>
    <mergeCell ref="AG133:AG134"/>
    <mergeCell ref="AH133:AH134"/>
    <mergeCell ref="AD131:AD132"/>
    <mergeCell ref="AE131:AE132"/>
    <mergeCell ref="AF131:AF132"/>
    <mergeCell ref="AG131:AG132"/>
    <mergeCell ref="AH131:AH132"/>
    <mergeCell ref="AB131:AB132"/>
    <mergeCell ref="A133:A134"/>
    <mergeCell ref="S133:S134"/>
    <mergeCell ref="T133:T134"/>
    <mergeCell ref="U133:U134"/>
    <mergeCell ref="V133:V134"/>
    <mergeCell ref="A131:A132"/>
    <mergeCell ref="S131:S132"/>
    <mergeCell ref="T131:T132"/>
    <mergeCell ref="U131:U132"/>
    <mergeCell ref="V131:V132"/>
    <mergeCell ref="AB129:AB130"/>
    <mergeCell ref="AD129:AD130"/>
    <mergeCell ref="AE129:AE130"/>
    <mergeCell ref="AF129:AF130"/>
    <mergeCell ref="AG129:AG130"/>
    <mergeCell ref="AH129:AH130"/>
    <mergeCell ref="AD127:AD128"/>
    <mergeCell ref="AE127:AE128"/>
    <mergeCell ref="AF127:AF128"/>
    <mergeCell ref="AG127:AG128"/>
    <mergeCell ref="AH127:AH128"/>
    <mergeCell ref="AB127:AB128"/>
    <mergeCell ref="A129:A130"/>
    <mergeCell ref="S129:S130"/>
    <mergeCell ref="T129:T130"/>
    <mergeCell ref="U129:U130"/>
    <mergeCell ref="V129:V130"/>
    <mergeCell ref="A127:A128"/>
    <mergeCell ref="S127:S128"/>
    <mergeCell ref="T127:T128"/>
    <mergeCell ref="U127:U128"/>
    <mergeCell ref="V127:V128"/>
    <mergeCell ref="A111:A112"/>
    <mergeCell ref="S111:S112"/>
    <mergeCell ref="A113:A114"/>
    <mergeCell ref="S113:S114"/>
    <mergeCell ref="A115:A116"/>
    <mergeCell ref="V91:V92"/>
    <mergeCell ref="AB91:AB92"/>
    <mergeCell ref="AC91:AC92"/>
    <mergeCell ref="A95:A96"/>
    <mergeCell ref="A99:A100"/>
    <mergeCell ref="A106:A107"/>
    <mergeCell ref="A91:A92"/>
    <mergeCell ref="B91:B92"/>
    <mergeCell ref="N91:N92"/>
    <mergeCell ref="O91:O92"/>
    <mergeCell ref="P91:P92"/>
    <mergeCell ref="S91:S92"/>
    <mergeCell ref="T91:T92"/>
    <mergeCell ref="U91:U92"/>
    <mergeCell ref="A109:A110"/>
    <mergeCell ref="I64:I69"/>
    <mergeCell ref="N64:N69"/>
    <mergeCell ref="O64:O69"/>
    <mergeCell ref="P64:P69"/>
    <mergeCell ref="A87:A88"/>
    <mergeCell ref="S87:S88"/>
    <mergeCell ref="AH46:AH47"/>
    <mergeCell ref="A52:A53"/>
    <mergeCell ref="A64:A70"/>
    <mergeCell ref="B64:B69"/>
    <mergeCell ref="C64:C69"/>
    <mergeCell ref="D64:D69"/>
    <mergeCell ref="E64:E69"/>
    <mergeCell ref="F64:F69"/>
    <mergeCell ref="G64:G69"/>
    <mergeCell ref="H64:H69"/>
    <mergeCell ref="AB46:AB47"/>
    <mergeCell ref="AC46:AC47"/>
    <mergeCell ref="AD46:AD47"/>
    <mergeCell ref="AE46:AE47"/>
    <mergeCell ref="AF46:AF47"/>
    <mergeCell ref="AG46:AG47"/>
    <mergeCell ref="U87:U88"/>
    <mergeCell ref="V87:V88"/>
    <mergeCell ref="A44:A45"/>
    <mergeCell ref="R46:R47"/>
    <mergeCell ref="S46:S47"/>
    <mergeCell ref="T46:T47"/>
    <mergeCell ref="U46:U47"/>
    <mergeCell ref="V46:V47"/>
    <mergeCell ref="AC40:AC41"/>
    <mergeCell ref="AD40:AD41"/>
    <mergeCell ref="AE40:AE41"/>
    <mergeCell ref="AF40:AF41"/>
    <mergeCell ref="AG40:AG41"/>
    <mergeCell ref="AH40:AH41"/>
    <mergeCell ref="A40:A41"/>
    <mergeCell ref="S40:S41"/>
    <mergeCell ref="T40:T41"/>
    <mergeCell ref="U40:U41"/>
    <mergeCell ref="V40:V41"/>
    <mergeCell ref="AB40:AB41"/>
    <mergeCell ref="G18:H18"/>
    <mergeCell ref="A23:A24"/>
    <mergeCell ref="AC23:AC24"/>
    <mergeCell ref="A34:A35"/>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 ref="G17:H17"/>
  </mergeCells>
  <dataValidations count="1">
    <dataValidation type="list" allowBlank="1" showInputMessage="1" showErrorMessage="1" sqref="AH38 AH353:AH355 AH345 AH349">
      <formula1>$A$33:$A$53</formula1>
    </dataValidation>
  </dataValidations>
  <printOptions horizontalCentered="1"/>
  <pageMargins left="0.51181102362204722" right="0.51181102362204722" top="0.94488188976377963" bottom="0.94488188976377963" header="0.31496062992125984" footer="0.31496062992125984"/>
  <pageSetup paperSize="14" scale="18" orientation="landscape" horizontalDpi="4294967294" verticalDpi="4294967294" r:id="rId1"/>
  <headerFooter>
    <oddFooter>&amp;C&amp;22Página &amp;P&amp;R&amp;22 2018-01-04_PAA_2018</oddFooter>
  </headerFooter>
  <rowBreaks count="2" manualBreakCount="2">
    <brk id="329" max="15" man="1"/>
    <brk id="366" max="15"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'D:\fyara\Mis documentos\BASE DE DATOS CONTRATOS\BASES CONTRATOS\[CUADRO DE REPARTO GGC Y CUADRO DE SEGUIMIENTO A LOS CONTRATOS 2018.xlsx]LISTAS'!#REF!</xm:f>
          </x14:formula1>
          <xm:sqref>V38 AH350 AH314:AH319 AH58:AH59 AH91:AH92 AH248 AH261 AH348 AH346 V248 AH86 V86 AH246 V246 AH342:AH343 V342:V355 AH307:AH308 V307:V308 AH267:AH277 AH310 AH312 AH279:AH284 AH251 V310 V312 V50 V251 AH64:AH71 AH39 AH33:AH35 AH45:AH46 AH258 AH84 AH22:AH25 AH37 AH52 AH56 AH255:AH256 AH326:AH330 AH50 V255:V256 V269:V284 V286:V305 AH286:AH305 V321:V324 V314:V319 V326:V339 AH332 V267 AH153 V153 V362:V372</xm:sqref>
        </x14:dataValidation>
        <x14:dataValidation type="list" allowBlank="1" showInputMessage="1" showErrorMessage="1">
          <x14:formula1>
            <xm:f>'D:\fyara\Escritorio\[BASE SEGUIMIENTO A LOS CONTRATOS 2018.xlsx]LISTAS'!#REF!</xm:f>
          </x14:formula1>
          <xm:sqref>AH113:AH114</xm:sqref>
        </x14:dataValidation>
        <x14:dataValidation type="list" allowBlank="1" showInputMessage="1" showErrorMessage="1">
          <x14:formula1>
            <xm:f>'C:\PLAN COMPRAS\PLAN 2003\[plan_sice2003.xls]LISTAS'!#REF!</xm:f>
          </x14:formula1>
          <xm:sqref>AH109:AH112</xm:sqref>
        </x14:dataValidation>
        <x14:dataValidation type="list" allowBlank="1" showInputMessage="1" showErrorMessage="1">
          <x14:formula1>
            <xm:f>'C:\CERTIFICACIONES\[CUADRO DE REPARTO GGC Y CUADRO DE SEGUIMIENTO A LOS CONTRATOS 2018.xlsx]LISTAS'!#REF!</xm:f>
          </x14:formula1>
          <xm:sqref>AH333 AH278 AH331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Hoja1</vt:lpstr>
      <vt:lpstr>DISTRIBUCION PRESUP. 2018</vt:lpstr>
      <vt:lpstr>PLAN NECES DESPURADO 2-01-2018</vt:lpstr>
      <vt:lpstr>CAJA MENOR 2018</vt:lpstr>
      <vt:lpstr>PAA-PRESUP 30-10-2018</vt:lpstr>
      <vt:lpstr>traslados (3)</vt:lpstr>
      <vt:lpstr>PAA -07-11-2018</vt:lpstr>
      <vt:lpstr>'PAA -07-11-2018'!Área_de_impresión</vt:lpstr>
      <vt:lpstr>'PAA-PRESUP 30-10-2018'!Área_de_impresión</vt:lpstr>
      <vt:lpstr>'PAA -07-11-2018'!Títulos_a_imprimir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Gloria Amparo Sandoval</cp:lastModifiedBy>
  <cp:lastPrinted>2018-11-06T16:33:49Z</cp:lastPrinted>
  <dcterms:created xsi:type="dcterms:W3CDTF">2015-12-14T22:18:47Z</dcterms:created>
  <dcterms:modified xsi:type="dcterms:W3CDTF">2018-11-07T21:36:10Z</dcterms:modified>
</cp:coreProperties>
</file>