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fyara\Escritorio\"/>
    </mc:Choice>
  </mc:AlternateContent>
  <bookViews>
    <workbookView xWindow="-120" yWindow="-120" windowWidth="29040" windowHeight="15840" activeTab="2"/>
  </bookViews>
  <sheets>
    <sheet name="traslados entre subrubros" sheetId="73" r:id="rId1"/>
    <sheet name="PAA-EJECUCION 2021-12-21" sheetId="71" r:id="rId2"/>
    <sheet name="2021-12-23" sheetId="72" r:id="rId3"/>
  </sheets>
  <externalReferences>
    <externalReference r:id="rId4"/>
    <externalReference r:id="rId5"/>
    <externalReference r:id="rId6"/>
    <externalReference r:id="rId7"/>
  </externalReferences>
  <definedNames>
    <definedName name="_xlnm._FilterDatabase" localSheetId="2" hidden="1">'2021-12-23'!$A$19:$AG$365</definedName>
    <definedName name="_xlnm._FilterDatabase" localSheetId="1" hidden="1">'PAA-EJECUCION 2021-12-21'!$A$5:$WXD$5</definedName>
    <definedName name="_xlnm.Print_Area" localSheetId="2">'2021-12-23'!$A$1:$Q$365</definedName>
    <definedName name="_xlnm.Print_Area" localSheetId="1">'PAA-EJECUCION 2021-12-21'!$A$7:$O$132</definedName>
    <definedName name="base_1" localSheetId="1">[1]BASE_DATOS!$A$1:$C$147</definedName>
    <definedName name="base_1">[1]BASE_DATOS!$A$1:$C$147</definedName>
    <definedName name="ELEMENTOS_DE_ASEO">"BASE_DATOS"</definedName>
    <definedName name="Fuente3" localSheetId="1">[2]Hoja2!$A$1:$C$207</definedName>
    <definedName name="Fuente3">[2]Hoja2!$A$1:$C$207</definedName>
    <definedName name="gloria" localSheetId="2">#REF!</definedName>
    <definedName name="JUAN" localSheetId="2">#REF!</definedName>
    <definedName name="JUAN" localSheetId="1">#REF!</definedName>
    <definedName name="JUAN">#REF!</definedName>
    <definedName name="julian" localSheetId="2">#REF!</definedName>
    <definedName name="julian" localSheetId="1">#REF!</definedName>
    <definedName name="MAO" localSheetId="1">'[3]PLAN COMPRAS_2003'!$A$4:$D$382</definedName>
    <definedName name="MAO">'[3]PLAN COMPRAS_2003'!$A$4:$D$382</definedName>
    <definedName name="MOA" localSheetId="1">'[3]PLAN COMPRAS_2003'!$A$4:$D$382</definedName>
    <definedName name="MOA">'[3]PLAN COMPRAS_2003'!$A$4:$D$382</definedName>
    <definedName name="RUTH" localSheetId="2">#REF!</definedName>
    <definedName name="RUTH" localSheetId="1">#REF!</definedName>
    <definedName name="_xlnm.Print_Titles" localSheetId="2">'2021-12-23'!$19:$19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73" l="1"/>
  <c r="J16" i="73"/>
  <c r="J4" i="73"/>
  <c r="K4" i="73"/>
  <c r="J11" i="73"/>
  <c r="K11" i="73"/>
  <c r="Q108" i="71"/>
  <c r="P86" i="71"/>
  <c r="Q89" i="71"/>
  <c r="Q87" i="71"/>
  <c r="Z86" i="71"/>
  <c r="P123" i="71"/>
  <c r="Q122" i="71"/>
  <c r="Q120" i="71"/>
  <c r="T78" i="71"/>
  <c r="U123" i="71"/>
  <c r="U106" i="71"/>
  <c r="U74" i="71"/>
  <c r="U60" i="71"/>
  <c r="Q99" i="71" l="1"/>
  <c r="Z29" i="72" l="1"/>
  <c r="X108" i="71"/>
  <c r="Z105" i="71"/>
  <c r="Q107" i="71"/>
  <c r="Q102" i="71"/>
  <c r="Q101" i="71"/>
  <c r="Z94" i="71"/>
  <c r="Z73" i="72"/>
  <c r="P95" i="71" l="1"/>
  <c r="U76" i="71"/>
  <c r="X18" i="72" l="1"/>
  <c r="Y18" i="72"/>
  <c r="Z51" i="72" l="1"/>
  <c r="P23" i="71" l="1"/>
  <c r="Q51" i="71" l="1"/>
  <c r="R51" i="71"/>
  <c r="Q112" i="71" l="1"/>
  <c r="X95" i="71" l="1"/>
  <c r="Q48" i="71" l="1"/>
  <c r="Q68" i="71"/>
  <c r="Q76" i="71"/>
  <c r="Q79" i="71"/>
  <c r="Q105" i="71"/>
  <c r="U48" i="71" l="1"/>
  <c r="AT101" i="71" l="1"/>
  <c r="X51" i="71" l="1"/>
  <c r="AT107" i="71" l="1"/>
  <c r="AT53" i="71"/>
  <c r="N338" i="72" l="1"/>
  <c r="M338" i="72"/>
  <c r="Z244" i="72"/>
  <c r="Z243" i="72"/>
  <c r="Z136" i="72"/>
  <c r="Z130" i="72"/>
  <c r="Z114" i="72"/>
  <c r="Z113" i="72"/>
  <c r="M70" i="72"/>
  <c r="M18" i="72" s="1"/>
  <c r="Z49" i="72"/>
  <c r="Z40" i="72"/>
  <c r="D16" i="72"/>
  <c r="V11" i="72"/>
  <c r="U11" i="72"/>
  <c r="T11" i="72"/>
  <c r="V10" i="72"/>
  <c r="V12" i="72" s="1"/>
  <c r="U10" i="72"/>
  <c r="U12" i="72" s="1"/>
  <c r="T10" i="72"/>
  <c r="T12" i="72" s="1"/>
  <c r="AR47" i="71"/>
  <c r="P106" i="71"/>
  <c r="P109" i="71"/>
  <c r="P80" i="71"/>
  <c r="N18" i="72" l="1"/>
  <c r="E12" i="72" s="1"/>
  <c r="Z18" i="72"/>
  <c r="V14" i="72"/>
  <c r="V13" i="72"/>
  <c r="V15" i="72"/>
  <c r="U112" i="71"/>
  <c r="V110" i="71" l="1"/>
  <c r="Y110" i="71" s="1"/>
  <c r="Q106" i="71" l="1"/>
  <c r="P112" i="71" l="1"/>
  <c r="Q37" i="71" l="1"/>
  <c r="Q33" i="71"/>
  <c r="R9" i="71" l="1"/>
  <c r="P159" i="71" l="1"/>
  <c r="AC151" i="71"/>
  <c r="AL149" i="71"/>
  <c r="AK149" i="71"/>
  <c r="AJ149" i="71"/>
  <c r="AM147" i="71"/>
  <c r="AM149" i="71" s="1"/>
  <c r="AF144" i="71"/>
  <c r="AF142" i="71"/>
  <c r="AF148" i="71" s="1"/>
  <c r="AC142" i="71"/>
  <c r="Z142" i="71"/>
  <c r="X142" i="71"/>
  <c r="W142" i="71"/>
  <c r="U142" i="71"/>
  <c r="Q142" i="71"/>
  <c r="P142" i="71"/>
  <c r="O142" i="71"/>
  <c r="N142" i="71"/>
  <c r="AH141" i="71"/>
  <c r="AD141" i="71"/>
  <c r="R141" i="71"/>
  <c r="AA141" i="71" s="1"/>
  <c r="AE141" i="71" s="1"/>
  <c r="AG141" i="71" s="1"/>
  <c r="AI141" i="71" s="1"/>
  <c r="AH140" i="71"/>
  <c r="AD140" i="71"/>
  <c r="Y140" i="71"/>
  <c r="R140" i="71"/>
  <c r="AH139" i="71"/>
  <c r="R139" i="71"/>
  <c r="AA139" i="71" s="1"/>
  <c r="AE139" i="71" s="1"/>
  <c r="AH138" i="71"/>
  <c r="AD138" i="71"/>
  <c r="Y138" i="71"/>
  <c r="R138" i="71"/>
  <c r="AB136" i="71"/>
  <c r="W136" i="71"/>
  <c r="U136" i="71"/>
  <c r="Q136" i="71"/>
  <c r="P136" i="71"/>
  <c r="O136" i="71"/>
  <c r="AL135" i="71"/>
  <c r="R135" i="71"/>
  <c r="AA135" i="71" s="1"/>
  <c r="AA136" i="71" s="1"/>
  <c r="AE136" i="71" s="1"/>
  <c r="AL136" i="71" s="1"/>
  <c r="AE131" i="71"/>
  <c r="AL131" i="71" s="1"/>
  <c r="AA131" i="71"/>
  <c r="R131" i="71"/>
  <c r="AF130" i="71"/>
  <c r="M126" i="71"/>
  <c r="L126" i="71"/>
  <c r="K126" i="71"/>
  <c r="AH125" i="71"/>
  <c r="AD125" i="71"/>
  <c r="AD124" i="71" s="1"/>
  <c r="V125" i="71"/>
  <c r="Y125" i="71" s="1"/>
  <c r="Y124" i="71" s="1"/>
  <c r="R125" i="71"/>
  <c r="R124" i="71" s="1"/>
  <c r="AR124" i="71"/>
  <c r="AQ124" i="71"/>
  <c r="AP124" i="71"/>
  <c r="AO124" i="71"/>
  <c r="AN124" i="71"/>
  <c r="AK124" i="71"/>
  <c r="AJ124" i="71"/>
  <c r="AF124" i="71"/>
  <c r="AC124" i="71"/>
  <c r="AB124" i="71"/>
  <c r="Z124" i="71"/>
  <c r="X124" i="71"/>
  <c r="W124" i="71"/>
  <c r="U124" i="71"/>
  <c r="T124" i="71"/>
  <c r="S124" i="71"/>
  <c r="Q124" i="71"/>
  <c r="P124" i="71"/>
  <c r="O124" i="71"/>
  <c r="N124" i="71"/>
  <c r="AH123" i="71"/>
  <c r="AD123" i="71"/>
  <c r="V123" i="71"/>
  <c r="Y123" i="71" s="1"/>
  <c r="P121" i="71"/>
  <c r="AH122" i="71"/>
  <c r="AD122" i="71"/>
  <c r="AD121" i="71" s="1"/>
  <c r="V122" i="71"/>
  <c r="Y122" i="71" s="1"/>
  <c r="R122" i="71"/>
  <c r="AR121" i="71"/>
  <c r="AQ121" i="71"/>
  <c r="AP121" i="71"/>
  <c r="AO121" i="71"/>
  <c r="AN121" i="71"/>
  <c r="AM121" i="71"/>
  <c r="AL121" i="71"/>
  <c r="AK121" i="71"/>
  <c r="AJ121" i="71"/>
  <c r="AF121" i="71"/>
  <c r="AC121" i="71"/>
  <c r="AC113" i="71" s="1"/>
  <c r="AB121" i="71"/>
  <c r="Z121" i="71"/>
  <c r="X121" i="71"/>
  <c r="W121" i="71"/>
  <c r="T121" i="71"/>
  <c r="S121" i="71"/>
  <c r="Q121" i="71"/>
  <c r="O121" i="71"/>
  <c r="N121" i="71"/>
  <c r="AH120" i="71"/>
  <c r="AH119" i="71" s="1"/>
  <c r="AD120" i="71"/>
  <c r="AD119" i="71" s="1"/>
  <c r="V120" i="71"/>
  <c r="Y120" i="71" s="1"/>
  <c r="Y119" i="71" s="1"/>
  <c r="P120" i="71"/>
  <c r="P119" i="71" s="1"/>
  <c r="AR119" i="71"/>
  <c r="AQ119" i="71"/>
  <c r="AP119" i="71"/>
  <c r="AO119" i="71"/>
  <c r="AN119" i="71"/>
  <c r="AK119" i="71"/>
  <c r="AJ119" i="71"/>
  <c r="AF119" i="71"/>
  <c r="AC119" i="71"/>
  <c r="AB119" i="71"/>
  <c r="Z119" i="71"/>
  <c r="X119" i="71"/>
  <c r="W119" i="71"/>
  <c r="V119" i="71"/>
  <c r="U119" i="71"/>
  <c r="T119" i="71"/>
  <c r="S119" i="71"/>
  <c r="Q119" i="71"/>
  <c r="O119" i="71"/>
  <c r="N119" i="71"/>
  <c r="AH118" i="71"/>
  <c r="AD118" i="71"/>
  <c r="V118" i="71"/>
  <c r="Y118" i="71" s="1"/>
  <c r="R118" i="71"/>
  <c r="AH117" i="71"/>
  <c r="AT117" i="71" s="1"/>
  <c r="AD117" i="71"/>
  <c r="AD116" i="71" s="1"/>
  <c r="V117" i="71"/>
  <c r="R117" i="71"/>
  <c r="AR116" i="71"/>
  <c r="AQ116" i="71"/>
  <c r="AP116" i="71"/>
  <c r="AO116" i="71"/>
  <c r="AN116" i="71"/>
  <c r="AK116" i="71"/>
  <c r="AJ116" i="71"/>
  <c r="AF116" i="71"/>
  <c r="AC116" i="71"/>
  <c r="AB116" i="71"/>
  <c r="Z116" i="71"/>
  <c r="X116" i="71"/>
  <c r="W116" i="71"/>
  <c r="U116" i="71"/>
  <c r="T116" i="71"/>
  <c r="S116" i="71"/>
  <c r="Q116" i="71"/>
  <c r="P116" i="71"/>
  <c r="O116" i="71"/>
  <c r="N116" i="71"/>
  <c r="AH115" i="71"/>
  <c r="AH114" i="71" s="1"/>
  <c r="AD115" i="71"/>
  <c r="AD114" i="71" s="1"/>
  <c r="V115" i="71"/>
  <c r="Y115" i="71" s="1"/>
  <c r="R115" i="71"/>
  <c r="R114" i="71" s="1"/>
  <c r="AR114" i="71"/>
  <c r="AQ114" i="71"/>
  <c r="AP114" i="71"/>
  <c r="AO114" i="71"/>
  <c r="AN114" i="71"/>
  <c r="AK114" i="71"/>
  <c r="AJ114" i="71"/>
  <c r="AF114" i="71"/>
  <c r="AC114" i="71"/>
  <c r="AB114" i="71"/>
  <c r="Z114" i="71"/>
  <c r="X114" i="71"/>
  <c r="W114" i="71"/>
  <c r="U114" i="71"/>
  <c r="T114" i="71"/>
  <c r="S114" i="71"/>
  <c r="Q114" i="71"/>
  <c r="P114" i="71"/>
  <c r="O114" i="71"/>
  <c r="N114" i="71"/>
  <c r="AH112" i="71"/>
  <c r="AH111" i="71" s="1"/>
  <c r="AD112" i="71"/>
  <c r="AD111" i="71" s="1"/>
  <c r="V112" i="71"/>
  <c r="V111" i="71" s="1"/>
  <c r="R112" i="71"/>
  <c r="R111" i="71" s="1"/>
  <c r="AR111" i="71"/>
  <c r="AQ111" i="71"/>
  <c r="AP111" i="71"/>
  <c r="AO111" i="71"/>
  <c r="AN111" i="71"/>
  <c r="AM111" i="71"/>
  <c r="AL111" i="71"/>
  <c r="AK111" i="71"/>
  <c r="AJ111" i="71"/>
  <c r="AF111" i="71"/>
  <c r="AC111" i="71"/>
  <c r="AB111" i="71"/>
  <c r="Z111" i="71"/>
  <c r="X111" i="71"/>
  <c r="W111" i="71"/>
  <c r="U111" i="71"/>
  <c r="T111" i="71"/>
  <c r="S111" i="71"/>
  <c r="Q111" i="71"/>
  <c r="P111" i="71"/>
  <c r="O111" i="71"/>
  <c r="N111" i="71"/>
  <c r="AH110" i="71"/>
  <c r="AD110" i="71"/>
  <c r="Q110" i="71"/>
  <c r="R110" i="71" s="1"/>
  <c r="AH109" i="71"/>
  <c r="AD109" i="71"/>
  <c r="V109" i="71"/>
  <c r="Y109" i="71" s="1"/>
  <c r="Q109" i="71"/>
  <c r="R109" i="71" s="1"/>
  <c r="AH108" i="71"/>
  <c r="AD108" i="71"/>
  <c r="V108" i="71"/>
  <c r="Y108" i="71" s="1"/>
  <c r="R108" i="71"/>
  <c r="AD107" i="71"/>
  <c r="Z107" i="71"/>
  <c r="AH107" i="71" s="1"/>
  <c r="V107" i="71"/>
  <c r="Y107" i="71" s="1"/>
  <c r="P107" i="71"/>
  <c r="AH106" i="71"/>
  <c r="R106" i="71"/>
  <c r="AH105" i="71"/>
  <c r="AD105" i="71"/>
  <c r="V105" i="71"/>
  <c r="Y105" i="71" s="1"/>
  <c r="P105" i="71"/>
  <c r="AR104" i="71"/>
  <c r="AQ104" i="71"/>
  <c r="AP104" i="71"/>
  <c r="AO104" i="71"/>
  <c r="AN104" i="71"/>
  <c r="AK104" i="71"/>
  <c r="AJ104" i="71"/>
  <c r="AF104" i="71"/>
  <c r="AC104" i="71"/>
  <c r="AB104" i="71"/>
  <c r="X104" i="71"/>
  <c r="W104" i="71"/>
  <c r="U104" i="71"/>
  <c r="T104" i="71"/>
  <c r="S104" i="71"/>
  <c r="O104" i="71"/>
  <c r="N104" i="71"/>
  <c r="AH103" i="71"/>
  <c r="AD103" i="71"/>
  <c r="V103" i="71"/>
  <c r="Y103" i="71" s="1"/>
  <c r="R103" i="71"/>
  <c r="AH102" i="71"/>
  <c r="AD102" i="71"/>
  <c r="V102" i="71"/>
  <c r="R102" i="71"/>
  <c r="AH101" i="71"/>
  <c r="AD101" i="71"/>
  <c r="AD100" i="71" s="1"/>
  <c r="V101" i="71"/>
  <c r="Y101" i="71" s="1"/>
  <c r="R101" i="71"/>
  <c r="R100" i="71" s="1"/>
  <c r="AR100" i="71"/>
  <c r="AQ100" i="71"/>
  <c r="AP100" i="71"/>
  <c r="AO100" i="71"/>
  <c r="AN100" i="71"/>
  <c r="AK100" i="71"/>
  <c r="AJ100" i="71"/>
  <c r="AF100" i="71"/>
  <c r="AC100" i="71"/>
  <c r="AB100" i="71"/>
  <c r="Z100" i="71"/>
  <c r="X100" i="71"/>
  <c r="W100" i="71"/>
  <c r="U100" i="71"/>
  <c r="T100" i="71"/>
  <c r="S100" i="71"/>
  <c r="Q100" i="71"/>
  <c r="P100" i="71"/>
  <c r="O100" i="71"/>
  <c r="N100" i="71"/>
  <c r="AD99" i="71"/>
  <c r="X99" i="71"/>
  <c r="AH99" i="71" s="1"/>
  <c r="V99" i="71"/>
  <c r="Y99" i="71" s="1"/>
  <c r="P99" i="71"/>
  <c r="P97" i="71" s="1"/>
  <c r="AH98" i="71"/>
  <c r="AT98" i="71" s="1"/>
  <c r="AD98" i="71"/>
  <c r="V98" i="71"/>
  <c r="Y98" i="71" s="1"/>
  <c r="R98" i="71"/>
  <c r="AR97" i="71"/>
  <c r="AQ97" i="71"/>
  <c r="AP97" i="71"/>
  <c r="AO97" i="71"/>
  <c r="AN97" i="71"/>
  <c r="AK97" i="71"/>
  <c r="AJ97" i="71"/>
  <c r="AF97" i="71"/>
  <c r="AC97" i="71"/>
  <c r="AB97" i="71"/>
  <c r="Z97" i="71"/>
  <c r="W97" i="71"/>
  <c r="U97" i="71"/>
  <c r="T97" i="71"/>
  <c r="S97" i="71"/>
  <c r="Q97" i="71"/>
  <c r="O97" i="71"/>
  <c r="N97" i="71"/>
  <c r="AH96" i="71"/>
  <c r="AD96" i="71"/>
  <c r="Y96" i="71"/>
  <c r="V96" i="71"/>
  <c r="R96" i="71"/>
  <c r="AD95" i="71"/>
  <c r="V95" i="71"/>
  <c r="Q95" i="71"/>
  <c r="Q93" i="71" s="1"/>
  <c r="AH94" i="71"/>
  <c r="AD94" i="71"/>
  <c r="V94" i="71"/>
  <c r="Y94" i="71" s="1"/>
  <c r="R94" i="71"/>
  <c r="AR93" i="71"/>
  <c r="AQ93" i="71"/>
  <c r="AP93" i="71"/>
  <c r="AO93" i="71"/>
  <c r="AN93" i="71"/>
  <c r="AK93" i="71"/>
  <c r="AJ93" i="71"/>
  <c r="AF93" i="71"/>
  <c r="AC93" i="71"/>
  <c r="AB93" i="71"/>
  <c r="Z93" i="71"/>
  <c r="W93" i="71"/>
  <c r="U93" i="71"/>
  <c r="T93" i="71"/>
  <c r="S93" i="71"/>
  <c r="P93" i="71"/>
  <c r="O93" i="71"/>
  <c r="N93" i="71"/>
  <c r="AH92" i="71"/>
  <c r="AH91" i="71" s="1"/>
  <c r="AD92" i="71"/>
  <c r="AD91" i="71" s="1"/>
  <c r="V92" i="71"/>
  <c r="Y92" i="71" s="1"/>
  <c r="Y91" i="71" s="1"/>
  <c r="R92" i="71"/>
  <c r="R91" i="71" s="1"/>
  <c r="AR91" i="71"/>
  <c r="AQ91" i="71"/>
  <c r="AP91" i="71"/>
  <c r="AO91" i="71"/>
  <c r="AN91" i="71"/>
  <c r="AK91" i="71"/>
  <c r="AJ91" i="71"/>
  <c r="AF91" i="71"/>
  <c r="AC91" i="71"/>
  <c r="AB91" i="71"/>
  <c r="Z91" i="71"/>
  <c r="X91" i="71"/>
  <c r="W91" i="71"/>
  <c r="U91" i="71"/>
  <c r="T91" i="71"/>
  <c r="S91" i="71"/>
  <c r="Q91" i="71"/>
  <c r="P91" i="71"/>
  <c r="O91" i="71"/>
  <c r="N91" i="71"/>
  <c r="AH89" i="71"/>
  <c r="AH88" i="71" s="1"/>
  <c r="AD89" i="71"/>
  <c r="AD88" i="71" s="1"/>
  <c r="V89" i="71"/>
  <c r="Y89" i="71" s="1"/>
  <c r="Y88" i="71" s="1"/>
  <c r="R89" i="71"/>
  <c r="AR88" i="71"/>
  <c r="AQ88" i="71"/>
  <c r="AP88" i="71"/>
  <c r="AO88" i="71"/>
  <c r="AN88" i="71"/>
  <c r="AK88" i="71"/>
  <c r="AJ88" i="71"/>
  <c r="AF88" i="71"/>
  <c r="AC88" i="71"/>
  <c r="AB88" i="71"/>
  <c r="Z88" i="71"/>
  <c r="X88" i="71"/>
  <c r="W88" i="71"/>
  <c r="U88" i="71"/>
  <c r="T88" i="71"/>
  <c r="S88" i="71"/>
  <c r="Q88" i="71"/>
  <c r="P88" i="71"/>
  <c r="O88" i="71"/>
  <c r="N88" i="71"/>
  <c r="AH87" i="71"/>
  <c r="AD87" i="71"/>
  <c r="V87" i="71"/>
  <c r="Y87" i="71" s="1"/>
  <c r="R87" i="71"/>
  <c r="AD86" i="71"/>
  <c r="AD85" i="71" s="1"/>
  <c r="AH86" i="71"/>
  <c r="V86" i="71"/>
  <c r="V85" i="71" s="1"/>
  <c r="R86" i="71"/>
  <c r="AR85" i="71"/>
  <c r="AQ85" i="71"/>
  <c r="AQ84" i="71" s="1"/>
  <c r="AP85" i="71"/>
  <c r="AO85" i="71"/>
  <c r="AN85" i="71"/>
  <c r="AK85" i="71"/>
  <c r="AJ85" i="71"/>
  <c r="AF85" i="71"/>
  <c r="AC85" i="71"/>
  <c r="AB85" i="71"/>
  <c r="AB84" i="71" s="1"/>
  <c r="X85" i="71"/>
  <c r="W85" i="71"/>
  <c r="U85" i="71"/>
  <c r="T85" i="71"/>
  <c r="S85" i="71"/>
  <c r="Q85" i="71"/>
  <c r="P85" i="71"/>
  <c r="P84" i="71" s="1"/>
  <c r="O85" i="71"/>
  <c r="N85" i="71"/>
  <c r="AT83" i="71"/>
  <c r="AH83" i="71"/>
  <c r="AD83" i="71"/>
  <c r="V83" i="71"/>
  <c r="Y83" i="71" s="1"/>
  <c r="R83" i="71"/>
  <c r="AH82" i="71"/>
  <c r="AD82" i="71"/>
  <c r="AD81" i="71" s="1"/>
  <c r="V82" i="71"/>
  <c r="Y82" i="71" s="1"/>
  <c r="R82" i="71"/>
  <c r="R81" i="71" s="1"/>
  <c r="AT81" i="71"/>
  <c r="AR81" i="71"/>
  <c r="AQ81" i="71"/>
  <c r="AP81" i="71"/>
  <c r="AO81" i="71"/>
  <c r="AN81" i="71"/>
  <c r="AK81" i="71"/>
  <c r="AJ81" i="71"/>
  <c r="AF81" i="71"/>
  <c r="AC81" i="71"/>
  <c r="AB81" i="71"/>
  <c r="Z81" i="71"/>
  <c r="X81" i="71"/>
  <c r="W81" i="71"/>
  <c r="U81" i="71"/>
  <c r="T81" i="71"/>
  <c r="S81" i="71"/>
  <c r="Q81" i="71"/>
  <c r="P81" i="71"/>
  <c r="O81" i="71"/>
  <c r="N81" i="71"/>
  <c r="AT80" i="71"/>
  <c r="AH80" i="71"/>
  <c r="AD80" i="71"/>
  <c r="V80" i="71"/>
  <c r="Y80" i="71" s="1"/>
  <c r="R80" i="71"/>
  <c r="U79" i="71"/>
  <c r="R79" i="71"/>
  <c r="R78" i="71" s="1"/>
  <c r="AR78" i="71"/>
  <c r="AQ78" i="71"/>
  <c r="AP78" i="71"/>
  <c r="AO78" i="71"/>
  <c r="AN78" i="71"/>
  <c r="AM78" i="71"/>
  <c r="AL78" i="71"/>
  <c r="AK78" i="71"/>
  <c r="AJ78" i="71"/>
  <c r="AF78" i="71"/>
  <c r="AD78" i="71"/>
  <c r="AC78" i="71"/>
  <c r="AB78" i="71"/>
  <c r="Z78" i="71"/>
  <c r="X78" i="71"/>
  <c r="W78" i="71"/>
  <c r="S78" i="71"/>
  <c r="O78" i="71"/>
  <c r="N78" i="71"/>
  <c r="AH77" i="71"/>
  <c r="AD77" i="71"/>
  <c r="V77" i="71"/>
  <c r="Y77" i="71" s="1"/>
  <c r="R77" i="71"/>
  <c r="AH76" i="71"/>
  <c r="AD76" i="71"/>
  <c r="V76" i="71"/>
  <c r="Y76" i="71" s="1"/>
  <c r="P76" i="71"/>
  <c r="AH75" i="71"/>
  <c r="AD75" i="71"/>
  <c r="V75" i="71"/>
  <c r="Y75" i="71" s="1"/>
  <c r="R75" i="71"/>
  <c r="AH74" i="71"/>
  <c r="AD74" i="71"/>
  <c r="V74" i="71"/>
  <c r="Y74" i="71" s="1"/>
  <c r="R74" i="71"/>
  <c r="AH73" i="71"/>
  <c r="AD73" i="71"/>
  <c r="V73" i="71"/>
  <c r="Y73" i="71" s="1"/>
  <c r="R73" i="71"/>
  <c r="AH72" i="71"/>
  <c r="AD72" i="71"/>
  <c r="AD71" i="71" s="1"/>
  <c r="V72" i="71"/>
  <c r="Y72" i="71" s="1"/>
  <c r="R72" i="71"/>
  <c r="AR71" i="71"/>
  <c r="AQ71" i="71"/>
  <c r="AP71" i="71"/>
  <c r="AO71" i="71"/>
  <c r="AN71" i="71"/>
  <c r="AK71" i="71"/>
  <c r="AJ71" i="71"/>
  <c r="AF71" i="71"/>
  <c r="AC71" i="71"/>
  <c r="AC70" i="71" s="1"/>
  <c r="AB71" i="71"/>
  <c r="Z71" i="71"/>
  <c r="X71" i="71"/>
  <c r="W71" i="71"/>
  <c r="U71" i="71"/>
  <c r="T71" i="71"/>
  <c r="S71" i="71"/>
  <c r="Q71" i="71"/>
  <c r="P71" i="71"/>
  <c r="O71" i="71"/>
  <c r="N71" i="71"/>
  <c r="AH69" i="71"/>
  <c r="AD69" i="71"/>
  <c r="V69" i="71"/>
  <c r="Y69" i="71" s="1"/>
  <c r="R69" i="71"/>
  <c r="AH68" i="71"/>
  <c r="AD68" i="71"/>
  <c r="V68" i="71"/>
  <c r="Y68" i="71" s="1"/>
  <c r="R68" i="71"/>
  <c r="AH67" i="71"/>
  <c r="AD67" i="71"/>
  <c r="V67" i="71"/>
  <c r="Y67" i="71" s="1"/>
  <c r="R67" i="71"/>
  <c r="AR66" i="71"/>
  <c r="AQ66" i="71"/>
  <c r="AP66" i="71"/>
  <c r="AO66" i="71"/>
  <c r="AN66" i="71"/>
  <c r="AK66" i="71"/>
  <c r="AJ66" i="71"/>
  <c r="AF66" i="71"/>
  <c r="AC66" i="71"/>
  <c r="AB66" i="71"/>
  <c r="Z66" i="71"/>
  <c r="X66" i="71"/>
  <c r="W66" i="71"/>
  <c r="U66" i="71"/>
  <c r="T66" i="71"/>
  <c r="S66" i="71"/>
  <c r="Q66" i="71"/>
  <c r="Q65" i="71" s="1"/>
  <c r="P66" i="71"/>
  <c r="P65" i="71" s="1"/>
  <c r="O66" i="71"/>
  <c r="N66" i="71"/>
  <c r="N65" i="71" s="1"/>
  <c r="AR65" i="71"/>
  <c r="AQ65" i="71"/>
  <c r="AP65" i="71"/>
  <c r="AO65" i="71"/>
  <c r="AN65" i="71"/>
  <c r="AK65" i="71"/>
  <c r="AJ65" i="71"/>
  <c r="AF65" i="71"/>
  <c r="AC65" i="71"/>
  <c r="AB65" i="71"/>
  <c r="Z65" i="71"/>
  <c r="X65" i="71"/>
  <c r="W65" i="71"/>
  <c r="U65" i="71"/>
  <c r="T65" i="71"/>
  <c r="S65" i="71"/>
  <c r="O65" i="71"/>
  <c r="AH63" i="71"/>
  <c r="AD63" i="71"/>
  <c r="V63" i="71"/>
  <c r="Y63" i="71" s="1"/>
  <c r="R63" i="71"/>
  <c r="AH62" i="71"/>
  <c r="AH61" i="71" s="1"/>
  <c r="AD62" i="71"/>
  <c r="AD61" i="71" s="1"/>
  <c r="V62" i="71"/>
  <c r="Y62" i="71" s="1"/>
  <c r="Y61" i="71" s="1"/>
  <c r="R62" i="71"/>
  <c r="R61" i="71" s="1"/>
  <c r="AR61" i="71"/>
  <c r="AQ61" i="71"/>
  <c r="AP61" i="71"/>
  <c r="AO61" i="71"/>
  <c r="AN61" i="71"/>
  <c r="AK61" i="71"/>
  <c r="AJ61" i="71"/>
  <c r="AF61" i="71"/>
  <c r="AC61" i="71"/>
  <c r="AB61" i="71"/>
  <c r="Z61" i="71"/>
  <c r="X61" i="71"/>
  <c r="W61" i="71"/>
  <c r="U61" i="71"/>
  <c r="T61" i="71"/>
  <c r="S61" i="71"/>
  <c r="Q61" i="71"/>
  <c r="P61" i="71"/>
  <c r="O61" i="71"/>
  <c r="N61" i="71"/>
  <c r="AH60" i="71"/>
  <c r="AH59" i="71" s="1"/>
  <c r="AD60" i="71"/>
  <c r="AD59" i="71" s="1"/>
  <c r="V60" i="71"/>
  <c r="Y60" i="71" s="1"/>
  <c r="Y59" i="71" s="1"/>
  <c r="P60" i="71"/>
  <c r="P59" i="71" s="1"/>
  <c r="AR59" i="71"/>
  <c r="AQ59" i="71"/>
  <c r="AP59" i="71"/>
  <c r="AO59" i="71"/>
  <c r="AN59" i="71"/>
  <c r="AK59" i="71"/>
  <c r="AJ59" i="71"/>
  <c r="AF59" i="71"/>
  <c r="AC59" i="71"/>
  <c r="AB59" i="71"/>
  <c r="Z59" i="71"/>
  <c r="X59" i="71"/>
  <c r="W59" i="71"/>
  <c r="U59" i="71"/>
  <c r="T59" i="71"/>
  <c r="S59" i="71"/>
  <c r="Q59" i="71"/>
  <c r="O59" i="71"/>
  <c r="N59" i="71"/>
  <c r="AH58" i="71"/>
  <c r="AH57" i="71" s="1"/>
  <c r="AD58" i="71"/>
  <c r="AD57" i="71" s="1"/>
  <c r="V58" i="71"/>
  <c r="Y58" i="71" s="1"/>
  <c r="Y57" i="71" s="1"/>
  <c r="R58" i="71"/>
  <c r="R57" i="71" s="1"/>
  <c r="AR57" i="71"/>
  <c r="AQ57" i="71"/>
  <c r="AP57" i="71"/>
  <c r="AO57" i="71"/>
  <c r="AN57" i="71"/>
  <c r="AK57" i="71"/>
  <c r="AJ57" i="71"/>
  <c r="AF57" i="71"/>
  <c r="AC57" i="71"/>
  <c r="AB57" i="71"/>
  <c r="Z57" i="71"/>
  <c r="X57" i="71"/>
  <c r="W57" i="71"/>
  <c r="U57" i="71"/>
  <c r="T57" i="71"/>
  <c r="S57" i="71"/>
  <c r="Q57" i="71"/>
  <c r="P57" i="71"/>
  <c r="O57" i="71"/>
  <c r="N57" i="71"/>
  <c r="AH56" i="71"/>
  <c r="AD56" i="71"/>
  <c r="V56" i="71"/>
  <c r="R56" i="71"/>
  <c r="AH55" i="71"/>
  <c r="AH54" i="71" s="1"/>
  <c r="AD55" i="71"/>
  <c r="V55" i="71"/>
  <c r="Y55" i="71" s="1"/>
  <c r="R55" i="71"/>
  <c r="AR54" i="71"/>
  <c r="AQ54" i="71"/>
  <c r="AP54" i="71"/>
  <c r="AO54" i="71"/>
  <c r="AN54" i="71"/>
  <c r="AK54" i="71"/>
  <c r="AJ54" i="71"/>
  <c r="AF54" i="71"/>
  <c r="AC54" i="71"/>
  <c r="AB54" i="71"/>
  <c r="Z54" i="71"/>
  <c r="X54" i="71"/>
  <c r="W54" i="71"/>
  <c r="U54" i="71"/>
  <c r="T54" i="71"/>
  <c r="S54" i="71"/>
  <c r="Q54" i="71"/>
  <c r="P54" i="71"/>
  <c r="O54" i="71"/>
  <c r="N54" i="71"/>
  <c r="AH53" i="71"/>
  <c r="AH52" i="71" s="1"/>
  <c r="AD53" i="71"/>
  <c r="AD52" i="71" s="1"/>
  <c r="V53" i="71"/>
  <c r="Y53" i="71" s="1"/>
  <c r="R53" i="71"/>
  <c r="R52" i="71" s="1"/>
  <c r="AR52" i="71"/>
  <c r="AQ52" i="71"/>
  <c r="AP52" i="71"/>
  <c r="AO52" i="71"/>
  <c r="AN52" i="71"/>
  <c r="AK52" i="71"/>
  <c r="AJ52" i="71"/>
  <c r="AF52" i="71"/>
  <c r="AC52" i="71"/>
  <c r="AB52" i="71"/>
  <c r="Z52" i="71"/>
  <c r="X52" i="71"/>
  <c r="W52" i="71"/>
  <c r="U52" i="71"/>
  <c r="T52" i="71"/>
  <c r="S52" i="71"/>
  <c r="Q52" i="71"/>
  <c r="P52" i="71"/>
  <c r="O52" i="71"/>
  <c r="N52" i="71"/>
  <c r="Y51" i="71"/>
  <c r="Y50" i="71" s="1"/>
  <c r="AR50" i="71"/>
  <c r="AQ50" i="71"/>
  <c r="AP50" i="71"/>
  <c r="AO50" i="71"/>
  <c r="AF50" i="71"/>
  <c r="AB50" i="71"/>
  <c r="Z50" i="71"/>
  <c r="X50" i="71"/>
  <c r="W50" i="71"/>
  <c r="V50" i="71"/>
  <c r="U50" i="71"/>
  <c r="T50" i="71"/>
  <c r="S50" i="71"/>
  <c r="Q50" i="71"/>
  <c r="P50" i="71"/>
  <c r="O50" i="71"/>
  <c r="N50" i="71"/>
  <c r="AH49" i="71"/>
  <c r="AD49" i="71"/>
  <c r="Y49" i="71"/>
  <c r="R49" i="71"/>
  <c r="AD48" i="71"/>
  <c r="V48" i="71"/>
  <c r="Y48" i="71" s="1"/>
  <c r="AH48" i="71"/>
  <c r="R48" i="71"/>
  <c r="R47" i="71" s="1"/>
  <c r="AQ47" i="71"/>
  <c r="AP47" i="71"/>
  <c r="AO47" i="71"/>
  <c r="AF47" i="71"/>
  <c r="AC47" i="71"/>
  <c r="AB47" i="71"/>
  <c r="Z47" i="71"/>
  <c r="X47" i="71"/>
  <c r="W47" i="71"/>
  <c r="U47" i="71"/>
  <c r="T47" i="71"/>
  <c r="S47" i="71"/>
  <c r="Q47" i="71"/>
  <c r="P47" i="71"/>
  <c r="O47" i="71"/>
  <c r="N47" i="71"/>
  <c r="N46" i="71" s="1"/>
  <c r="N43" i="71" s="1"/>
  <c r="AH45" i="71"/>
  <c r="AH44" i="71" s="1"/>
  <c r="AD45" i="71"/>
  <c r="AD44" i="71" s="1"/>
  <c r="V45" i="71"/>
  <c r="V44" i="71" s="1"/>
  <c r="R45" i="71"/>
  <c r="R44" i="71" s="1"/>
  <c r="AR44" i="71"/>
  <c r="AQ44" i="71"/>
  <c r="AK44" i="71"/>
  <c r="AJ44" i="71"/>
  <c r="AF44" i="71"/>
  <c r="AC44" i="71"/>
  <c r="AB44" i="71"/>
  <c r="Z44" i="71"/>
  <c r="X44" i="71"/>
  <c r="W44" i="71"/>
  <c r="U44" i="71"/>
  <c r="T44" i="71"/>
  <c r="S44" i="71"/>
  <c r="Q44" i="71"/>
  <c r="P44" i="71"/>
  <c r="O44" i="71"/>
  <c r="N44" i="71"/>
  <c r="M41" i="71"/>
  <c r="L41" i="71"/>
  <c r="K41" i="71"/>
  <c r="AH40" i="71"/>
  <c r="AD40" i="71"/>
  <c r="V40" i="71"/>
  <c r="Y40" i="71" s="1"/>
  <c r="R40" i="71"/>
  <c r="AH39" i="71"/>
  <c r="AD39" i="71"/>
  <c r="V39" i="71"/>
  <c r="Y39" i="71" s="1"/>
  <c r="R39" i="71"/>
  <c r="R38" i="71" s="1"/>
  <c r="AR38" i="71"/>
  <c r="AQ38" i="71"/>
  <c r="AP38" i="71"/>
  <c r="AO38" i="71"/>
  <c r="AF38" i="71"/>
  <c r="AD38" i="71"/>
  <c r="AC38" i="71"/>
  <c r="AB38" i="71"/>
  <c r="Z38" i="71"/>
  <c r="X38" i="71"/>
  <c r="W38" i="71"/>
  <c r="U38" i="71"/>
  <c r="T38" i="71"/>
  <c r="S38" i="71"/>
  <c r="Q38" i="71"/>
  <c r="P38" i="71"/>
  <c r="O38" i="71"/>
  <c r="N38" i="71"/>
  <c r="AH37" i="71"/>
  <c r="AD37" i="71"/>
  <c r="V37" i="71"/>
  <c r="Y37" i="71" s="1"/>
  <c r="R37" i="71"/>
  <c r="AH36" i="71"/>
  <c r="AD36" i="71"/>
  <c r="V36" i="71"/>
  <c r="Y36" i="71" s="1"/>
  <c r="R36" i="71"/>
  <c r="AH35" i="71"/>
  <c r="AD35" i="71"/>
  <c r="V35" i="71"/>
  <c r="Y35" i="71" s="1"/>
  <c r="R35" i="71"/>
  <c r="AR34" i="71"/>
  <c r="AQ34" i="71"/>
  <c r="AP34" i="71"/>
  <c r="AO34" i="71"/>
  <c r="AH34" i="71"/>
  <c r="AF34" i="71"/>
  <c r="AC34" i="71"/>
  <c r="AB34" i="71"/>
  <c r="Z34" i="71"/>
  <c r="X34" i="71"/>
  <c r="W34" i="71"/>
  <c r="U34" i="71"/>
  <c r="T34" i="71"/>
  <c r="S34" i="71"/>
  <c r="P34" i="71"/>
  <c r="O34" i="71"/>
  <c r="N34" i="71"/>
  <c r="AH33" i="71"/>
  <c r="AD33" i="71"/>
  <c r="V33" i="71"/>
  <c r="Y33" i="71" s="1"/>
  <c r="R33" i="71"/>
  <c r="AH32" i="71"/>
  <c r="AD32" i="71"/>
  <c r="V32" i="71"/>
  <c r="Y32" i="71" s="1"/>
  <c r="R32" i="71"/>
  <c r="AR31" i="71"/>
  <c r="AQ31" i="71"/>
  <c r="AP31" i="71"/>
  <c r="AO31" i="71"/>
  <c r="AF31" i="71"/>
  <c r="AC31" i="71"/>
  <c r="AB31" i="71"/>
  <c r="Z31" i="71"/>
  <c r="X31" i="71"/>
  <c r="W31" i="71"/>
  <c r="U31" i="71"/>
  <c r="T31" i="71"/>
  <c r="S31" i="71"/>
  <c r="Q31" i="71"/>
  <c r="P31" i="71"/>
  <c r="O31" i="71"/>
  <c r="N31" i="71"/>
  <c r="AH30" i="71"/>
  <c r="AD30" i="71"/>
  <c r="V30" i="71"/>
  <c r="Y30" i="71" s="1"/>
  <c r="R30" i="71"/>
  <c r="AH29" i="71"/>
  <c r="AH28" i="71" s="1"/>
  <c r="AD29" i="71"/>
  <c r="V29" i="71"/>
  <c r="V28" i="71" s="1"/>
  <c r="R29" i="71"/>
  <c r="AR28" i="71"/>
  <c r="AQ28" i="71"/>
  <c r="AP28" i="71"/>
  <c r="AO28" i="71"/>
  <c r="AF28" i="71"/>
  <c r="AC28" i="71"/>
  <c r="AB28" i="71"/>
  <c r="Z28" i="71"/>
  <c r="X28" i="71"/>
  <c r="W28" i="71"/>
  <c r="U28" i="71"/>
  <c r="T28" i="71"/>
  <c r="S28" i="71"/>
  <c r="Q28" i="71"/>
  <c r="P28" i="71"/>
  <c r="O28" i="71"/>
  <c r="N28" i="71"/>
  <c r="AH27" i="71"/>
  <c r="AD27" i="71"/>
  <c r="V27" i="71"/>
  <c r="Y27" i="71" s="1"/>
  <c r="R27" i="71"/>
  <c r="AH26" i="71"/>
  <c r="AH25" i="71" s="1"/>
  <c r="AD26" i="71"/>
  <c r="V26" i="71"/>
  <c r="Y26" i="71" s="1"/>
  <c r="R26" i="71"/>
  <c r="AR25" i="71"/>
  <c r="AQ25" i="71"/>
  <c r="AP25" i="71"/>
  <c r="AO25" i="71"/>
  <c r="AF25" i="71"/>
  <c r="AC25" i="71"/>
  <c r="AB25" i="71"/>
  <c r="Z25" i="71"/>
  <c r="X25" i="71"/>
  <c r="W25" i="71"/>
  <c r="V25" i="71"/>
  <c r="U25" i="71"/>
  <c r="T25" i="71"/>
  <c r="S25" i="71"/>
  <c r="AK24" i="71"/>
  <c r="AJ24" i="71"/>
  <c r="AH23" i="71"/>
  <c r="AD23" i="71"/>
  <c r="V23" i="71"/>
  <c r="Q23" i="71"/>
  <c r="Q19" i="71" s="1"/>
  <c r="Q18" i="71" s="1"/>
  <c r="AH22" i="71"/>
  <c r="AD22" i="71"/>
  <c r="V22" i="71"/>
  <c r="Y22" i="71" s="1"/>
  <c r="R22" i="71"/>
  <c r="AH21" i="71"/>
  <c r="AD21" i="71"/>
  <c r="V21" i="71"/>
  <c r="Y21" i="71" s="1"/>
  <c r="R21" i="71"/>
  <c r="AH20" i="71"/>
  <c r="AD20" i="71"/>
  <c r="V20" i="71"/>
  <c r="Y20" i="71" s="1"/>
  <c r="R20" i="71"/>
  <c r="AR19" i="71"/>
  <c r="AR18" i="71" s="1"/>
  <c r="AQ19" i="71"/>
  <c r="AQ18" i="71" s="1"/>
  <c r="AP19" i="71"/>
  <c r="AO19" i="71"/>
  <c r="AF19" i="71"/>
  <c r="AF18" i="71" s="1"/>
  <c r="AC19" i="71"/>
  <c r="AC18" i="71" s="1"/>
  <c r="AB19" i="71"/>
  <c r="AB18" i="71" s="1"/>
  <c r="Z19" i="71"/>
  <c r="Z18" i="71" s="1"/>
  <c r="X19" i="71"/>
  <c r="X18" i="71" s="1"/>
  <c r="W19" i="71"/>
  <c r="W18" i="71" s="1"/>
  <c r="U19" i="71"/>
  <c r="U18" i="71" s="1"/>
  <c r="T19" i="71"/>
  <c r="T18" i="71" s="1"/>
  <c r="S19" i="71"/>
  <c r="S18" i="71" s="1"/>
  <c r="P19" i="71"/>
  <c r="P18" i="71" s="1"/>
  <c r="O19" i="71"/>
  <c r="O18" i="71" s="1"/>
  <c r="N19" i="71"/>
  <c r="N18" i="71" s="1"/>
  <c r="AL12" i="71"/>
  <c r="AD12" i="71"/>
  <c r="AD11" i="71"/>
  <c r="AH10" i="71"/>
  <c r="AM10" i="71" s="1"/>
  <c r="V10" i="71"/>
  <c r="R10" i="71"/>
  <c r="AA10" i="71" s="1"/>
  <c r="AE10" i="71" s="1"/>
  <c r="AH9" i="71"/>
  <c r="AA9" i="71"/>
  <c r="V9" i="71"/>
  <c r="V8" i="71" s="1"/>
  <c r="V7" i="71" s="1"/>
  <c r="V128" i="71" s="1"/>
  <c r="AF8" i="71"/>
  <c r="AF7" i="71" s="1"/>
  <c r="AF128" i="71" s="1"/>
  <c r="AD8" i="71"/>
  <c r="AD7" i="71" s="1"/>
  <c r="AD128" i="71" s="1"/>
  <c r="AC8" i="71"/>
  <c r="AC7" i="71" s="1"/>
  <c r="AC128" i="71" s="1"/>
  <c r="AB8" i="71"/>
  <c r="AB7" i="71" s="1"/>
  <c r="AB128" i="71" s="1"/>
  <c r="Z8" i="71"/>
  <c r="Z7" i="71" s="1"/>
  <c r="Z128" i="71" s="1"/>
  <c r="Y8" i="71"/>
  <c r="Y7" i="71" s="1"/>
  <c r="Y128" i="71" s="1"/>
  <c r="X8" i="71"/>
  <c r="X7" i="71" s="1"/>
  <c r="X128" i="71" s="1"/>
  <c r="W8" i="71"/>
  <c r="W7" i="71" s="1"/>
  <c r="W128" i="71" s="1"/>
  <c r="U8" i="71"/>
  <c r="U7" i="71" s="1"/>
  <c r="U128" i="71" s="1"/>
  <c r="T8" i="71"/>
  <c r="T7" i="71" s="1"/>
  <c r="T128" i="71" s="1"/>
  <c r="S8" i="71"/>
  <c r="S7" i="71" s="1"/>
  <c r="S128" i="71" s="1"/>
  <c r="Q8" i="71"/>
  <c r="Q7" i="71" s="1"/>
  <c r="Q128" i="71" s="1"/>
  <c r="P8" i="71"/>
  <c r="P7" i="71" s="1"/>
  <c r="P128" i="71" s="1"/>
  <c r="O8" i="71"/>
  <c r="O7" i="71" s="1"/>
  <c r="O128" i="71" s="1"/>
  <c r="N8" i="71"/>
  <c r="N7" i="71" s="1"/>
  <c r="N128" i="71" s="1"/>
  <c r="AP4" i="71"/>
  <c r="W113" i="71" l="1"/>
  <c r="AA22" i="71"/>
  <c r="AE22" i="71" s="1"/>
  <c r="AG22" i="71" s="1"/>
  <c r="AI22" i="71" s="1"/>
  <c r="V52" i="71"/>
  <c r="S84" i="71"/>
  <c r="AF113" i="71"/>
  <c r="X113" i="71"/>
  <c r="AH81" i="71"/>
  <c r="AA69" i="71"/>
  <c r="AE69" i="71" s="1"/>
  <c r="AG69" i="71" s="1"/>
  <c r="AI69" i="71" s="1"/>
  <c r="T70" i="71"/>
  <c r="Z70" i="71"/>
  <c r="AP70" i="71"/>
  <c r="AH85" i="71"/>
  <c r="AH84" i="71" s="1"/>
  <c r="AJ84" i="71"/>
  <c r="X97" i="71"/>
  <c r="AD97" i="71"/>
  <c r="R136" i="71"/>
  <c r="R8" i="71"/>
  <c r="R7" i="71" s="1"/>
  <c r="AA30" i="71"/>
  <c r="AE30" i="71" s="1"/>
  <c r="AG30" i="71" s="1"/>
  <c r="AI30" i="71" s="1"/>
  <c r="T24" i="71"/>
  <c r="T17" i="71" s="1"/>
  <c r="T16" i="71" s="1"/>
  <c r="AA40" i="71"/>
  <c r="AE40" i="71" s="1"/>
  <c r="AL40" i="71" s="1"/>
  <c r="AO70" i="71"/>
  <c r="N70" i="71"/>
  <c r="AA103" i="71"/>
  <c r="AE103" i="71" s="1"/>
  <c r="AG103" i="71" s="1"/>
  <c r="AI103" i="71" s="1"/>
  <c r="AA8" i="71"/>
  <c r="AA7" i="71" s="1"/>
  <c r="AA128" i="71" s="1"/>
  <c r="AE132" i="71" s="1"/>
  <c r="AH19" i="71"/>
  <c r="AH18" i="71" s="1"/>
  <c r="X24" i="71"/>
  <c r="X17" i="71" s="1"/>
  <c r="X16" i="71" s="1"/>
  <c r="AD28" i="71"/>
  <c r="AA20" i="71"/>
  <c r="AA27" i="71"/>
  <c r="AE27" i="71" s="1"/>
  <c r="AA55" i="71"/>
  <c r="AE55" i="71" s="1"/>
  <c r="AK70" i="71"/>
  <c r="AN84" i="71"/>
  <c r="AR84" i="71"/>
  <c r="AS84" i="71" s="1"/>
  <c r="AH97" i="71"/>
  <c r="AO90" i="71"/>
  <c r="AA108" i="71"/>
  <c r="AE108" i="71" s="1"/>
  <c r="AL108" i="71" s="1"/>
  <c r="S90" i="71"/>
  <c r="AS61" i="71"/>
  <c r="AA77" i="71"/>
  <c r="AE77" i="71" s="1"/>
  <c r="AL77" i="71" s="1"/>
  <c r="AH38" i="71"/>
  <c r="Z46" i="71"/>
  <c r="Z43" i="71" s="1"/>
  <c r="AH47" i="71"/>
  <c r="AA49" i="71"/>
  <c r="AE49" i="71" s="1"/>
  <c r="AG49" i="71" s="1"/>
  <c r="AI49" i="71" s="1"/>
  <c r="AA51" i="71"/>
  <c r="X84" i="71"/>
  <c r="AF84" i="71"/>
  <c r="AO84" i="71"/>
  <c r="AA89" i="71"/>
  <c r="AE89" i="71" s="1"/>
  <c r="N90" i="71"/>
  <c r="AA110" i="71"/>
  <c r="AE110" i="71" s="1"/>
  <c r="AG110" i="71" s="1"/>
  <c r="AI110" i="71" s="1"/>
  <c r="S113" i="71"/>
  <c r="V79" i="71"/>
  <c r="V78" i="71" s="1"/>
  <c r="U78" i="71"/>
  <c r="U70" i="71" s="1"/>
  <c r="AD47" i="71"/>
  <c r="AQ70" i="71"/>
  <c r="AA83" i="71"/>
  <c r="AE83" i="71" s="1"/>
  <c r="AM83" i="71" s="1"/>
  <c r="AH121" i="71"/>
  <c r="V124" i="71"/>
  <c r="V19" i="71"/>
  <c r="V18" i="71" s="1"/>
  <c r="U24" i="71"/>
  <c r="U17" i="71" s="1"/>
  <c r="U16" i="71" s="1"/>
  <c r="AO24" i="71"/>
  <c r="AA36" i="71"/>
  <c r="AE36" i="71" s="1"/>
  <c r="AL36" i="71" s="1"/>
  <c r="AN70" i="71"/>
  <c r="AA109" i="71"/>
  <c r="AE109" i="71" s="1"/>
  <c r="AM109" i="71" s="1"/>
  <c r="AN113" i="71"/>
  <c r="R120" i="71"/>
  <c r="R119" i="71" s="1"/>
  <c r="AR70" i="71"/>
  <c r="AS70" i="71" s="1"/>
  <c r="V88" i="71"/>
  <c r="V84" i="71" s="1"/>
  <c r="V59" i="71"/>
  <c r="AH124" i="71"/>
  <c r="AT125" i="71"/>
  <c r="AD31" i="71"/>
  <c r="P24" i="71"/>
  <c r="P17" i="71" s="1"/>
  <c r="P16" i="71" s="1"/>
  <c r="AM141" i="71"/>
  <c r="AC90" i="71"/>
  <c r="R50" i="71"/>
  <c r="P113" i="71"/>
  <c r="Q113" i="71"/>
  <c r="AH31" i="71"/>
  <c r="Z24" i="71"/>
  <c r="Z17" i="71" s="1"/>
  <c r="Z16" i="71" s="1"/>
  <c r="AF24" i="71"/>
  <c r="AF17" i="71" s="1"/>
  <c r="AF16" i="71" s="1"/>
  <c r="AQ113" i="71"/>
  <c r="Q84" i="71"/>
  <c r="AA87" i="71"/>
  <c r="AE87" i="71" s="1"/>
  <c r="AM87" i="71" s="1"/>
  <c r="Y114" i="71"/>
  <c r="AA115" i="71"/>
  <c r="AE115" i="71" s="1"/>
  <c r="AO46" i="71"/>
  <c r="Q46" i="71"/>
  <c r="Q43" i="71" s="1"/>
  <c r="AP46" i="71"/>
  <c r="AA75" i="71"/>
  <c r="AE75" i="71" s="1"/>
  <c r="AG75" i="71" s="1"/>
  <c r="AI75" i="71" s="1"/>
  <c r="W70" i="71"/>
  <c r="O70" i="71"/>
  <c r="O90" i="71"/>
  <c r="Y23" i="71"/>
  <c r="Y19" i="71" s="1"/>
  <c r="Y18" i="71" s="1"/>
  <c r="O24" i="71"/>
  <c r="O17" i="71" s="1"/>
  <c r="O16" i="71" s="1"/>
  <c r="R28" i="71"/>
  <c r="V31" i="71"/>
  <c r="AD34" i="71"/>
  <c r="Y45" i="71"/>
  <c r="V47" i="71"/>
  <c r="P46" i="71"/>
  <c r="T46" i="71"/>
  <c r="T43" i="71" s="1"/>
  <c r="X46" i="71"/>
  <c r="X43" i="71" s="1"/>
  <c r="AJ46" i="71"/>
  <c r="AA68" i="71"/>
  <c r="AE68" i="71" s="1"/>
  <c r="AG68" i="71" s="1"/>
  <c r="AI68" i="71" s="1"/>
  <c r="X70" i="71"/>
  <c r="W84" i="71"/>
  <c r="U84" i="71"/>
  <c r="AP84" i="71"/>
  <c r="AT89" i="71"/>
  <c r="W90" i="71"/>
  <c r="AF90" i="71"/>
  <c r="R95" i="71"/>
  <c r="AD93" i="71"/>
  <c r="Y97" i="71"/>
  <c r="R99" i="71"/>
  <c r="AA99" i="71" s="1"/>
  <c r="AE99" i="71" s="1"/>
  <c r="AL99" i="71" s="1"/>
  <c r="AH104" i="71"/>
  <c r="R107" i="71"/>
  <c r="AA107" i="71" s="1"/>
  <c r="AE107" i="71" s="1"/>
  <c r="AM107" i="71" s="1"/>
  <c r="O113" i="71"/>
  <c r="T113" i="71"/>
  <c r="AD113" i="71"/>
  <c r="AH116" i="71"/>
  <c r="AH113" i="71" s="1"/>
  <c r="AO113" i="71"/>
  <c r="Y34" i="71"/>
  <c r="P43" i="71"/>
  <c r="AD19" i="71"/>
  <c r="AD18" i="71" s="1"/>
  <c r="W24" i="71"/>
  <c r="AD25" i="71"/>
  <c r="N24" i="71"/>
  <c r="N17" i="71" s="1"/>
  <c r="N16" i="71" s="1"/>
  <c r="U46" i="71"/>
  <c r="U43" i="71" s="1"/>
  <c r="AK84" i="71"/>
  <c r="V100" i="71"/>
  <c r="AH100" i="71"/>
  <c r="AD104" i="71"/>
  <c r="AJ113" i="71"/>
  <c r="AP113" i="71"/>
  <c r="AA140" i="71"/>
  <c r="AE140" i="71" s="1"/>
  <c r="AG140" i="71" s="1"/>
  <c r="AI140" i="71" s="1"/>
  <c r="S24" i="71"/>
  <c r="S17" i="71" s="1"/>
  <c r="S16" i="71" s="1"/>
  <c r="AP24" i="71"/>
  <c r="AK46" i="71"/>
  <c r="AK43" i="71" s="1"/>
  <c r="AF70" i="71"/>
  <c r="W17" i="71"/>
  <c r="W16" i="71" s="1"/>
  <c r="AA21" i="71"/>
  <c r="AE21" i="71" s="1"/>
  <c r="AG21" i="71" s="1"/>
  <c r="AI21" i="71" s="1"/>
  <c r="AR24" i="71"/>
  <c r="AR17" i="71" s="1"/>
  <c r="V34" i="71"/>
  <c r="AB24" i="71"/>
  <c r="AB17" i="71" s="1"/>
  <c r="AB16" i="71" s="1"/>
  <c r="AA35" i="71"/>
  <c r="AE35" i="71" s="1"/>
  <c r="AM35" i="71" s="1"/>
  <c r="AJ43" i="71"/>
  <c r="Y47" i="71"/>
  <c r="V57" i="71"/>
  <c r="R66" i="71"/>
  <c r="R65" i="71" s="1"/>
  <c r="AH66" i="71"/>
  <c r="AH65" i="71" s="1"/>
  <c r="AB70" i="71"/>
  <c r="AJ70" i="71"/>
  <c r="V81" i="71"/>
  <c r="O84" i="71"/>
  <c r="O64" i="71" s="1"/>
  <c r="Y86" i="71"/>
  <c r="Y85" i="71" s="1"/>
  <c r="Y84" i="71" s="1"/>
  <c r="N84" i="71"/>
  <c r="AC84" i="71"/>
  <c r="AP90" i="71"/>
  <c r="AP64" i="71" s="1"/>
  <c r="AP42" i="71" s="1"/>
  <c r="AQ90" i="71"/>
  <c r="Z104" i="71"/>
  <c r="Z90" i="71" s="1"/>
  <c r="V114" i="71"/>
  <c r="AB113" i="71"/>
  <c r="AK113" i="71"/>
  <c r="R123" i="71"/>
  <c r="R121" i="71" s="1"/>
  <c r="AA125" i="71"/>
  <c r="AE125" i="71" s="1"/>
  <c r="AB90" i="71"/>
  <c r="AD70" i="71"/>
  <c r="V121" i="71"/>
  <c r="T90" i="71"/>
  <c r="T84" i="71"/>
  <c r="Y66" i="71"/>
  <c r="Y65" i="71" s="1"/>
  <c r="Y112" i="71"/>
  <c r="Y111" i="71" s="1"/>
  <c r="AH71" i="71"/>
  <c r="AR113" i="71"/>
  <c r="AS113" i="71" s="1"/>
  <c r="AS104" i="71"/>
  <c r="AQ24" i="71"/>
  <c r="AQ17" i="71" s="1"/>
  <c r="AQ16" i="71" s="1"/>
  <c r="AF132" i="71"/>
  <c r="AG10" i="71"/>
  <c r="AL10" i="71"/>
  <c r="AL27" i="71"/>
  <c r="AG27" i="71"/>
  <c r="AI27" i="71" s="1"/>
  <c r="R34" i="71"/>
  <c r="AA37" i="71"/>
  <c r="AE37" i="71" s="1"/>
  <c r="AM37" i="71" s="1"/>
  <c r="Y38" i="71"/>
  <c r="AA39" i="71"/>
  <c r="R31" i="71"/>
  <c r="AA33" i="71"/>
  <c r="AE33" i="71" s="1"/>
  <c r="AM36" i="71"/>
  <c r="AM69" i="71"/>
  <c r="AL22" i="71"/>
  <c r="AA32" i="71"/>
  <c r="Y31" i="71"/>
  <c r="Y52" i="71"/>
  <c r="AA53" i="71"/>
  <c r="R132" i="71"/>
  <c r="R128" i="71"/>
  <c r="AE20" i="71"/>
  <c r="AM20" i="71" s="1"/>
  <c r="AM9" i="71"/>
  <c r="AH8" i="71"/>
  <c r="AH7" i="71" s="1"/>
  <c r="AA26" i="71"/>
  <c r="Y25" i="71"/>
  <c r="AG40" i="71"/>
  <c r="AI40" i="71" s="1"/>
  <c r="AM30" i="71"/>
  <c r="AA73" i="71"/>
  <c r="AE73" i="71" s="1"/>
  <c r="Y71" i="71"/>
  <c r="AA72" i="71"/>
  <c r="AA74" i="71"/>
  <c r="AE74" i="71" s="1"/>
  <c r="AA80" i="71"/>
  <c r="AE80" i="71" s="1"/>
  <c r="AM80" i="71" s="1"/>
  <c r="AC24" i="71"/>
  <c r="AC17" i="71" s="1"/>
  <c r="R60" i="71"/>
  <c r="V71" i="71"/>
  <c r="V93" i="71"/>
  <c r="Y95" i="71"/>
  <c r="Y93" i="71" s="1"/>
  <c r="Y102" i="71"/>
  <c r="P104" i="71"/>
  <c r="P90" i="71" s="1"/>
  <c r="AG109" i="71"/>
  <c r="AI109" i="71" s="1"/>
  <c r="AE9" i="71"/>
  <c r="R23" i="71"/>
  <c r="AM27" i="71"/>
  <c r="V38" i="71"/>
  <c r="AR46" i="71"/>
  <c r="AA50" i="71"/>
  <c r="AD66" i="71"/>
  <c r="AD65" i="71" s="1"/>
  <c r="P70" i="71"/>
  <c r="R76" i="71"/>
  <c r="AA82" i="71"/>
  <c r="R85" i="71"/>
  <c r="AD84" i="71"/>
  <c r="R88" i="71"/>
  <c r="AH95" i="71"/>
  <c r="AH93" i="71" s="1"/>
  <c r="X93" i="71"/>
  <c r="U90" i="71"/>
  <c r="AA101" i="71"/>
  <c r="AG108" i="71"/>
  <c r="AI108" i="71" s="1"/>
  <c r="Y117" i="71"/>
  <c r="Y116" i="71" s="1"/>
  <c r="V116" i="71"/>
  <c r="AG139" i="71"/>
  <c r="AI139" i="71" s="1"/>
  <c r="AM139" i="71"/>
  <c r="R54" i="71"/>
  <c r="AH79" i="71"/>
  <c r="AH78" i="71" s="1"/>
  <c r="AA88" i="71"/>
  <c r="AA98" i="71"/>
  <c r="R25" i="71"/>
  <c r="Y29" i="71"/>
  <c r="AQ46" i="71"/>
  <c r="AQ43" i="71" s="1"/>
  <c r="AA58" i="71"/>
  <c r="V61" i="71"/>
  <c r="AS65" i="71"/>
  <c r="AA67" i="71"/>
  <c r="R71" i="71"/>
  <c r="AK90" i="71"/>
  <c r="R116" i="71"/>
  <c r="Q34" i="71"/>
  <c r="Q24" i="71" s="1"/>
  <c r="Q17" i="71" s="1"/>
  <c r="Q16" i="71" s="1"/>
  <c r="AA48" i="71"/>
  <c r="O46" i="71"/>
  <c r="O43" i="71" s="1"/>
  <c r="S46" i="71"/>
  <c r="S43" i="71" s="1"/>
  <c r="W46" i="71"/>
  <c r="W43" i="71" s="1"/>
  <c r="AB46" i="71"/>
  <c r="AB43" i="71" s="1"/>
  <c r="AF46" i="71"/>
  <c r="AF43" i="71" s="1"/>
  <c r="AN46" i="71"/>
  <c r="AD54" i="71"/>
  <c r="Y56" i="71"/>
  <c r="Y54" i="71" s="1"/>
  <c r="V54" i="71"/>
  <c r="AA62" i="71"/>
  <c r="AA63" i="71"/>
  <c r="AE63" i="71" s="1"/>
  <c r="AM63" i="71" s="1"/>
  <c r="S70" i="71"/>
  <c r="Y81" i="71"/>
  <c r="V91" i="71"/>
  <c r="AN90" i="71"/>
  <c r="AR90" i="71"/>
  <c r="AA94" i="71"/>
  <c r="V97" i="71"/>
  <c r="AJ90" i="71"/>
  <c r="AA96" i="71"/>
  <c r="AE96" i="71" s="1"/>
  <c r="Q104" i="71"/>
  <c r="Q90" i="71" s="1"/>
  <c r="V66" i="71"/>
  <c r="V65" i="71" s="1"/>
  <c r="Q78" i="71"/>
  <c r="Q70" i="71" s="1"/>
  <c r="Z85" i="71"/>
  <c r="Z84" i="71" s="1"/>
  <c r="AA92" i="71"/>
  <c r="R105" i="71"/>
  <c r="AA114" i="71"/>
  <c r="N113" i="71"/>
  <c r="Z113" i="71"/>
  <c r="Y121" i="71"/>
  <c r="AA122" i="71"/>
  <c r="AA138" i="71"/>
  <c r="I136" i="71"/>
  <c r="R142" i="71"/>
  <c r="AC148" i="71"/>
  <c r="AM108" i="71"/>
  <c r="Y142" i="71"/>
  <c r="V106" i="71"/>
  <c r="AA118" i="71"/>
  <c r="AE118" i="71" s="1"/>
  <c r="AG118" i="71" s="1"/>
  <c r="AI118" i="71" s="1"/>
  <c r="AH142" i="71"/>
  <c r="U121" i="71"/>
  <c r="U113" i="71" s="1"/>
  <c r="AL75" i="71" l="1"/>
  <c r="AM22" i="71"/>
  <c r="AL140" i="71"/>
  <c r="X90" i="71"/>
  <c r="X64" i="71" s="1"/>
  <c r="X42" i="71" s="1"/>
  <c r="X15" i="71" s="1"/>
  <c r="X127" i="71" s="1"/>
  <c r="X129" i="71" s="1"/>
  <c r="AM40" i="71"/>
  <c r="AL69" i="71"/>
  <c r="AH24" i="71"/>
  <c r="AH17" i="71" s="1"/>
  <c r="AH16" i="71" s="1"/>
  <c r="AA120" i="71"/>
  <c r="AE120" i="71" s="1"/>
  <c r="Y79" i="71"/>
  <c r="Y78" i="71" s="1"/>
  <c r="AL30" i="71"/>
  <c r="AL83" i="71"/>
  <c r="AG36" i="71"/>
  <c r="AI36" i="71" s="1"/>
  <c r="AH70" i="71"/>
  <c r="AM49" i="71"/>
  <c r="AL109" i="71"/>
  <c r="S64" i="71"/>
  <c r="AM75" i="71"/>
  <c r="AM140" i="71"/>
  <c r="AN64" i="71"/>
  <c r="AN42" i="71" s="1"/>
  <c r="AQ64" i="71"/>
  <c r="AQ42" i="71" s="1"/>
  <c r="AQ4" i="71" s="1"/>
  <c r="AO64" i="71"/>
  <c r="AO42" i="71" s="1"/>
  <c r="V24" i="71"/>
  <c r="V17" i="71" s="1"/>
  <c r="V16" i="71" s="1"/>
  <c r="AA86" i="71"/>
  <c r="AM77" i="71"/>
  <c r="AG83" i="71"/>
  <c r="AI83" i="71" s="1"/>
  <c r="AA95" i="71"/>
  <c r="AE95" i="71" s="1"/>
  <c r="AM95" i="71" s="1"/>
  <c r="AC64" i="71"/>
  <c r="AK64" i="71"/>
  <c r="AK42" i="71" s="1"/>
  <c r="AG77" i="71"/>
  <c r="AI77" i="71" s="1"/>
  <c r="AG87" i="71"/>
  <c r="AI87" i="71" s="1"/>
  <c r="AM21" i="71"/>
  <c r="AL87" i="71"/>
  <c r="AH90" i="71"/>
  <c r="AH64" i="71" s="1"/>
  <c r="R93" i="71"/>
  <c r="AD24" i="71"/>
  <c r="AD17" i="71" s="1"/>
  <c r="AD16" i="71" s="1"/>
  <c r="AA112" i="71"/>
  <c r="AE112" i="71" s="1"/>
  <c r="AD90" i="71"/>
  <c r="AD64" i="71" s="1"/>
  <c r="AM99" i="71"/>
  <c r="R97" i="71"/>
  <c r="AG99" i="71"/>
  <c r="AI99" i="71" s="1"/>
  <c r="AA123" i="71"/>
  <c r="AE123" i="71" s="1"/>
  <c r="AG123" i="71" s="1"/>
  <c r="AI123" i="71" s="1"/>
  <c r="AA124" i="71"/>
  <c r="AS24" i="71"/>
  <c r="W64" i="71"/>
  <c r="W42" i="71" s="1"/>
  <c r="W15" i="71" s="1"/>
  <c r="W127" i="71" s="1"/>
  <c r="W129" i="71" s="1"/>
  <c r="W130" i="71" s="1"/>
  <c r="AS90" i="71"/>
  <c r="V113" i="71"/>
  <c r="AA79" i="71"/>
  <c r="AE79" i="71" s="1"/>
  <c r="AF64" i="71"/>
  <c r="AF42" i="71" s="1"/>
  <c r="AF15" i="71" s="1"/>
  <c r="AF127" i="71" s="1"/>
  <c r="V104" i="71"/>
  <c r="V90" i="71" s="1"/>
  <c r="Y106" i="71"/>
  <c r="N64" i="71"/>
  <c r="N42" i="71" s="1"/>
  <c r="N15" i="71" s="1"/>
  <c r="V46" i="71"/>
  <c r="V43" i="71" s="1"/>
  <c r="AL21" i="71"/>
  <c r="T64" i="71"/>
  <c r="T42" i="71" s="1"/>
  <c r="T15" i="71" s="1"/>
  <c r="T127" i="71" s="1"/>
  <c r="T129" i="71" s="1"/>
  <c r="AA45" i="71"/>
  <c r="Y44" i="71"/>
  <c r="Z64" i="71"/>
  <c r="Z42" i="71" s="1"/>
  <c r="Z15" i="71" s="1"/>
  <c r="Z127" i="71" s="1"/>
  <c r="Z129" i="71" s="1"/>
  <c r="AJ64" i="71"/>
  <c r="AJ42" i="71" s="1"/>
  <c r="Y46" i="71"/>
  <c r="R113" i="71"/>
  <c r="AB64" i="71"/>
  <c r="AB42" i="71" s="1"/>
  <c r="AB15" i="71" s="1"/>
  <c r="AB127" i="71" s="1"/>
  <c r="AA117" i="71"/>
  <c r="AA116" i="71" s="1"/>
  <c r="R84" i="71"/>
  <c r="P64" i="71"/>
  <c r="P42" i="71" s="1"/>
  <c r="P15" i="71" s="1"/>
  <c r="P127" i="71" s="1"/>
  <c r="P129" i="71" s="1"/>
  <c r="Q64" i="71"/>
  <c r="Q42" i="71" s="1"/>
  <c r="Q15" i="71" s="1"/>
  <c r="Q127" i="71" s="1"/>
  <c r="Q129" i="71" s="1"/>
  <c r="N127" i="71"/>
  <c r="N129" i="71" s="1"/>
  <c r="J3" i="71"/>
  <c r="AE122" i="71"/>
  <c r="R104" i="71"/>
  <c r="AA105" i="71"/>
  <c r="U64" i="71"/>
  <c r="U42" i="71" s="1"/>
  <c r="U15" i="71" s="1"/>
  <c r="U127" i="71" s="1"/>
  <c r="U129" i="71" s="1"/>
  <c r="AA47" i="71"/>
  <c r="AE48" i="71"/>
  <c r="AA97" i="71"/>
  <c r="AE98" i="71"/>
  <c r="AM74" i="71"/>
  <c r="AG74" i="71"/>
  <c r="AI74" i="71" s="1"/>
  <c r="AL74" i="71"/>
  <c r="AA132" i="71"/>
  <c r="AA52" i="71"/>
  <c r="AE53" i="71"/>
  <c r="AG55" i="71"/>
  <c r="AL55" i="71"/>
  <c r="AL54" i="71" s="1"/>
  <c r="AE94" i="71"/>
  <c r="AG94" i="71" s="1"/>
  <c r="AL107" i="71"/>
  <c r="AG107" i="71"/>
  <c r="AI107" i="71" s="1"/>
  <c r="AH128" i="71"/>
  <c r="AM7" i="71"/>
  <c r="AG33" i="71"/>
  <c r="AI33" i="71" s="1"/>
  <c r="AL33" i="71"/>
  <c r="AG37" i="71"/>
  <c r="AI37" i="71" s="1"/>
  <c r="AL37" i="71"/>
  <c r="AA119" i="71"/>
  <c r="AA91" i="71"/>
  <c r="AE92" i="71"/>
  <c r="AE62" i="71"/>
  <c r="AA61" i="71"/>
  <c r="S42" i="71"/>
  <c r="S15" i="71" s="1"/>
  <c r="R70" i="71"/>
  <c r="R24" i="71"/>
  <c r="AG89" i="71"/>
  <c r="AE88" i="71"/>
  <c r="AL89" i="71"/>
  <c r="AL88" i="71" s="1"/>
  <c r="AM89" i="71"/>
  <c r="AM88" i="71" s="1"/>
  <c r="AE86" i="71"/>
  <c r="AA85" i="71"/>
  <c r="AA84" i="71" s="1"/>
  <c r="AA56" i="71"/>
  <c r="AA102" i="71"/>
  <c r="AE102" i="71" s="1"/>
  <c r="Y100" i="71"/>
  <c r="R59" i="71"/>
  <c r="R46" i="71" s="1"/>
  <c r="R43" i="71" s="1"/>
  <c r="AA60" i="71"/>
  <c r="AA71" i="71"/>
  <c r="AE72" i="71"/>
  <c r="AM73" i="71"/>
  <c r="AG73" i="71"/>
  <c r="AI73" i="71" s="1"/>
  <c r="AL73" i="71"/>
  <c r="AA34" i="71"/>
  <c r="AG20" i="71"/>
  <c r="AL20" i="71"/>
  <c r="AA38" i="71"/>
  <c r="AE39" i="71"/>
  <c r="AL132" i="71"/>
  <c r="AG96" i="71"/>
  <c r="AI96" i="71" s="1"/>
  <c r="AM96" i="71"/>
  <c r="AE82" i="71"/>
  <c r="AA81" i="71"/>
  <c r="AG9" i="71"/>
  <c r="AG8" i="71" s="1"/>
  <c r="AG7" i="71" s="1"/>
  <c r="AG128" i="71" s="1"/>
  <c r="AE8" i="71"/>
  <c r="AE7" i="71" s="1"/>
  <c r="AL9" i="71"/>
  <c r="AL125" i="71"/>
  <c r="AL124" i="71" s="1"/>
  <c r="AG125" i="71"/>
  <c r="AE124" i="71"/>
  <c r="AM125" i="71"/>
  <c r="AM124" i="71" s="1"/>
  <c r="AG63" i="71"/>
  <c r="AI63" i="71" s="1"/>
  <c r="AL63" i="71"/>
  <c r="AA29" i="71"/>
  <c r="Y28" i="71"/>
  <c r="Y24" i="71" s="1"/>
  <c r="Y17" i="71" s="1"/>
  <c r="Y16" i="71" s="1"/>
  <c r="AA76" i="71"/>
  <c r="AE76" i="71" s="1"/>
  <c r="AM76" i="71" s="1"/>
  <c r="AA23" i="71"/>
  <c r="R19" i="71"/>
  <c r="V70" i="71"/>
  <c r="Y70" i="71"/>
  <c r="AS17" i="71"/>
  <c r="AR16" i="71"/>
  <c r="AE32" i="71"/>
  <c r="AA31" i="71"/>
  <c r="AA142" i="71"/>
  <c r="AA151" i="71"/>
  <c r="AE138" i="71"/>
  <c r="AL115" i="71"/>
  <c r="AL114" i="71" s="1"/>
  <c r="AG115" i="71"/>
  <c r="AE114" i="71"/>
  <c r="AM115" i="71"/>
  <c r="AM114" i="71" s="1"/>
  <c r="AG95" i="71"/>
  <c r="AI95" i="71" s="1"/>
  <c r="O42" i="71"/>
  <c r="O15" i="71" s="1"/>
  <c r="O127" i="71" s="1"/>
  <c r="AE67" i="71"/>
  <c r="AA66" i="71"/>
  <c r="AA65" i="71" s="1"/>
  <c r="AE58" i="71"/>
  <c r="AA57" i="71"/>
  <c r="AM55" i="71"/>
  <c r="Y113" i="71"/>
  <c r="AE101" i="71"/>
  <c r="AS46" i="71"/>
  <c r="AR43" i="71"/>
  <c r="AC16" i="71"/>
  <c r="AG80" i="71"/>
  <c r="AI80" i="71" s="1"/>
  <c r="AL80" i="71"/>
  <c r="AE26" i="71"/>
  <c r="AA25" i="71"/>
  <c r="AL35" i="71"/>
  <c r="AG35" i="71"/>
  <c r="AE34" i="71"/>
  <c r="AL34" i="71" s="1"/>
  <c r="AR64" i="71"/>
  <c r="AS64" i="71" s="1"/>
  <c r="AM33" i="71"/>
  <c r="AL95" i="71" l="1"/>
  <c r="AA93" i="71"/>
  <c r="AA78" i="71"/>
  <c r="AA70" i="71" s="1"/>
  <c r="AA121" i="71"/>
  <c r="AA113" i="71" s="1"/>
  <c r="AE117" i="71"/>
  <c r="AL117" i="71" s="1"/>
  <c r="AL116" i="71" s="1"/>
  <c r="AA100" i="71"/>
  <c r="AA111" i="71"/>
  <c r="R90" i="71"/>
  <c r="R64" i="71" s="1"/>
  <c r="R42" i="71" s="1"/>
  <c r="AF147" i="71"/>
  <c r="AF149" i="71" s="1"/>
  <c r="AF129" i="71"/>
  <c r="AA106" i="71"/>
  <c r="AE106" i="71" s="1"/>
  <c r="AG106" i="71" s="1"/>
  <c r="AI106" i="71" s="1"/>
  <c r="Y104" i="71"/>
  <c r="Y90" i="71" s="1"/>
  <c r="Y64" i="71" s="1"/>
  <c r="V130" i="71"/>
  <c r="V64" i="71"/>
  <c r="V42" i="71" s="1"/>
  <c r="V15" i="71" s="1"/>
  <c r="V127" i="71" s="1"/>
  <c r="V129" i="71" s="1"/>
  <c r="AQ15" i="71"/>
  <c r="Y43" i="71"/>
  <c r="AE45" i="71"/>
  <c r="AA44" i="71"/>
  <c r="O129" i="71"/>
  <c r="R127" i="71"/>
  <c r="J4" i="71"/>
  <c r="R130" i="71"/>
  <c r="AE142" i="71"/>
  <c r="AG138" i="71"/>
  <c r="AL138" i="71"/>
  <c r="AM138" i="71"/>
  <c r="AG120" i="71"/>
  <c r="AL120" i="71"/>
  <c r="AL119" i="71" s="1"/>
  <c r="AE119" i="71"/>
  <c r="AM120" i="71"/>
  <c r="AM119" i="71" s="1"/>
  <c r="AL76" i="71"/>
  <c r="AG76" i="71"/>
  <c r="AI76" i="71" s="1"/>
  <c r="AG79" i="71"/>
  <c r="AE78" i="71"/>
  <c r="AG53" i="71"/>
  <c r="AM53" i="71"/>
  <c r="AM52" i="71" s="1"/>
  <c r="AL53" i="71"/>
  <c r="AL52" i="71" s="1"/>
  <c r="AE52" i="71"/>
  <c r="AG122" i="71"/>
  <c r="AE121" i="71"/>
  <c r="AG32" i="71"/>
  <c r="AL32" i="71"/>
  <c r="AE31" i="71"/>
  <c r="AM32" i="71"/>
  <c r="AE38" i="71"/>
  <c r="AM39" i="71"/>
  <c r="AL39" i="71"/>
  <c r="AG39" i="71"/>
  <c r="AE56" i="71"/>
  <c r="AA54" i="71"/>
  <c r="AG62" i="71"/>
  <c r="AL62" i="71"/>
  <c r="AL61" i="71" s="1"/>
  <c r="AE61" i="71"/>
  <c r="AM62" i="71"/>
  <c r="AM61" i="71" s="1"/>
  <c r="AE47" i="71"/>
  <c r="AM48" i="71"/>
  <c r="AL48" i="71"/>
  <c r="AG48" i="71"/>
  <c r="AG26" i="71"/>
  <c r="AL26" i="71"/>
  <c r="AE25" i="71"/>
  <c r="AM26" i="71"/>
  <c r="AG101" i="71"/>
  <c r="AE100" i="71"/>
  <c r="AL101" i="71"/>
  <c r="AL100" i="71" s="1"/>
  <c r="AM101" i="71"/>
  <c r="AI115" i="71"/>
  <c r="AI114" i="71" s="1"/>
  <c r="AG114" i="71"/>
  <c r="AA148" i="71"/>
  <c r="AE143" i="71"/>
  <c r="R18" i="71"/>
  <c r="AI20" i="71"/>
  <c r="AM102" i="71"/>
  <c r="AL102" i="71"/>
  <c r="AG102" i="71"/>
  <c r="AI102" i="71" s="1"/>
  <c r="AG86" i="71"/>
  <c r="AE85" i="71"/>
  <c r="AE84" i="71" s="1"/>
  <c r="AL86" i="71"/>
  <c r="AL85" i="71" s="1"/>
  <c r="AL84" i="71" s="1"/>
  <c r="AM86" i="71"/>
  <c r="AM85" i="71" s="1"/>
  <c r="AM84" i="71" s="1"/>
  <c r="AI89" i="71"/>
  <c r="AI88" i="71" s="1"/>
  <c r="AG88" i="71"/>
  <c r="S127" i="71"/>
  <c r="S129" i="71" s="1"/>
  <c r="AL94" i="71"/>
  <c r="AL93" i="71" s="1"/>
  <c r="AE93" i="71"/>
  <c r="AM94" i="71"/>
  <c r="AM93" i="71" s="1"/>
  <c r="AG98" i="71"/>
  <c r="AE97" i="71"/>
  <c r="AL98" i="71"/>
  <c r="AL97" i="71" s="1"/>
  <c r="AM98" i="71"/>
  <c r="AM97" i="71" s="1"/>
  <c r="AE105" i="71"/>
  <c r="AB147" i="71"/>
  <c r="AB129" i="71"/>
  <c r="AI125" i="71"/>
  <c r="AI124" i="71" s="1"/>
  <c r="AG124" i="71"/>
  <c r="AE128" i="71"/>
  <c r="AE11" i="71"/>
  <c r="AL7" i="71"/>
  <c r="AG72" i="71"/>
  <c r="AE71" i="71"/>
  <c r="AL72" i="71"/>
  <c r="AL71" i="71" s="1"/>
  <c r="AM72" i="71"/>
  <c r="AM71" i="71" s="1"/>
  <c r="AG92" i="71"/>
  <c r="AE91" i="71"/>
  <c r="AL92" i="71"/>
  <c r="AL91" i="71" s="1"/>
  <c r="AM92" i="71"/>
  <c r="AM91" i="71" s="1"/>
  <c r="AE111" i="71"/>
  <c r="AG112" i="71"/>
  <c r="AL67" i="71"/>
  <c r="AL66" i="71" s="1"/>
  <c r="AL65" i="71" s="1"/>
  <c r="AG67" i="71"/>
  <c r="AE66" i="71"/>
  <c r="AE65" i="71" s="1"/>
  <c r="AM67" i="71"/>
  <c r="AM66" i="71" s="1"/>
  <c r="AM65" i="71" s="1"/>
  <c r="AG34" i="71"/>
  <c r="AI34" i="71" s="1"/>
  <c r="AI35" i="71"/>
  <c r="AR42" i="71"/>
  <c r="AS42" i="71" s="1"/>
  <c r="AS43" i="71"/>
  <c r="AL58" i="71"/>
  <c r="AL57" i="71" s="1"/>
  <c r="AG58" i="71"/>
  <c r="AE57" i="71"/>
  <c r="AM58" i="71"/>
  <c r="AM57" i="71" s="1"/>
  <c r="AE23" i="71"/>
  <c r="AA19" i="71"/>
  <c r="AA18" i="71" s="1"/>
  <c r="AE29" i="71"/>
  <c r="AA28" i="71"/>
  <c r="AA24" i="71" s="1"/>
  <c r="AG82" i="71"/>
  <c r="AL82" i="71"/>
  <c r="AL81" i="71" s="1"/>
  <c r="AE81" i="71"/>
  <c r="AM82" i="71"/>
  <c r="AM81" i="71" s="1"/>
  <c r="AM34" i="71"/>
  <c r="AE60" i="71"/>
  <c r="AA59" i="71"/>
  <c r="AI55" i="71"/>
  <c r="AE116" i="71" l="1"/>
  <c r="AG117" i="71"/>
  <c r="AM117" i="71"/>
  <c r="AM116" i="71" s="1"/>
  <c r="AM113" i="71" s="1"/>
  <c r="Y42" i="71"/>
  <c r="Y15" i="71" s="1"/>
  <c r="Y127" i="71" s="1"/>
  <c r="Y129" i="71" s="1"/>
  <c r="AA104" i="71"/>
  <c r="AA90" i="71" s="1"/>
  <c r="AA64" i="71" s="1"/>
  <c r="AL113" i="71"/>
  <c r="AE70" i="71"/>
  <c r="AM45" i="71"/>
  <c r="AM44" i="71" s="1"/>
  <c r="AG45" i="71"/>
  <c r="AL45" i="71"/>
  <c r="AL44" i="71" s="1"/>
  <c r="AE44" i="71"/>
  <c r="AE113" i="71"/>
  <c r="AA46" i="71"/>
  <c r="AA43" i="71" s="1"/>
  <c r="AI39" i="71"/>
  <c r="AG38" i="71"/>
  <c r="AL60" i="71"/>
  <c r="AL59" i="71" s="1"/>
  <c r="AE59" i="71"/>
  <c r="AG60" i="71"/>
  <c r="AM60" i="71"/>
  <c r="AM59" i="71" s="1"/>
  <c r="AI58" i="71"/>
  <c r="AI57" i="71" s="1"/>
  <c r="AG57" i="71"/>
  <c r="AI67" i="71"/>
  <c r="AI66" i="71" s="1"/>
  <c r="AI65" i="71" s="1"/>
  <c r="AG66" i="71"/>
  <c r="AG65" i="71" s="1"/>
  <c r="AG91" i="71"/>
  <c r="AI92" i="71"/>
  <c r="AI91" i="71" s="1"/>
  <c r="AG71" i="71"/>
  <c r="AI72" i="71"/>
  <c r="AI71" i="71" s="1"/>
  <c r="AL128" i="71"/>
  <c r="AM128" i="71"/>
  <c r="AL105" i="71"/>
  <c r="AL104" i="71" s="1"/>
  <c r="AL90" i="71" s="1"/>
  <c r="AE104" i="71"/>
  <c r="AE90" i="71" s="1"/>
  <c r="AG105" i="71"/>
  <c r="AM105" i="71"/>
  <c r="AM104" i="71" s="1"/>
  <c r="AG97" i="71"/>
  <c r="AI98" i="71"/>
  <c r="AI97" i="71" s="1"/>
  <c r="AG85" i="71"/>
  <c r="AG84" i="71" s="1"/>
  <c r="AI86" i="71"/>
  <c r="AI85" i="71" s="1"/>
  <c r="AI84" i="71" s="1"/>
  <c r="AG116" i="71"/>
  <c r="AI117" i="71"/>
  <c r="AI116" i="71" s="1"/>
  <c r="AG100" i="71"/>
  <c r="AI101" i="71"/>
  <c r="AI100" i="71" s="1"/>
  <c r="AG25" i="71"/>
  <c r="AI26" i="71"/>
  <c r="AI62" i="71"/>
  <c r="AI61" i="71" s="1"/>
  <c r="AG61" i="71"/>
  <c r="AL31" i="71"/>
  <c r="AM31" i="71"/>
  <c r="AI122" i="71"/>
  <c r="AI121" i="71" s="1"/>
  <c r="AG121" i="71"/>
  <c r="AI79" i="71"/>
  <c r="AI78" i="71" s="1"/>
  <c r="AG78" i="71"/>
  <c r="AG144" i="71"/>
  <c r="AG142" i="71"/>
  <c r="AG148" i="71" s="1"/>
  <c r="AI138" i="71"/>
  <c r="AL23" i="71"/>
  <c r="AG23" i="71"/>
  <c r="AE19" i="71"/>
  <c r="AM23" i="71"/>
  <c r="AG111" i="71"/>
  <c r="AI112" i="71"/>
  <c r="AI111" i="71" s="1"/>
  <c r="AL11" i="71"/>
  <c r="AM11" i="71"/>
  <c r="AI94" i="71"/>
  <c r="AI93" i="71" s="1"/>
  <c r="AG93" i="71"/>
  <c r="R17" i="71"/>
  <c r="AR15" i="71"/>
  <c r="AM29" i="71"/>
  <c r="AG29" i="71"/>
  <c r="AL29" i="71"/>
  <c r="AE28" i="71"/>
  <c r="AM70" i="71"/>
  <c r="AM100" i="71"/>
  <c r="AI48" i="71"/>
  <c r="AG47" i="71"/>
  <c r="AI53" i="71"/>
  <c r="AI52" i="71" s="1"/>
  <c r="AG52" i="71"/>
  <c r="AE148" i="71"/>
  <c r="AG151" i="71" s="1"/>
  <c r="AG143" i="71"/>
  <c r="AL142" i="71"/>
  <c r="AM142" i="71"/>
  <c r="AM148" i="71" s="1"/>
  <c r="AG81" i="71"/>
  <c r="AI82" i="71"/>
  <c r="AI81" i="71" s="1"/>
  <c r="AI120" i="71"/>
  <c r="AI119" i="71" s="1"/>
  <c r="AG119" i="71"/>
  <c r="AA17" i="71"/>
  <c r="AA16" i="71" s="1"/>
  <c r="AL70" i="71"/>
  <c r="AL25" i="71"/>
  <c r="AL24" i="71" s="1"/>
  <c r="AE24" i="71"/>
  <c r="AM25" i="71"/>
  <c r="AM24" i="71" s="1"/>
  <c r="AG56" i="71"/>
  <c r="AL56" i="71"/>
  <c r="AM56" i="71"/>
  <c r="AM54" i="71" s="1"/>
  <c r="AE54" i="71"/>
  <c r="AI32" i="71"/>
  <c r="AG31" i="71"/>
  <c r="AI31" i="71" s="1"/>
  <c r="AR4" i="71"/>
  <c r="R129" i="71"/>
  <c r="Q132" i="71"/>
  <c r="AA130" i="71" l="1"/>
  <c r="AM90" i="71"/>
  <c r="AM64" i="71" s="1"/>
  <c r="AE64" i="71"/>
  <c r="AI45" i="71"/>
  <c r="AI44" i="71" s="1"/>
  <c r="AG44" i="71"/>
  <c r="AL64" i="71"/>
  <c r="AI113" i="71"/>
  <c r="AG113" i="71"/>
  <c r="AA42" i="71"/>
  <c r="AA15" i="71" s="1"/>
  <c r="AA127" i="71" s="1"/>
  <c r="AI56" i="71"/>
  <c r="AI54" i="71" s="1"/>
  <c r="AG54" i="71"/>
  <c r="AE18" i="71"/>
  <c r="AL19" i="71"/>
  <c r="AM19" i="71"/>
  <c r="AS12" i="71"/>
  <c r="AS11" i="71" s="1"/>
  <c r="AS15" i="71"/>
  <c r="AI23" i="71"/>
  <c r="AS23" i="71"/>
  <c r="AG19" i="71"/>
  <c r="AI70" i="71"/>
  <c r="AH148" i="71"/>
  <c r="AI142" i="71"/>
  <c r="AI25" i="71"/>
  <c r="AI24" i="71" s="1"/>
  <c r="AR2" i="71"/>
  <c r="AS4" i="71"/>
  <c r="AS2" i="71" s="1"/>
  <c r="AI29" i="71"/>
  <c r="AG28" i="71"/>
  <c r="AI28" i="71" s="1"/>
  <c r="AG70" i="71"/>
  <c r="AI60" i="71"/>
  <c r="AI59" i="71" s="1"/>
  <c r="AG59" i="71"/>
  <c r="AL28" i="71"/>
  <c r="AM28" i="71"/>
  <c r="R16" i="71"/>
  <c r="AI105" i="71"/>
  <c r="AI104" i="71" s="1"/>
  <c r="AI90" i="71" s="1"/>
  <c r="AG104" i="71"/>
  <c r="AG90" i="71" s="1"/>
  <c r="AG24" i="71" l="1"/>
  <c r="AI64" i="71"/>
  <c r="AG64" i="71"/>
  <c r="AL18" i="71"/>
  <c r="AE17" i="71"/>
  <c r="AM18" i="71"/>
  <c r="AA147" i="71"/>
  <c r="AA129" i="71"/>
  <c r="AI19" i="71"/>
  <c r="AG18" i="71"/>
  <c r="R15" i="71"/>
  <c r="AL17" i="71" l="1"/>
  <c r="AE16" i="71"/>
  <c r="AM17" i="71"/>
  <c r="AG17" i="71"/>
  <c r="AI18" i="71"/>
  <c r="AG152" i="71"/>
  <c r="AA149" i="71"/>
  <c r="AG16" i="71" l="1"/>
  <c r="AI17" i="71"/>
  <c r="AL16" i="71"/>
  <c r="AM16" i="71"/>
  <c r="AI16" i="71" l="1"/>
  <c r="AH51" i="71" l="1"/>
  <c r="AH50" i="71" s="1"/>
  <c r="AH46" i="71" s="1"/>
  <c r="AH43" i="71" s="1"/>
  <c r="AH42" i="71" s="1"/>
  <c r="AD51" i="71"/>
  <c r="AD50" i="71" s="1"/>
  <c r="AD46" i="71" s="1"/>
  <c r="AD43" i="71" s="1"/>
  <c r="AD42" i="71" s="1"/>
  <c r="AD126" i="71" s="1"/>
  <c r="AC50" i="71"/>
  <c r="AC46" i="71" s="1"/>
  <c r="AC43" i="71" s="1"/>
  <c r="AC42" i="71" s="1"/>
  <c r="AC15" i="71" s="1"/>
  <c r="AE51" i="71"/>
  <c r="AM51" i="71" s="1"/>
  <c r="AG51" i="71" l="1"/>
  <c r="AG50" i="71" s="1"/>
  <c r="AG46" i="71" s="1"/>
  <c r="AG43" i="71" s="1"/>
  <c r="AG42" i="71" s="1"/>
  <c r="AG15" i="71" s="1"/>
  <c r="AG127" i="71" s="1"/>
  <c r="AH15" i="71"/>
  <c r="AH127" i="71" s="1"/>
  <c r="AH129" i="71" s="1"/>
  <c r="AD15" i="71"/>
  <c r="AD127" i="71" s="1"/>
  <c r="AD129" i="71" s="1"/>
  <c r="AD147" i="71" s="1"/>
  <c r="AC127" i="71"/>
  <c r="AE50" i="71"/>
  <c r="AI51" i="71" l="1"/>
  <c r="AI50" i="71"/>
  <c r="AI46" i="71" s="1"/>
  <c r="AI43" i="71" s="1"/>
  <c r="AI42" i="71" s="1"/>
  <c r="AM50" i="71"/>
  <c r="AM46" i="71" s="1"/>
  <c r="AM43" i="71" s="1"/>
  <c r="AM42" i="71" s="1"/>
  <c r="AE46" i="71"/>
  <c r="AE43" i="71" s="1"/>
  <c r="AE42" i="71" s="1"/>
  <c r="AE15" i="71" s="1"/>
  <c r="AL50" i="71"/>
  <c r="AL46" i="71" s="1"/>
  <c r="AL43" i="71" s="1"/>
  <c r="AL42" i="71" s="1"/>
  <c r="AI127" i="71"/>
  <c r="AC129" i="71"/>
  <c r="AC147" i="71"/>
  <c r="AE130" i="71"/>
  <c r="AL130" i="71" s="1"/>
  <c r="AG129" i="71"/>
  <c r="AG147" i="71"/>
  <c r="AG149" i="71" s="1"/>
  <c r="AC149" i="71" l="1"/>
  <c r="AH147" i="71"/>
  <c r="AL15" i="71"/>
  <c r="AM15" i="71"/>
  <c r="AE127" i="71"/>
  <c r="AI129" i="71"/>
  <c r="AD130" i="71"/>
  <c r="AM127" i="71" l="1"/>
  <c r="AE129" i="71"/>
  <c r="AL127" i="71"/>
  <c r="AE147" i="71"/>
  <c r="AE149" i="71" s="1"/>
  <c r="AE151" i="71"/>
  <c r="AH149" i="71"/>
  <c r="AL129" i="71" l="1"/>
  <c r="AM129" i="71"/>
  <c r="AE153" i="71"/>
  <c r="AG153" i="71"/>
  <c r="AF153" i="71" s="1"/>
  <c r="AB151" i="71"/>
  <c r="AB142" i="71"/>
  <c r="AB148" i="71" s="1"/>
  <c r="AB149" i="71" s="1"/>
  <c r="AD139" i="71"/>
  <c r="AD142" i="71" s="1"/>
  <c r="AD148" i="71" s="1"/>
  <c r="AD149" i="71" s="1"/>
  <c r="AD151" i="71" l="1"/>
  <c r="AF151" i="71"/>
</calcChain>
</file>

<file path=xl/comments1.xml><?xml version="1.0" encoding="utf-8"?>
<comments xmlns="http://schemas.openxmlformats.org/spreadsheetml/2006/main">
  <authors>
    <author>Julian Mauricio Martínez</author>
  </authors>
  <commentList>
    <comment ref="Z33" authorId="0" shapeId="0">
      <text>
        <r>
          <rPr>
            <b/>
            <sz val="18"/>
            <color indexed="81"/>
            <rFont val="Tahoma"/>
            <family val="2"/>
          </rPr>
          <t xml:space="preserve">Julian Mauricio Martínez:
</t>
        </r>
        <r>
          <rPr>
            <sz val="18"/>
            <color indexed="81"/>
            <rFont val="Tahoma"/>
            <family val="2"/>
          </rPr>
          <t xml:space="preserve">
adicion final contrato 283 de 2020</t>
        </r>
      </text>
    </comment>
    <comment ref="Q68" authorId="0" shapeId="0">
      <text>
        <r>
          <rPr>
            <b/>
            <sz val="12"/>
            <color indexed="81"/>
            <rFont val="Tahoma"/>
            <family val="2"/>
          </rPr>
          <t>Julian Mauricio Martínez:</t>
        </r>
        <r>
          <rPr>
            <sz val="12"/>
            <color indexed="81"/>
            <rFont val="Tahoma"/>
            <family val="2"/>
          </rPr>
          <t xml:space="preserve">
se habia quitado 1 millon para impuesto pero ya no.</t>
        </r>
      </text>
    </comment>
    <comment ref="Q99" authorId="0" shapeId="0">
      <text>
        <r>
          <rPr>
            <b/>
            <sz val="14"/>
            <color indexed="81"/>
            <rFont val="Tahoma"/>
            <family val="2"/>
          </rPr>
          <t xml:space="preserve">Julian Mauricio Martínez: TRASLADO PARA CUOTA DE AUDITAJE CONTRALORIA
</t>
        </r>
        <r>
          <rPr>
            <sz val="14"/>
            <color indexed="81"/>
            <rFont val="Tahoma"/>
            <family val="2"/>
          </rPr>
          <t xml:space="preserve">
</t>
        </r>
      </text>
    </comment>
    <comment ref="Z102" authorId="0" shapeId="0">
      <text>
        <r>
          <rPr>
            <b/>
            <sz val="16"/>
            <color indexed="81"/>
            <rFont val="Tahoma"/>
            <family val="2"/>
          </rPr>
          <t>Julian Mauricio Martínez:</t>
        </r>
        <r>
          <rPr>
            <sz val="16"/>
            <color indexed="81"/>
            <rFont val="Tahoma"/>
            <family val="2"/>
          </rPr>
          <t xml:space="preserve">
SOLICITADO CDP PARA VIGENCIA FUTURA CELADURIA</t>
        </r>
      </text>
    </comment>
    <comment ref="Z105" authorId="0" shapeId="0">
      <text>
        <r>
          <rPr>
            <b/>
            <sz val="20"/>
            <color indexed="81"/>
            <rFont val="Tahoma"/>
            <family val="2"/>
          </rPr>
          <t>Julian Mauricio Martínez:</t>
        </r>
        <r>
          <rPr>
            <sz val="20"/>
            <color indexed="81"/>
            <rFont val="Tahoma"/>
            <family val="2"/>
          </rPr>
          <t xml:space="preserve">
ADICION EN JULIO PARA VENTILADOR Y FOSO  $3.687.215 + ASCENSORES ADICION NDIC $2.975.000 
</t>
        </r>
      </text>
    </comment>
  </commentList>
</comments>
</file>

<file path=xl/comments2.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<sst xmlns="http://schemas.openxmlformats.org/spreadsheetml/2006/main" count="7352" uniqueCount="2192">
  <si>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</si>
  <si>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</si>
  <si>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</si>
  <si>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</si>
  <si>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</si>
  <si>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</si>
  <si>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</si>
  <si>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</si>
  <si>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</si>
  <si>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</si>
  <si>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</si>
  <si>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</si>
  <si>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</si>
  <si>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</si>
  <si>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</si>
  <si>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</si>
  <si>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</si>
  <si>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</si>
  <si>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</si>
  <si>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</si>
  <si>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</si>
  <si>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</si>
  <si>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</si>
  <si>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</si>
  <si>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</si>
  <si>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</si>
  <si>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</si>
  <si>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</si>
  <si>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</si>
  <si>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</si>
  <si>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</si>
  <si>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</si>
  <si>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</si>
  <si>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</si>
  <si>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</si>
  <si>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</si>
  <si>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</si>
  <si>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</si>
  <si>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</si>
  <si>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</si>
  <si>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</si>
  <si>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</si>
  <si>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</si>
  <si>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</si>
  <si>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</si>
  <si>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</si>
  <si>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</si>
  <si>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</si>
  <si>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</si>
  <si>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</si>
  <si>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</si>
  <si>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</si>
  <si>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</si>
  <si>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</si>
  <si>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</si>
  <si>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</si>
  <si>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</si>
  <si>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</si>
  <si>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</si>
  <si>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</si>
  <si>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</si>
  <si>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</si>
  <si>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</si>
  <si>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</si>
  <si>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</si>
  <si>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</si>
  <si>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</si>
  <si>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</si>
  <si>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</si>
  <si>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</si>
  <si>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</si>
  <si>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</si>
  <si>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</si>
  <si>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</si>
  <si>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</si>
  <si>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</si>
  <si>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</si>
  <si>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</si>
  <si>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A-02-02-02-008-005-03 SERVICIOS DE LIMPIEZA</t>
  </si>
  <si>
    <t>A-02-02-02-007-001-03-5-07 SERVICIOS DE SEGURO OBLIGATORIO DE ACCIDENTES DE TRÁNSITO (SOAT)</t>
  </si>
  <si>
    <t>ABRIL</t>
  </si>
  <si>
    <t>MÍNIMA CUANTÍA</t>
  </si>
  <si>
    <t>A-02-02-02-006-005  SERVICIOS DE TRANSPORTE DE CARGA</t>
  </si>
  <si>
    <t>MARZO</t>
  </si>
  <si>
    <t>A-02-02-02-008-007-01-5 SERVICIOS DE MANTENIMIENTO Y REPARACIÓN DE OTRA MAQUINARIA Y OTRO EQUIPO</t>
  </si>
  <si>
    <t>SEPTIEMBRE</t>
  </si>
  <si>
    <t>A-02-02-02-005-004-02-9 SERVICIOS GENERALES DE CONSTRUCCIÓN DE OTRAS OBRAS DE INGENIERÍA CIVIL</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</si>
  <si>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</si>
  <si>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</si>
  <si>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</si>
  <si>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</si>
  <si>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</si>
  <si>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</si>
  <si>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</si>
  <si>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</si>
  <si>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</si>
  <si>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</si>
  <si>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</si>
  <si>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</si>
  <si>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</si>
  <si>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</si>
  <si>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A-02-02-02-005-004-06 SERVICIOS DE INSTALACIONES</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</si>
  <si>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</si>
  <si>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</si>
  <si>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</si>
  <si>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</si>
  <si>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</si>
  <si>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</si>
  <si>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</si>
  <si>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</si>
  <si>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</si>
  <si>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</si>
  <si>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</si>
  <si>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</si>
  <si>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A-02-02-02-009-002-09 OTROS TIPOS DE EDUCACIÓN Y SERVICIOS DE APOYO EDUCATIVO</t>
  </si>
  <si>
    <t>A-02-02-01-004-007-08 PAQUETES DE SOFTWARE</t>
  </si>
  <si>
    <t>LICITACIÓN PÚBLICA</t>
  </si>
  <si>
    <t>SELECCIÓN ABREVIADA SUBASTA INVERSA</t>
  </si>
  <si>
    <t>OFICINA ASESORA DE COMUNICACIONES</t>
  </si>
  <si>
    <t>OFICINA DE CONTROL INTERNO</t>
  </si>
  <si>
    <t>SUBDIRECCIÓN</t>
  </si>
  <si>
    <t>A-02-02-02-008-005-02 SERVICIOS DE INVESTIGACIÓN Y SEGURIDAD</t>
  </si>
  <si>
    <t>DEPARTAMENTO ADMINISTRATIVO DE LA FUNCIÓN PÚBLICA</t>
  </si>
  <si>
    <t>REPORTE PRESUPUESTO - PLAN ANUAL DE ADQUISICIONES Y OTROS GASTOS</t>
  </si>
  <si>
    <t>PLA</t>
  </si>
  <si>
    <t/>
  </si>
  <si>
    <t>EJECUCIÓN VIGENCIA 2013</t>
  </si>
  <si>
    <t>EJECUCIÓN VIGENCIA 2014</t>
  </si>
  <si>
    <t>EJECUCIÓN VIGENCIA 2015</t>
  </si>
  <si>
    <t>PLAN ANUAL DE ADQUISICIONES</t>
  </si>
  <si>
    <t>% EJECUCIÓN  POR RUBRO</t>
  </si>
  <si>
    <t>traslado entre rubros</t>
  </si>
  <si>
    <t>TIPO</t>
  </si>
  <si>
    <t>CTA</t>
  </si>
  <si>
    <t>SUB
CTA</t>
  </si>
  <si>
    <t>OBJ</t>
  </si>
  <si>
    <t>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</si>
  <si>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</si>
  <si>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</si>
  <si>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</si>
  <si>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</si>
  <si>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</si>
  <si>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</si>
  <si>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</si>
  <si>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</si>
  <si>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</si>
  <si>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</si>
  <si>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SALDO PARA GASTOS</t>
  </si>
  <si>
    <t>PAGOS NO ASOCIADOS A CONTRATOS</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</si>
  <si>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</si>
  <si>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</si>
  <si>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</si>
  <si>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</si>
  <si>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</si>
  <si>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</si>
  <si>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</si>
  <si>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</si>
  <si>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</si>
  <si>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</si>
  <si>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</si>
  <si>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</si>
  <si>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</si>
  <si>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</si>
  <si>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</si>
  <si>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</si>
  <si>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</si>
  <si>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</si>
  <si>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</si>
  <si>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</si>
  <si>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</si>
  <si>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</si>
  <si>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</si>
  <si>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006</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</si>
  <si>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</si>
  <si>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</si>
  <si>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</si>
  <si>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</si>
  <si>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</si>
  <si>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</si>
  <si>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</si>
  <si>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</si>
  <si>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</si>
  <si>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</si>
  <si>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</si>
  <si>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</si>
  <si>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</si>
  <si>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</si>
  <si>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</si>
  <si>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</si>
  <si>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</si>
  <si>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</si>
  <si>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</si>
  <si>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</si>
  <si>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</si>
  <si>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</si>
  <si>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</si>
  <si>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</si>
  <si>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</si>
  <si>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</si>
  <si>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MAQUINAS PARA OFICINA Y CONTABILIDAD, Y SUS PARTES Y ACCESORIOS</t>
  </si>
  <si>
    <t>MAQUINARIA Y APARATOS ELÉCTRICOS</t>
  </si>
  <si>
    <t>ACUMULADORES, PILAS Y BATERÍAS PRIMARIAS Y SUS PARTES Y PIEZAS</t>
  </si>
  <si>
    <t>OTRO EQUIPO ELÉCTRICO Y SUS PARTES Y PIEZAS</t>
  </si>
  <si>
    <t>007</t>
  </si>
  <si>
    <t>APARATOS TRANSMISORES DE TELEVISIÓN Y RADIO; TELEVISIÓN , VIDEO Y CÁMARAS DIGITALES; TELÉFONOS</t>
  </si>
  <si>
    <t>03</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</si>
  <si>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</si>
  <si>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</si>
  <si>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</si>
  <si>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</si>
  <si>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</si>
  <si>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</si>
  <si>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</si>
  <si>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</si>
  <si>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</si>
  <si>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</si>
  <si>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</si>
  <si>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</si>
  <si>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</si>
  <si>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</si>
  <si>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</si>
  <si>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</si>
  <si>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</si>
  <si>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</si>
  <si>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</si>
  <si>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</si>
  <si>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</si>
  <si>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</si>
  <si>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</si>
  <si>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</si>
  <si>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</si>
  <si>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</si>
  <si>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</si>
  <si>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</si>
  <si>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</si>
  <si>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</si>
  <si>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</si>
  <si>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</si>
  <si>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</si>
  <si>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</si>
  <si>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</si>
  <si>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</si>
  <si>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</si>
  <si>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</si>
  <si>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</si>
  <si>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</si>
  <si>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</si>
  <si>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</si>
  <si>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</si>
  <si>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</si>
  <si>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</si>
  <si>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</si>
  <si>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</si>
  <si>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</si>
  <si>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</si>
  <si>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</si>
  <si>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</si>
  <si>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</si>
  <si>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</si>
  <si>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</si>
  <si>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</si>
  <si>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</si>
  <si>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</si>
  <si>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</si>
  <si>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</si>
  <si>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</si>
  <si>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</si>
  <si>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</si>
  <si>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1498</t>
  </si>
  <si>
    <t>1996</t>
  </si>
  <si>
    <t>MEJORAMIENTO DE LA IMAGEN Y FUNCIONALIDAD DEL EDFICIO SEDE DEL DEPARTAMENTO</t>
  </si>
  <si>
    <t>SUBTOTAL PROYECTOS DE INVERSIÓN</t>
  </si>
  <si>
    <t>pruebas</t>
  </si>
  <si>
    <t>RUBROS PRESUPUESTALES - PAA</t>
  </si>
  <si>
    <t>SALDO PARA COMPROMETER EN EL PAA</t>
  </si>
  <si>
    <t>DIFERENCIA</t>
  </si>
  <si>
    <t>SALDO TOTAL  DISPONIBLE DEL PROYECTO</t>
  </si>
  <si>
    <t>% EJECUCIÓN DEL PAA POR RUBRO</t>
  </si>
  <si>
    <t>SUBTOTAL FUNCIONAMIENTO</t>
  </si>
  <si>
    <t>SUBTOTAL INVERSIÓN</t>
  </si>
  <si>
    <t>GRAN TOTAL</t>
  </si>
  <si>
    <t>A-02-02-02-008-005-09 OTROS SERVICIOS AUXILIARES</t>
  </si>
  <si>
    <t>DIRECCIÓN DE DESARROLLO ORGANIZACIONAL</t>
  </si>
  <si>
    <t xml:space="preserve">CONTRATACIÓN DIRECTA </t>
  </si>
  <si>
    <t>no</t>
  </si>
  <si>
    <t>A-02-02-01-003-008-09 OTROS ARTÍCULOS MANUFACTURADOS N.C.P.</t>
  </si>
  <si>
    <t>DIRECCIÓN DE GESTIÓN Y DESEMPEÑO INSTITUCIONAL</t>
  </si>
  <si>
    <t>VIGENCIA 2020</t>
  </si>
  <si>
    <t>MAQUINARIA DE OFICINA , CONTABILIDAD  E INFORMÁTICA</t>
  </si>
  <si>
    <t>A 02-01-01-004-006-01 MOTORES, GENERADORES Y TRANSFORMADORES ELÉCTRICOS Y SUS PARTES Y PIEZAS</t>
  </si>
  <si>
    <t>A-02-02-02-004-007-03 RADIORRECEPTORES Y RECEPTORES DE TELEVISIÓN; APARATOS PARA LA GRABACIÓN Y REPRODUCCIÓN DE SONIDO Y VIDEO; MICRÓFONOS, ALTAVOCES, AMPLIFICADORES, ETC.</t>
  </si>
  <si>
    <t>A-02-02-02-009-007-01 SERVICIOS DE  LAVADO, LIMPIEZA Y TEÑIDO</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</si>
  <si>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</si>
  <si>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</si>
  <si>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</si>
  <si>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</si>
  <si>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</si>
  <si>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</si>
  <si>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</si>
  <si>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</si>
  <si>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</si>
  <si>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</si>
  <si>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</si>
  <si>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</si>
  <si>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</si>
  <si>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MENOS VIGENCIAS FUTURAS 2020</t>
  </si>
  <si>
    <t>C-0599-1000-4 MEJORAMIENTO DE LA IMAGEN Y FUNCIONALIDAD DEL EDIFICIO SEDE DEL DAFP - RECURSO 11 - CSF</t>
  </si>
  <si>
    <t>Adquisición  de la Papelería, utiles de escritorio y Oficina para el uso de las dependencias de la Función Pública.   LINEA PAA No 2</t>
  </si>
  <si>
    <t>Adquisición  y suministro de tóner y cartuchos para impresoras. (contrato de suministro)   LINEA PAA No 4</t>
  </si>
  <si>
    <t>0599016 - Sedes mantenidas</t>
  </si>
  <si>
    <t>SERVICIOS DE PUBLICIDAD Y EL SUMINISTRO DE ESPACIO O TIEMPO PUBLICITARIOS</t>
  </si>
  <si>
    <t>599</t>
  </si>
  <si>
    <t>72101510
72101511   
72101509
72101507
72151605</t>
  </si>
  <si>
    <t>80101500
80101600</t>
  </si>
  <si>
    <t>LUZ DARY CUEVAS   EXT. 410
lcuevas@funcionpublica.gov.co</t>
  </si>
  <si>
    <t>TECNOLOGÍAS DE LA INFORMACIÓN</t>
  </si>
  <si>
    <t>DISEÑO POLÍTICAS</t>
  </si>
  <si>
    <t>GRUPO DE GESTIÓN CONTRACTUAL</t>
  </si>
  <si>
    <t>OFICINA TECNOLOGIAS DE LA INFORMACIÓN Y LAS COMUNICACIONES/GRUPO GESTIÓN ADMINISTRATIVA</t>
  </si>
  <si>
    <t>81111820
81112200
81112300
45111500</t>
  </si>
  <si>
    <t>EQUIPO Y APARATOS DE RADIO, TELEVISIÓN Y COMUNICACIONES</t>
  </si>
  <si>
    <t>PASTA O PULPA, PAPEL Y PRODUCTOS DE PAPEL; IMPRESOS Y ARTÍCULOS RELACIONADOS</t>
  </si>
  <si>
    <t>OTROS PRODUCTOS QUÍMICOS; FIBRAS ARTIFICIALES (O FIBRAS INDUSTRIALES HECHAS POR EL HOMBRE)</t>
  </si>
  <si>
    <t>OTROS BIENES TRANSPORTABLES N.C.P.</t>
  </si>
  <si>
    <t>SERVICIOS DE CONSTRUCCIÓN</t>
  </si>
  <si>
    <t>SERVICIOS DE APOYO AL TRANSPORTE</t>
  </si>
  <si>
    <t>SERVICIOS DE DISTRIBUCIÓN DE ELECTRICIDAD, GAS Y AGUA (POR CUENTA PROPIA)</t>
  </si>
  <si>
    <t>SERVICIOS FINANCIEROS Y SERVICIOS CONEXOS</t>
  </si>
  <si>
    <t>SERVICIOS INMOBILIARIOS</t>
  </si>
  <si>
    <t>SERVICIOS JURÍDICOS Y CONTABLES</t>
  </si>
  <si>
    <t>OTROS SERVICIOS PROFESIONALES, CIENTÍFICOS Y TÉCNICOS</t>
  </si>
  <si>
    <t>SERVICIOS DE SOPORTE</t>
  </si>
  <si>
    <t>SERVICIOS DE MANTENIMIENTO, REPARACIÓN E INSTALACIÓN (EXCEPTO SERVICIOS DE CONSTRUCCIÓN)</t>
  </si>
  <si>
    <t>OTROS SERVICIOS DE FABRICACIÓN; SERVICIOS DE EDICIÓN, IMPRESIÓN Y REPRODUCCIÓN; SERVICIOS DE RECUPERACIÓN DE MATERIALES</t>
  </si>
  <si>
    <t>SERVICIOS DE ESPARCIMIENTO, CULTURALES Y DEPORTIVOS</t>
  </si>
  <si>
    <t>OTROS SERVICIOS</t>
  </si>
  <si>
    <t>MEJORAMIENTO ENTIDADES</t>
  </si>
  <si>
    <t>SUB
ORD</t>
  </si>
  <si>
    <t>LIBROS DE REGISTROS, LIBROS DE CONTABILIDAD, CUADENILLOS DE NOTAS, BLOQUES PARA CARTAS, AGENDAS, ARTICULOS SIMILARES, SECANTES, ENCUADERNADORES, CLASIFICADORES PARA ARCHIVOS, FORMULARIOS Y OTROS ARTÍCULOS DE ESCRITORIO, DE PAPEL O CARTÓN</t>
  </si>
  <si>
    <t>AGREGACIÓN DE DEMANDA</t>
  </si>
  <si>
    <t>Fecha estimada de inicio del proceso de selección</t>
  </si>
  <si>
    <t>MAQUINARIA DE INFORMÁTICA Y SUS PARTES, PIEZAS Y ACCESORIOS</t>
  </si>
  <si>
    <t xml:space="preserve">INVERSIÓN </t>
  </si>
  <si>
    <t>30181600 24112600 24121800 24122000 24111500 27112100 27112700 12352104 46181500 46181700 46181800</t>
  </si>
  <si>
    <t>energia</t>
  </si>
  <si>
    <t>consumo diciembre</t>
  </si>
  <si>
    <t>acueducto</t>
  </si>
  <si>
    <t>IMPUESTO PREDIAL</t>
  </si>
  <si>
    <t>IMPUESTO SOBRE VEHICULOS AUTOMOTORES</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</si>
  <si>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</si>
  <si>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</si>
  <si>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</si>
  <si>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</si>
  <si>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</si>
  <si>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</si>
  <si>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</si>
  <si>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</si>
  <si>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</si>
  <si>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</si>
  <si>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</si>
  <si>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</si>
  <si>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</si>
  <si>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</si>
  <si>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</si>
  <si>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</si>
  <si>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</si>
  <si>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</si>
  <si>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</si>
  <si>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</si>
  <si>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</si>
  <si>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</si>
  <si>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</si>
  <si>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</si>
  <si>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</si>
  <si>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</si>
  <si>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</si>
  <si>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</si>
  <si>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</si>
  <si>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</si>
  <si>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</si>
  <si>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</si>
  <si>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</si>
  <si>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</si>
  <si>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</si>
  <si>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</si>
  <si>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</si>
  <si>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</si>
  <si>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</si>
  <si>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</si>
  <si>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</si>
  <si>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</si>
  <si>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</si>
  <si>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</si>
  <si>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</si>
  <si>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</si>
  <si>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</si>
  <si>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</si>
  <si>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</si>
  <si>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</si>
  <si>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</si>
  <si>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</si>
  <si>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</si>
  <si>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</si>
  <si>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</si>
  <si>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</si>
  <si>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</si>
  <si>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</si>
  <si>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</si>
  <si>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</si>
  <si>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</si>
  <si>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</si>
  <si>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</si>
  <si>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</si>
  <si>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</si>
  <si>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</si>
  <si>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</si>
  <si>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</si>
  <si>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</si>
  <si>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</si>
  <si>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</si>
  <si>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</si>
  <si>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</si>
  <si>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</si>
  <si>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</si>
  <si>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</si>
  <si>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</si>
  <si>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</si>
  <si>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</si>
  <si>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</si>
  <si>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</si>
  <si>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</si>
  <si>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</si>
  <si>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</si>
  <si>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</si>
  <si>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</si>
  <si>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</si>
  <si>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</si>
  <si>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</si>
  <si>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</si>
  <si>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</si>
  <si>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</si>
  <si>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</si>
  <si>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</si>
  <si>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</si>
  <si>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</si>
  <si>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</si>
  <si>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</si>
  <si>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</si>
  <si>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</si>
  <si>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</si>
  <si>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</si>
  <si>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</si>
  <si>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</si>
  <si>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</si>
  <si>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</si>
  <si>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</si>
  <si>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</si>
  <si>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</si>
  <si>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</si>
  <si>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</si>
  <si>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</si>
  <si>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</si>
  <si>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</si>
  <si>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</si>
  <si>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</si>
  <si>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</si>
  <si>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</si>
  <si>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</si>
  <si>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</si>
  <si>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</si>
  <si>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</si>
  <si>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</si>
  <si>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</si>
  <si>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</si>
  <si>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</si>
  <si>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</si>
  <si>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</si>
  <si>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</si>
  <si>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</si>
  <si>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</si>
  <si>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</si>
  <si>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</si>
  <si>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</si>
  <si>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</si>
  <si>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</si>
  <si>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</si>
  <si>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</si>
  <si>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</si>
  <si>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</si>
  <si>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</si>
  <si>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</si>
  <si>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</si>
  <si>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</si>
  <si>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</si>
  <si>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</si>
  <si>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</si>
  <si>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</si>
  <si>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</si>
  <si>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</si>
  <si>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</si>
  <si>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</si>
  <si>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</si>
  <si>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</si>
  <si>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</si>
  <si>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</si>
  <si>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</si>
  <si>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</si>
  <si>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</si>
  <si>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</si>
  <si>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</si>
  <si>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</si>
  <si>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</si>
  <si>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</si>
  <si>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</si>
  <si>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</si>
  <si>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</si>
  <si>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</si>
  <si>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</si>
  <si>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</si>
  <si>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</si>
  <si>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</si>
  <si>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</si>
  <si>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</si>
  <si>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</si>
  <si>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</si>
  <si>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</si>
  <si>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</si>
  <si>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</si>
  <si>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</si>
  <si>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</si>
  <si>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</si>
  <si>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</si>
  <si>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</si>
  <si>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</si>
  <si>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</si>
  <si>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</si>
  <si>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</si>
  <si>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</si>
  <si>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</si>
  <si>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</si>
  <si>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</si>
  <si>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</si>
  <si>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</si>
  <si>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</si>
  <si>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</si>
  <si>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</si>
  <si>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</si>
  <si>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</si>
  <si>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</si>
  <si>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</si>
  <si>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</si>
  <si>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</si>
  <si>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</si>
  <si>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</si>
  <si>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</si>
  <si>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</si>
  <si>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</si>
  <si>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</si>
  <si>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</si>
  <si>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</si>
  <si>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</si>
  <si>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</si>
  <si>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</si>
  <si>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</si>
  <si>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</si>
  <si>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</si>
  <si>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</si>
  <si>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</si>
  <si>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</si>
  <si>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</si>
  <si>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</si>
  <si>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</si>
  <si>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</si>
  <si>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</si>
  <si>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</si>
  <si>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</si>
  <si>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</si>
  <si>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</si>
  <si>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</si>
  <si>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</si>
  <si>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</si>
  <si>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</si>
  <si>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</si>
  <si>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</si>
  <si>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</si>
  <si>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</si>
  <si>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</si>
  <si>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</si>
  <si>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</si>
  <si>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</si>
  <si>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</si>
  <si>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</si>
  <si>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</si>
  <si>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</si>
  <si>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</si>
  <si>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</si>
  <si>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</si>
  <si>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</si>
  <si>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</si>
  <si>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</si>
  <si>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</si>
  <si>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</si>
  <si>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</si>
  <si>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</si>
  <si>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</si>
  <si>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</si>
  <si>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</si>
  <si>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</si>
  <si>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</si>
  <si>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</si>
  <si>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</si>
  <si>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</si>
  <si>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</si>
  <si>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</si>
  <si>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</si>
  <si>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</si>
  <si>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</si>
  <si>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</si>
  <si>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</si>
  <si>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</si>
  <si>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</si>
  <si>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</si>
  <si>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</si>
  <si>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</si>
  <si>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</si>
  <si>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</si>
  <si>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</si>
  <si>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</si>
  <si>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</si>
  <si>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</si>
  <si>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</si>
  <si>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</si>
  <si>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</si>
  <si>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</si>
  <si>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</si>
  <si>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</si>
  <si>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</si>
  <si>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</si>
  <si>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</si>
  <si>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</si>
  <si>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</si>
  <si>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</si>
  <si>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</si>
  <si>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</si>
  <si>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</si>
  <si>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</si>
  <si>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</si>
  <si>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</si>
  <si>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</si>
  <si>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</si>
  <si>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</si>
  <si>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</si>
  <si>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</si>
  <si>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</si>
  <si>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</si>
  <si>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</si>
  <si>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</si>
  <si>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</si>
  <si>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</si>
  <si>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</si>
  <si>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</si>
  <si>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</si>
  <si>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</si>
  <si>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</si>
  <si>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</si>
  <si>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</si>
  <si>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</si>
  <si>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</si>
  <si>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</si>
  <si>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</si>
  <si>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</si>
  <si>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</si>
  <si>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</si>
  <si>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</si>
  <si>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</si>
  <si>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</si>
  <si>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</si>
  <si>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</si>
  <si>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81112200
81111500
43232300
81112500</t>
  </si>
  <si>
    <t>43231501
81112200
81111500
81111800
81111811</t>
  </si>
  <si>
    <t>81111500
81111800
43233200</t>
  </si>
  <si>
    <t>43233200 
81111500
81112200</t>
  </si>
  <si>
    <t>81112000
81111500</t>
  </si>
  <si>
    <t>81112200
81111500
81111800
43232300</t>
  </si>
  <si>
    <t>39121000
39121600</t>
  </si>
  <si>
    <t>A-02-02-01-003-003-04 GAS DE PETROLEO Y OTROS HIDROCARBUROS</t>
  </si>
  <si>
    <t>Prestación de servicios profesionales a la gestión   LINEA PAA No 174</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</si>
  <si>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</si>
  <si>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</si>
  <si>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</si>
  <si>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</si>
  <si>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</si>
  <si>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</si>
  <si>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Cta/Program.</t>
  </si>
  <si>
    <t>Sub Cta.Subprogra</t>
  </si>
  <si>
    <t xml:space="preserve">Objeto/proyect </t>
  </si>
  <si>
    <t>Ordinal/Subproy</t>
  </si>
  <si>
    <t>Sub Ordinal</t>
  </si>
  <si>
    <t>Item</t>
  </si>
  <si>
    <t>Subitem</t>
  </si>
  <si>
    <t>Acreditar</t>
  </si>
  <si>
    <t>Contraacreditar</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</si>
  <si>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</si>
  <si>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</si>
  <si>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</si>
  <si>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</si>
  <si>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</si>
  <si>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</si>
  <si>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</si>
  <si>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</si>
  <si>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</si>
  <si>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</si>
  <si>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</si>
  <si>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</si>
  <si>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</si>
  <si>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</si>
  <si>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</si>
  <si>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</si>
  <si>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</si>
  <si>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</si>
  <si>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</si>
  <si>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</si>
  <si>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</si>
  <si>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</si>
  <si>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</si>
  <si>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</si>
  <si>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</si>
  <si>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</si>
  <si>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</si>
  <si>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</si>
  <si>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</si>
  <si>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</si>
  <si>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</si>
  <si>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</si>
  <si>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</si>
  <si>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</si>
  <si>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</si>
  <si>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</si>
  <si>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</si>
  <si>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</si>
  <si>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</si>
  <si>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</si>
  <si>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</si>
  <si>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</si>
  <si>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</si>
  <si>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</si>
  <si>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</si>
  <si>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</si>
  <si>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</si>
  <si>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</si>
  <si>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</si>
  <si>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</si>
  <si>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</si>
  <si>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</si>
  <si>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</si>
  <si>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</si>
  <si>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</si>
  <si>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</si>
  <si>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</si>
  <si>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</si>
  <si>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</si>
  <si>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</si>
  <si>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</si>
  <si>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</si>
  <si>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</si>
  <si>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</si>
  <si>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</si>
  <si>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</si>
  <si>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</si>
  <si>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</si>
  <si>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</si>
  <si>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</si>
  <si>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</si>
  <si>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</si>
  <si>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</si>
  <si>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</si>
  <si>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</si>
  <si>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</si>
  <si>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</si>
  <si>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</si>
  <si>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</si>
  <si>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</si>
  <si>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</si>
  <si>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</si>
  <si>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</si>
  <si>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</si>
  <si>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</si>
  <si>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</si>
  <si>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</si>
  <si>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</si>
  <si>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</si>
  <si>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</si>
  <si>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</si>
  <si>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</si>
  <si>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</si>
  <si>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</si>
  <si>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</si>
  <si>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</si>
  <si>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</si>
  <si>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</si>
  <si>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</si>
  <si>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</si>
  <si>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</si>
  <si>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</si>
  <si>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</si>
  <si>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</si>
  <si>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</si>
  <si>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</si>
  <si>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</si>
  <si>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</si>
  <si>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</si>
  <si>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</si>
  <si>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</si>
  <si>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</si>
  <si>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</si>
  <si>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</si>
  <si>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</si>
  <si>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</si>
  <si>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</si>
  <si>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</si>
  <si>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</si>
  <si>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</si>
  <si>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</si>
  <si>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</si>
  <si>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</si>
  <si>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</si>
  <si>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</si>
  <si>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</si>
  <si>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</si>
  <si>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</si>
  <si>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</si>
  <si>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</si>
  <si>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</si>
  <si>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</si>
  <si>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</si>
  <si>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</si>
  <si>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</si>
  <si>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</si>
  <si>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</si>
  <si>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</si>
  <si>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</si>
  <si>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</si>
  <si>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</si>
  <si>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</si>
  <si>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</si>
  <si>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</si>
  <si>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</si>
  <si>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</si>
  <si>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</si>
  <si>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</si>
  <si>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</si>
  <si>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</si>
  <si>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</si>
  <si>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</si>
  <si>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</si>
  <si>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</si>
  <si>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</si>
  <si>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</si>
  <si>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</si>
  <si>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</si>
  <si>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</si>
  <si>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</si>
  <si>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</si>
  <si>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</si>
  <si>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</si>
  <si>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</si>
  <si>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</si>
  <si>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</si>
  <si>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</si>
  <si>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</si>
  <si>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</si>
  <si>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</si>
  <si>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</si>
  <si>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</si>
  <si>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</si>
  <si>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</si>
  <si>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</si>
  <si>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</si>
  <si>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</si>
  <si>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</si>
  <si>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</si>
  <si>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</si>
  <si>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</si>
  <si>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</si>
  <si>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</si>
  <si>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</si>
  <si>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</si>
  <si>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</si>
  <si>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</si>
  <si>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</si>
  <si>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</si>
  <si>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</si>
  <si>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</si>
  <si>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</si>
  <si>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</si>
  <si>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</si>
  <si>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</si>
  <si>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</si>
  <si>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</si>
  <si>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</si>
  <si>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</si>
  <si>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</si>
  <si>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</si>
  <si>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</si>
  <si>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</si>
  <si>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</si>
  <si>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</si>
  <si>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</si>
  <si>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</si>
  <si>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</si>
  <si>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</si>
  <si>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</si>
  <si>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</si>
  <si>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</si>
  <si>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</si>
  <si>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</si>
  <si>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</si>
  <si>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</si>
  <si>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</si>
  <si>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</si>
  <si>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</si>
  <si>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</si>
  <si>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</si>
  <si>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</si>
  <si>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</si>
  <si>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</si>
  <si>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</si>
  <si>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</si>
  <si>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</si>
  <si>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</si>
  <si>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</si>
  <si>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</si>
  <si>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</si>
  <si>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</si>
  <si>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</si>
  <si>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</si>
  <si>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</si>
  <si>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</si>
  <si>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</si>
  <si>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</si>
  <si>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</si>
  <si>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</si>
  <si>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</si>
  <si>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</si>
  <si>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</si>
  <si>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</si>
  <si>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</si>
  <si>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</si>
  <si>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</si>
  <si>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</si>
  <si>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</si>
  <si>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</si>
  <si>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</si>
  <si>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</si>
  <si>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</si>
  <si>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</si>
  <si>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</si>
  <si>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</si>
  <si>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</si>
  <si>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</si>
  <si>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</si>
  <si>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</si>
  <si>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</si>
  <si>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</si>
  <si>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</si>
  <si>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</si>
  <si>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</si>
  <si>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</si>
  <si>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</si>
  <si>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</si>
  <si>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</si>
  <si>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</si>
  <si>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</si>
  <si>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</si>
  <si>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</si>
  <si>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</si>
  <si>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</si>
  <si>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</si>
  <si>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</si>
  <si>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</si>
  <si>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</si>
  <si>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</si>
  <si>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</si>
  <si>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</si>
  <si>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</si>
  <si>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</si>
  <si>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</si>
  <si>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</si>
  <si>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</si>
  <si>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</si>
  <si>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</si>
  <si>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</si>
  <si>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</si>
  <si>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</si>
  <si>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</si>
  <si>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</si>
  <si>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</si>
  <si>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</si>
  <si>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</si>
  <si>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</si>
  <si>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</si>
  <si>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</si>
  <si>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</si>
  <si>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</si>
  <si>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</si>
  <si>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</si>
  <si>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</si>
  <si>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</si>
  <si>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</si>
  <si>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</si>
  <si>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</si>
  <si>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</si>
  <si>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</si>
  <si>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</si>
  <si>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</si>
  <si>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</si>
  <si>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</si>
  <si>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</si>
  <si>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</si>
  <si>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</si>
  <si>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</si>
  <si>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</si>
  <si>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</si>
  <si>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</si>
  <si>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</si>
  <si>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</si>
  <si>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</si>
  <si>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</si>
  <si>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</si>
  <si>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</si>
  <si>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</si>
  <si>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</si>
  <si>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</si>
  <si>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</si>
  <si>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</si>
  <si>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</si>
  <si>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</si>
  <si>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</si>
  <si>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</si>
  <si>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</si>
  <si>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</si>
  <si>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</si>
  <si>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</si>
  <si>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</si>
  <si>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</si>
  <si>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</si>
  <si>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</si>
  <si>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</si>
  <si>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</si>
  <si>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</si>
  <si>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</si>
  <si>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</si>
  <si>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</si>
  <si>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</si>
  <si>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</si>
  <si>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</si>
  <si>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</si>
  <si>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</si>
  <si>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</si>
  <si>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</si>
  <si>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</si>
  <si>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</si>
  <si>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</si>
  <si>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</si>
  <si>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</si>
  <si>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</si>
  <si>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</si>
  <si>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</si>
  <si>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</si>
  <si>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</si>
  <si>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</si>
  <si>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</si>
  <si>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</si>
  <si>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</si>
  <si>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</si>
  <si>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</si>
  <si>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</si>
  <si>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</si>
  <si>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</si>
  <si>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</si>
  <si>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</si>
  <si>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</si>
  <si>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</si>
  <si>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</si>
  <si>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</si>
  <si>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</si>
  <si>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</si>
  <si>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</si>
  <si>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</si>
  <si>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</si>
  <si>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</si>
  <si>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</si>
  <si>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</si>
  <si>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</si>
  <si>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</si>
  <si>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</si>
  <si>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</si>
  <si>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</si>
  <si>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</si>
  <si>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</si>
  <si>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</si>
  <si>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</si>
  <si>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</si>
  <si>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</si>
  <si>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</si>
  <si>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</si>
  <si>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</si>
  <si>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</si>
  <si>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</si>
  <si>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</si>
  <si>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</si>
  <si>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</si>
  <si>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</si>
  <si>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</si>
  <si>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</si>
  <si>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</si>
  <si>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</si>
  <si>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</si>
  <si>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</si>
  <si>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</si>
  <si>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</si>
  <si>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</si>
  <si>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</si>
  <si>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</si>
  <si>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</si>
  <si>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</si>
  <si>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</si>
  <si>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</si>
  <si>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</si>
  <si>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</si>
  <si>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</si>
  <si>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</si>
  <si>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</si>
  <si>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</si>
  <si>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</si>
  <si>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</si>
  <si>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</si>
  <si>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</si>
  <si>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</si>
  <si>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</si>
  <si>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</si>
  <si>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</si>
  <si>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</si>
  <si>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</si>
  <si>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</si>
  <si>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</si>
  <si>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</si>
  <si>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</si>
  <si>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</si>
  <si>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</si>
  <si>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</si>
  <si>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</si>
  <si>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</si>
  <si>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</si>
  <si>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</si>
  <si>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</si>
  <si>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</si>
  <si>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</si>
  <si>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recurso</t>
  </si>
  <si>
    <t>TOPES PARA REINTEGRO  AÑO 2021</t>
  </si>
  <si>
    <t>MENOS GASTOS CAJA MENOR 2021</t>
  </si>
  <si>
    <t>Mantenimiento preventivo y correctivo del sistema eléctrico del edificio red y equipos (subestación, cuartos eléctricos y centro de cómputo) Linea 26</t>
  </si>
  <si>
    <t xml:space="preserve">SELECCIÓN ABREVIADA DE MENOR CUANTÍA </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</si>
  <si>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</si>
  <si>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</si>
  <si>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</si>
  <si>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</si>
  <si>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</si>
  <si>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</si>
  <si>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</si>
  <si>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</si>
  <si>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</si>
  <si>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</si>
  <si>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</si>
  <si>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</si>
  <si>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</si>
  <si>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</si>
  <si>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</si>
  <si>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</si>
  <si>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</si>
  <si>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</si>
  <si>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</si>
  <si>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</si>
  <si>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</si>
  <si>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</si>
  <si>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</si>
  <si>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</si>
  <si>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</si>
  <si>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</si>
  <si>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</si>
  <si>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</si>
  <si>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</si>
  <si>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</si>
  <si>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</si>
  <si>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</si>
  <si>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</si>
  <si>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</si>
  <si>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</si>
  <si>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</si>
  <si>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</si>
  <si>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</si>
  <si>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</si>
  <si>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</si>
  <si>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</si>
  <si>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</si>
  <si>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</si>
  <si>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</si>
  <si>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</si>
  <si>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</si>
  <si>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</si>
  <si>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</si>
  <si>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</si>
  <si>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</si>
  <si>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</si>
  <si>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</si>
  <si>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</si>
  <si>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</si>
  <si>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</si>
  <si>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</si>
  <si>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</si>
  <si>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</si>
  <si>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</si>
  <si>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</si>
  <si>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</si>
  <si>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</si>
  <si>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</si>
  <si>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</si>
  <si>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</si>
  <si>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</si>
  <si>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</si>
  <si>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</si>
  <si>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</si>
  <si>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</si>
  <si>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</si>
  <si>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</si>
  <si>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</si>
  <si>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</si>
  <si>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</si>
  <si>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</si>
  <si>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</si>
  <si>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</si>
  <si>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</si>
  <si>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</si>
  <si>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</si>
  <si>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</si>
  <si>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</si>
  <si>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</si>
  <si>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</si>
  <si>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</si>
  <si>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</si>
  <si>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</si>
  <si>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</si>
  <si>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</si>
  <si>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</si>
  <si>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</si>
  <si>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</si>
  <si>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</si>
  <si>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</si>
  <si>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</si>
  <si>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</si>
  <si>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</si>
  <si>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</si>
  <si>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</si>
  <si>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</si>
  <si>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</si>
  <si>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</si>
  <si>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</si>
  <si>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</si>
  <si>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</si>
  <si>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</si>
  <si>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</si>
  <si>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</si>
  <si>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</si>
  <si>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</si>
  <si>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</si>
  <si>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</si>
  <si>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</si>
  <si>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</si>
  <si>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</si>
  <si>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</si>
  <si>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</si>
  <si>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</si>
  <si>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</si>
  <si>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</si>
  <si>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</si>
  <si>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</si>
  <si>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</si>
  <si>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</si>
  <si>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</si>
  <si>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</si>
  <si>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</si>
  <si>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</si>
  <si>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</si>
  <si>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</si>
  <si>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</si>
  <si>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</si>
  <si>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</si>
  <si>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</si>
  <si>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</si>
  <si>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</si>
  <si>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</si>
  <si>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</si>
  <si>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</si>
  <si>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</si>
  <si>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</si>
  <si>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</si>
  <si>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</si>
  <si>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</si>
  <si>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</si>
  <si>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</si>
  <si>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</si>
  <si>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</si>
  <si>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</si>
  <si>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</si>
  <si>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</si>
  <si>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</si>
  <si>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</si>
  <si>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</si>
  <si>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</si>
  <si>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</si>
  <si>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</si>
  <si>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</si>
  <si>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</si>
  <si>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</si>
  <si>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</si>
  <si>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</si>
  <si>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</si>
  <si>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</si>
  <si>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</si>
  <si>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</si>
  <si>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</si>
  <si>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</si>
  <si>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</si>
  <si>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</si>
  <si>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</si>
  <si>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</si>
  <si>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</si>
  <si>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</si>
  <si>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</si>
  <si>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</si>
  <si>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</si>
  <si>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</si>
  <si>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</si>
  <si>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</si>
  <si>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</si>
  <si>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</si>
  <si>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</si>
  <si>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</si>
  <si>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</si>
  <si>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</si>
  <si>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</si>
  <si>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</si>
  <si>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</si>
  <si>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</si>
  <si>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</si>
  <si>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</si>
  <si>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</si>
  <si>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</si>
  <si>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</si>
  <si>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</si>
  <si>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</si>
  <si>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</si>
  <si>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</si>
  <si>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</si>
  <si>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</si>
  <si>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</si>
  <si>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</si>
  <si>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</si>
  <si>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</si>
  <si>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</si>
  <si>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</si>
  <si>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</si>
  <si>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</si>
  <si>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</si>
  <si>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</si>
  <si>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</si>
  <si>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</si>
  <si>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</si>
  <si>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</si>
  <si>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</si>
  <si>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</si>
  <si>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</si>
  <si>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</si>
  <si>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</si>
  <si>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</si>
  <si>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</si>
  <si>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</si>
  <si>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</si>
  <si>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</si>
  <si>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</si>
  <si>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</si>
  <si>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</si>
  <si>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</si>
  <si>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</si>
  <si>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</si>
  <si>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</si>
  <si>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</si>
  <si>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</si>
  <si>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</si>
  <si>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</si>
  <si>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</si>
  <si>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</si>
  <si>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</si>
  <si>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</si>
  <si>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</si>
  <si>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</si>
  <si>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</si>
  <si>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</si>
  <si>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</si>
  <si>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</si>
  <si>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</si>
  <si>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</si>
  <si>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</si>
  <si>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</si>
  <si>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</si>
  <si>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</si>
  <si>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</si>
  <si>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</si>
  <si>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</si>
  <si>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</si>
  <si>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</si>
  <si>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</si>
  <si>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</si>
  <si>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</si>
  <si>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</si>
  <si>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</si>
  <si>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</si>
  <si>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</si>
  <si>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</si>
  <si>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</si>
  <si>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</si>
  <si>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</si>
  <si>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</si>
  <si>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</si>
  <si>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</si>
  <si>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</si>
  <si>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</si>
  <si>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</si>
  <si>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</si>
  <si>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</si>
  <si>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</si>
  <si>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</si>
  <si>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</si>
  <si>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</si>
  <si>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</si>
  <si>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</si>
  <si>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</si>
  <si>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</si>
  <si>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</si>
  <si>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</si>
  <si>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</si>
  <si>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</si>
  <si>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</si>
  <si>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</si>
  <si>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</si>
  <si>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</si>
  <si>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</si>
  <si>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</si>
  <si>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</si>
  <si>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</si>
  <si>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</si>
  <si>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</si>
  <si>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</si>
  <si>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</si>
  <si>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</si>
  <si>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</si>
  <si>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</si>
  <si>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</si>
  <si>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</si>
  <si>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</si>
  <si>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</si>
  <si>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</si>
  <si>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</si>
  <si>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</si>
  <si>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</si>
  <si>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</si>
  <si>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</si>
  <si>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</si>
  <si>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</si>
  <si>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</si>
  <si>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</si>
  <si>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</si>
  <si>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</si>
  <si>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</si>
  <si>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</si>
  <si>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</si>
  <si>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</si>
  <si>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</si>
  <si>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</si>
  <si>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</si>
  <si>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</si>
  <si>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</si>
  <si>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</si>
  <si>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</si>
  <si>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</si>
  <si>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</si>
  <si>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</si>
  <si>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</si>
  <si>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</si>
  <si>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</si>
  <si>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</si>
  <si>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</si>
  <si>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</si>
  <si>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</si>
  <si>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</si>
  <si>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</si>
  <si>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</si>
  <si>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</si>
  <si>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</si>
  <si>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</si>
  <si>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</si>
  <si>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</si>
  <si>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</si>
  <si>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</si>
  <si>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</si>
  <si>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</si>
  <si>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</si>
  <si>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</si>
  <si>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</si>
  <si>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</si>
  <si>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</si>
  <si>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</si>
  <si>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</si>
  <si>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</si>
  <si>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</si>
  <si>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</si>
  <si>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</si>
  <si>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</si>
  <si>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</si>
  <si>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</si>
  <si>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</si>
  <si>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</si>
  <si>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</si>
  <si>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</si>
  <si>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</si>
  <si>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</si>
  <si>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</si>
  <si>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</si>
  <si>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</si>
  <si>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</si>
  <si>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</si>
  <si>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</si>
  <si>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</si>
  <si>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</si>
  <si>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</si>
  <si>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</si>
  <si>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</si>
  <si>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</si>
  <si>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</si>
  <si>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</si>
  <si>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</si>
  <si>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</si>
  <si>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</si>
  <si>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</si>
  <si>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</si>
  <si>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</si>
  <si>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</si>
  <si>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</si>
  <si>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</si>
  <si>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</si>
  <si>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</si>
  <si>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</si>
  <si>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</si>
  <si>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</si>
  <si>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</si>
  <si>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</si>
  <si>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</si>
  <si>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</si>
  <si>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</si>
  <si>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</si>
  <si>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</si>
  <si>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</si>
  <si>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</si>
  <si>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</si>
  <si>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</si>
  <si>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</si>
  <si>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</si>
  <si>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</si>
  <si>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</si>
  <si>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</si>
  <si>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</si>
  <si>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</si>
  <si>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</si>
  <si>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</si>
  <si>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</si>
  <si>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</si>
  <si>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</si>
  <si>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</si>
  <si>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</si>
  <si>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</si>
  <si>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</si>
  <si>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</si>
  <si>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</si>
  <si>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</si>
  <si>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</si>
  <si>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</si>
  <si>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</si>
  <si>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</si>
  <si>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</si>
  <si>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</si>
  <si>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</si>
  <si>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</si>
  <si>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</si>
  <si>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</si>
  <si>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</si>
  <si>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</si>
  <si>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</si>
  <si>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</si>
  <si>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</si>
  <si>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</si>
  <si>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</si>
  <si>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</si>
  <si>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</si>
  <si>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</si>
  <si>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</si>
  <si>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</si>
  <si>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</si>
  <si>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</si>
  <si>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</si>
  <si>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</si>
  <si>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</si>
  <si>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</si>
  <si>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</si>
  <si>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</si>
  <si>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</si>
  <si>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</si>
  <si>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</si>
  <si>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</si>
  <si>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</si>
  <si>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 xml:space="preserve">Minima Cuantía </t>
  </si>
  <si>
    <t>81111500
81111800</t>
  </si>
  <si>
    <t>Pruebas de carga y estrés LINEA PAA No 279</t>
  </si>
  <si>
    <t>Dotacion industrial para el personal de la entidad - EPP.  LINEA PAA No  278</t>
  </si>
  <si>
    <t>46181700
42271600
46181500
46181600</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</si>
  <si>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</si>
  <si>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</si>
  <si>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</si>
  <si>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</si>
  <si>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</si>
  <si>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Reparación de filtraciones en la fachada principal y y paneles y muros aledaños, así como reparación por filtraciones y humedades en cubiertas de 8 y 10 piso LINEA PAA No 21</t>
  </si>
  <si>
    <t>Prestación de servicios profesionales LINEA PAA No 280</t>
  </si>
  <si>
    <t>NERIO JOSÉ ALVIS BARRANCO EXT. 901 nalvis@funcionpublica.gov.co</t>
  </si>
  <si>
    <t>Prestación de servicios profesionales   LINEA PAA No 283</t>
  </si>
  <si>
    <t>JULIAN MAURICIO MARTINEZ ALVARADO
COORDINADOR GRUPO GESTIÓN ADMINISTRATIVA</t>
  </si>
  <si>
    <t>JAIME ANDRES GONZALEZ MEJIA
SECRETARIO GENERAL</t>
  </si>
  <si>
    <t>Publicación de Edictos y convocatorias del Departamento Administrativo de la Función Pública en un diario de amplia circulación Nacional  LINEA PAA No 281</t>
  </si>
  <si>
    <t>Prestación de servicios profesionales   LINEA PAA No 282</t>
  </si>
  <si>
    <t>224-2021</t>
  </si>
  <si>
    <t>COMPAÑÍA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</si>
  <si>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</si>
  <si>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</si>
  <si>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veinte (20) de noviembre del 2021, de
conformidad con lo estipulado por el Acuerdo Marco de Precios de Colombia Compra
Eficiente.</t>
  </si>
  <si>
    <t>EDWIN SÁNCHEZ ROZO</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</si>
  <si>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</si>
  <si>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</si>
  <si>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</si>
  <si>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</si>
  <si>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</si>
  <si>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234-2021</t>
  </si>
  <si>
    <t>COLOMBIANA DE COMERCIO S.A Y/O ALKOSTO S.A</t>
  </si>
  <si>
    <t>Adquisición de dos (2) calefactores portátiles para las salas de juntas y de reuniones del edificio sede de Función Pública, conforme a las condiciones técnicas establecidas en el presente documento.</t>
  </si>
  <si>
    <t>Función Pública pagará el valor del contrato en un (1) solo pago, dentro de los treinta (30) días calendario siguientes a la presentación de la factura electrónica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</si>
  <si>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</si>
  <si>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</si>
  <si>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</si>
  <si>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</si>
  <si>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</si>
  <si>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</si>
  <si>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</si>
  <si>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229-2021</t>
  </si>
  <si>
    <t>SOCIEDAD HOTELERA TEQUENDAMA S.A.</t>
  </si>
  <si>
    <t>Prestar servicios logísticos para la planificación, organización, operación, producción y coordinación de eventos, ferias virtuales y presenciales y/o actividades relacionadas, requeridos por Función Pública en la vigencia 2021.</t>
  </si>
  <si>
    <t>Función Pública desembolsará el valor del contrato así:
a. Un pago anticipado por valor de DOSCIENTOS UN MILLON NOVECIENTOS CINCUENTA MIL SEISCIENTOS CUARENTA Y NUEVE ($201.950.649)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correspondiente, así como el certificado de cumplimiento firmado por el supervisar,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</si>
  <si>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Hasta el día 21 de diciembre de 2021, contado a partir del perfeccionamiento del mismo, expedición del registro presupuestal y la aprobación de las garantías.</t>
  </si>
  <si>
    <t>CPS-232-2021</t>
  </si>
  <si>
    <t>Prestar servicios profesionales en la Dirección General de Función Pública para preparar los insumos e informes requeridos por el Director, en desarrollo de su agenda y funciones propias, garantizando la permanente interacción y comunicación entre el Despacho, las dependencias del Departamento y otras entidades públicas del orden nacional y territorial.</t>
  </si>
  <si>
    <t>Función Pública cancelará el valor total del contrato en siete (07) pagos, así: a)	Un primer pago por valor de OCHOCIENTOS SETENTA MIL PESOS ($870.000) M/CTE), con corte al último día calendario del mes de junio de· 2021.
b)	Cinco (5) pagos mensuales, por valor de DOS MILLONES  NOVECIENTOS M,IL PESOS ($2.900.000) , con corte al último día calendario del correspondiente mes.
c)	Un  (1)  pago  a  la  finalización  del  contrato  por  la  suma  de  DOS  MILLONES TREINTA MIL PESOS ($2.030.000) M/CTE</t>
  </si>
  <si>
    <t>Hasta el día veinti.uno (21) de diciembre de 2021 perfeccionamiento del mismo, expedición del registro presupuestai y la activación de la ARL.</t>
  </si>
  <si>
    <t>SANTIAGO ARANGO CORRALES</t>
  </si>
  <si>
    <t>CPS-233-2021</t>
  </si>
  <si>
    <t>LILIANA MARGARITA DAZA MENDOZA</t>
  </si>
  <si>
    <t>Función Pública cancelará el valor total de cada contrato en siete (7) pagos, así:
a) Un primer pago por valor de DOS MILLONES DOSCIENTOS OCHENTA Y
CUATRO MIL CUATROCIENTOS OCHENTA PESOS ($2.284.480), con corte al
último día calendario del mes de junio de 2021.
b) Cinco (5)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t>
  </si>
  <si>
    <t>Hasta el día veinte (20) de diciembre de
2021, contado a partir del perfeccionamiento del mismo, expedición del registro
presupuestal y la activación de la ARL.</t>
  </si>
  <si>
    <t>228-2021</t>
  </si>
  <si>
    <t>COLSOFT</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</si>
  <si>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</si>
  <si>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</si>
  <si>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Hasta el veintiuno (21) de diciembre del 2021, de
conformidad con lo estipulado por el Acuerdo Marco de Precios de Colombia Compra
Eficiente.</t>
  </si>
  <si>
    <t>226-2021</t>
  </si>
  <si>
    <t>MEDIA COMMERCE PARTNERS SAS</t>
  </si>
  <si>
    <t>Contratar los servicios de conectividad e internet conforme a los requerimientos técnicos mínimos y demás requisitos definidos por Función Pública en el simulador del Acuerdo Marco para la Prestación de Servicios de Conectividad III No. CCENEG-248-AMP-2020.</t>
  </si>
  <si>
    <t>Función Pública pagará el valor del Contrato, de conformidad con las condiciones estipuladas por Colombia Compra Eficiente en el Acuerdo Marco de Precios, para la contratación de los servicios en mensualidades venidas,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</si>
  <si>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treinta y uno (31) de julio de 2022, previa expedición del registro presupuestal, aprobación de garantías y acta de inicio.</t>
  </si>
  <si>
    <t>227-2021</t>
  </si>
  <si>
    <t>TCM TECNOLOGÍAS CON CLASE MUNDIAL</t>
  </si>
  <si>
    <t>Contratar la adquisición de los derechos de soporte técnico, actualización y mantenimiento de la herramienta de mesa de servicio "ProactivaNET", de propiedad de Función Pública, además de la adquisición de nuevas Licencias nominales, acorde a lo detallado en la Ficha Técnica</t>
  </si>
  <si>
    <t>Función Pública pagará el valor del contrato en un (1) único pago en pesos colombianos, previa entrega de la documentación del soporte para la entidad y el soporte para la bolsa de horas, donde se especifiquen las fechas de inicio y de fin del soporte, así como registrar en la plataforma del fabricante las nuevas licencias y entregar el soporte de las mismas para el trámite de ingreso al almacén.</t>
  </si>
  <si>
    <t>Será por un año, contado a partir de la fecha del acta de inicio, previo perfeccionamiento del mismo, expedición del registro presupuestal y aprobación de pólizas.</t>
  </si>
  <si>
    <t>ANDREA MARTÍNEZ CALVO</t>
  </si>
  <si>
    <t>230-2021</t>
  </si>
  <si>
    <t>LIMINA SOLUCIONES INTEGRALES SAS</t>
  </si>
  <si>
    <t>Adquirir los elementos de bioseguridad para la Función Pública, conforme a los lineamientos establecidos en el Instrumento de Agregación de Demanda - IAD Emergencia COVID-19.</t>
  </si>
  <si>
    <t>Hasta sesenta (60) días calendario, a partir del perfeccionamiento y registro presupuestal del contrato, de conformidad con lo estipulado en el Instrumento de Agregación de Demanda - IAD Emergencia COVID-19 de Colombia Compra Eficiente.</t>
  </si>
  <si>
    <t>231-2021</t>
  </si>
  <si>
    <t>BACET GROUP SAS</t>
  </si>
  <si>
    <t>GASTO</t>
  </si>
  <si>
    <t>SALDO POR COMPROMETER</t>
  </si>
  <si>
    <t>aseo $51.001</t>
  </si>
  <si>
    <t xml:space="preserve">consumo </t>
  </si>
  <si>
    <t>82101800
82101801
82111900
82111901
83121700
83121701
83121702
83121703</t>
  </si>
  <si>
    <t>Servicio de Monitoreos de medios de comunicacióny redes sociales. 
 LINEA PAA No 285</t>
  </si>
  <si>
    <t>Prestación de servicios profesionales para la DPTSC LINEA PAA No 286</t>
  </si>
  <si>
    <t>Prestación de servicios profesionales para la OTIC LINEA PAA No 288</t>
  </si>
  <si>
    <t>Prestación de servicios profesionales para la OTIC LINEA PAA No 289</t>
  </si>
  <si>
    <t>Prestación de servicios profesionales para la OTIC LINEA PAA No 290</t>
  </si>
  <si>
    <t>Prestación de servicios profesionales  para la OTIC LINEA PAA No 291</t>
  </si>
  <si>
    <t>Prestación de servicios profesionales  para la OAC LINEA PAA No 292</t>
  </si>
  <si>
    <t>Prestación de servicios profesionales  para la OAC LINEA PAA No 293</t>
  </si>
  <si>
    <t>ADRIANA VARGAS TAMAYO
gvargas@funcionpublica.gov.co EXT 600</t>
  </si>
  <si>
    <t>ÉDGAR PRIETO MUÑOZ
eprieto@funcionpublica.gov.co EXT 500</t>
  </si>
  <si>
    <t>Prestación de servicios de apoyo a la gestión para la DPTSC  LINEA PAA No 287</t>
  </si>
  <si>
    <t>235-2021</t>
  </si>
  <si>
    <t>VASS CONSULTORIA DE SISTEMA COLOMBIA S.A.S</t>
  </si>
  <si>
    <t>Contratar la renovación de la suscripción de las Licencias Liferay DXP, para los ambientes de producción y preproducción, en modalidad Gold, así como la configuración de la instalación actual de Liferay DXP en modo cluster, acorde a lo detallado en la Ficha Técnica.</t>
  </si>
  <si>
    <t>Función Pública pagará el valor del contrato en un (1) único pago en pesos colombianos, previa entrega del material que contenga la renovación de la suscripción de las Tres (3) Licencias Liferay DXP licencias, así : Dos (2) licencias de “Liferay DXP”, para ambiente de producción, y una (1) licencia de “Liferay DXP”, para ambiente de preproducción en modalidad Gold, la realización de la configuración de la instalación actual de Liferay DXP en modo clúster, la transferencia de conocimientos y la documentación solicitada para el trámite de ingreso al almacén.</t>
  </si>
  <si>
    <t>Será de un (1) año a partir de la fecha del acta de inicio y el registro de la suscripción en la plataforma del fabricante, previo perfeccionamiento del mismo, expedición del registro presupuestal y aprobación de pólizas, sin que haya lugar a ajustes por mayores o menores valores teniendo en cuenta que se pactó un único pago en el contrato, el plazo de ejecución es para efectos de la vigencia de la suscripción.</t>
  </si>
  <si>
    <t>ASTRID RUIZ ZAMUDIO</t>
  </si>
  <si>
    <t>45121520 
52161514</t>
  </si>
  <si>
    <t>241-2021</t>
  </si>
  <si>
    <t>INCOL INGENIERIA DE INSPECCION COLOMBIANA SAS</t>
  </si>
  <si>
    <t>Prestar el servicio de certificación de inspección y acreditación de acuerdo con la norma
técnica NTC 5926-1, de los dos ascensores del edificio sede de Función Pública.</t>
  </si>
  <si>
    <t>Función Pública pagará el valor del contrato en un (1) único pago, mediante acta de entrega,
previo cumplimiento de los controles preventivos y el cumplimiento de las obligaciones
establecidas en los presentes estudios previos, requeridos por la Entidad durante la ejecución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</si>
  <si>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Será de tres (3) meses, contados a partir del
perfeccionamiento del mismo, expedición del registro presupuestal y acta de inicio.</t>
  </si>
  <si>
    <t>242-2021</t>
  </si>
  <si>
    <t>PROINCOL JK SAS</t>
  </si>
  <si>
    <t>Adquisición e instalación del sistema de señalización y componentes para el edificio del
Departamento Administrativo de la Función Pública con el fin atender las necesidades de
accesibilidad.</t>
  </si>
  <si>
    <t>Función Pública pagará el valor del Contrato que resulte del proceso de selección, en un (1)
solo pago, dentro de los treinta (30) días calendario, previa presentación de la respectiva
factura electrónica, aprobación de la misma en el aplicativo Olimpia y expedición del formato
único de pago por parte del Supervisor del Contrato, sin que el monto total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</si>
  <si>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cuarenta y cinco (45) días calendario, contado a
partir del perfeccionamiento del mismo, expedición del registro presupuestal, aprobación de
garantía y firma del acta de inicio.</t>
  </si>
  <si>
    <t>244-2021</t>
  </si>
  <si>
    <t>CYL COMERCIO Y LOGISTICA INTEGRAL SAS</t>
  </si>
  <si>
    <t xml:space="preserve">Contratar la reconstrucción de los cuartos de acopio ubicados en el primer (1) piso de
Función Pública, incluido el suministro e instalación de materiales. 
</t>
  </si>
  <si>
    <t>CONTRATO DE OBRA</t>
  </si>
  <si>
    <t xml:space="preserve">Función Pública pagará el valor del Contrato, en un (1) único pago, a la entrega de la
perfecta reconstrucción de los cuartos de acopio, del informe final de ejecución del
contrato, el cual deberá ser avalado por el supervisor y del listado de materiales utilizados
en el desarrollo del objeto contractual, así como la ficha técnica de cada uno de ellos.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</si>
  <si>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de dos (2) meses, contados a partir de la
suscripción del acta de inicio, previo perfeccionamiento del mismo, expedición del registro
presupuestal y aprobación de garantías.</t>
  </si>
  <si>
    <t xml:space="preserve">Soporte técnico y mantenimiento preventivo y correctivo de los aires acondicionados del auditorio de la entidad.  LINEA PAA No 23 </t>
  </si>
  <si>
    <t>240-2021</t>
  </si>
  <si>
    <t>LA PREVISORA S.A.</t>
  </si>
  <si>
    <t>Adquirir la Póliza de Responsabilidad Civil de Vehículos del parque automotor de
Función Pública, según las especificaciones técnicas mínimas que se describen en
el presente documento.</t>
  </si>
  <si>
    <t>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</si>
  <si>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</si>
  <si>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30721</t>
  </si>
  <si>
    <t>239-2021</t>
  </si>
  <si>
    <t>UNION TEMPORAL DELL EMC</t>
  </si>
  <si>
    <t>Contratar la renovación de la herramienta Dynamics CRM (Customer Relationship Management) de Microsoft, así como el servicio de configuración y parametrización de los productos para modificaciones y ajustes requeridos en la operación,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</si>
  <si>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t>
  </si>
  <si>
    <t>Será de un (1) año, contado a partir de la activación de las licencias, previo cumplimiento de requisitos de perfeccionamiento, registro presupuestal y ejecución del contrato</t>
  </si>
  <si>
    <t>243-2021</t>
  </si>
  <si>
    <t>UT SOFTLINEBEX 2020</t>
  </si>
  <si>
    <t xml:space="preserve">Contratar la suscripción, adquisición de los productos y servicios Microsoft de conformidad con los lineamientos establecidos en el Instrumento de Agregación de Demanda para la adquisición de Software por Catálogo CCE-139-IAD-2020. </t>
  </si>
  <si>
    <t xml:space="preserve">Función Pública cancelará el valor total del contrato de la siguiente forma: 
Un (1) pago por el valor de las suscripciones, licencias y al consumo de las dos (2) horas de instalación previa presentación de la respectiva factura, expedición del certificado de recibido a satisfacción por parte del Supervisor del Contrato y el correspondiente certificado de ingreso al almacén.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</si>
  <si>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hasta el 15 de diciembre de 2021, previo perfeccionamiento del mismo, expedición del registro presupuestal.</t>
  </si>
  <si>
    <t xml:space="preserve">EVELIO LOPEZ SUAREZ </t>
  </si>
  <si>
    <t>245-2021</t>
  </si>
  <si>
    <t>SOFTWARE IT SAS</t>
  </si>
  <si>
    <t xml:space="preserve">Contratar la renovación de la suscripción anual de las Licencias de Adobe Creative Cloud for Teams suite completa que utiliza Función Pública de acuerdo a lo establecido en la Ficha Técnica </t>
  </si>
  <si>
    <t xml:space="preserve">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t>
  </si>
  <si>
    <t xml:space="preserve"> Será hasta el treinta y uno (31) de diciembre de 2021, previo perfeccionamiento del mismo y expedición del registro presupuestal. 
Nota: En todo caso la vigencia de la suscripción de las Licencias será de un (1) año contado a partir del 15 de agosto de 2021</t>
  </si>
  <si>
    <t>30621</t>
  </si>
  <si>
    <t>Prestación de servicios profesionales   LINEA OTIC PAA No 284</t>
  </si>
  <si>
    <t>Documentos de lineamientos técnicos</t>
  </si>
  <si>
    <t>CPS-238-2021</t>
  </si>
  <si>
    <t>PAULA ANDREA MORENO ALFONSO</t>
  </si>
  <si>
    <t>Prestar los servicios de apoyo a la gestión en la Dirección de Participación, Transparencia y Servicio al Ciudadano de Función Pública para apoyar el proceso identificación, recopilación y sistematización de información que aporte a la elaboración de los documentos técnicos a cargo de la dependencia, en cumplimiento a los compromisos del Plan Nacional de Desarrollo, la Ley 2016 de 2020, documentos CONPES y las acciones orientadas a fomentar la participación ciudadana en la gestión pública.</t>
  </si>
  <si>
    <t>Función Pública cancelará el valor total del contrato en SEIS (6) pagos, así:
a) Un primer pago por valor de QUINIENTOS TREINTA Y TRES MIL TRESCIENTOS TREINTA Y TRES PESOS ($533.333) M/CTE, con corte al último día calendario del mes de julio de 2021.
b) Cuatro (4) pagos mensuales por valor de DOS MILLONES DE PESOS ($2.000.000) M/CTE, con corte al último día calendario del correspondiente mes.
c) Un último pago por valor de UN MILLÓN CUATROCIENTOS SESENTA Y SEIS MIL SEISCIENTOS SESENTA Y SIETE PESOS ($1.466.667) M/CTE, con corte al 22 de diciembre de 2021.
Los pagos estarán sujetos a la presentación del informe de ejecución correspondiente, así como el cumplimiento de los productos que correspondan al periodo y la expedición del certificado de cumplimiento por parte del supervisor.</t>
  </si>
  <si>
    <t>Será hasta el día 22 de diciembre de 2021, contado a partir del perfeccionamiento del mismo, expedición del registro presupuestal y la activación de la ARL.</t>
  </si>
  <si>
    <t>Prestación de servicios profesionales en la Subdirección LINEA PAA No 294</t>
  </si>
  <si>
    <t>Daniel Araujo Campo &lt;daraujo@funcionpublica.gov.co&gt;</t>
  </si>
  <si>
    <t>Prestación de servicios profesionales en la Subdirección LINEA PAA No 295</t>
  </si>
  <si>
    <t>Prestación de servicios profesionales en la Oficina Asesora de Comunicaciones LINEA PAA No 296</t>
  </si>
  <si>
    <t>43211500
43222625
43211501</t>
  </si>
  <si>
    <t>Equipo servidor para controlador de Dominio LINEA PAA No 297</t>
  </si>
  <si>
    <t>MININA CUANTÍA</t>
  </si>
  <si>
    <t>Renovación Switches y red wi-fi LINEA PAA No 298</t>
  </si>
  <si>
    <t>Subasta inversa</t>
  </si>
  <si>
    <t>UPS 3KVA para los centros de cableado LINEA PAA No 299</t>
  </si>
  <si>
    <t>Mínima cuantía</t>
  </si>
  <si>
    <t>43211500
43211600
43211503
43211507
43211515</t>
  </si>
  <si>
    <t>Renovación de equipos de cómputo LINEA PAA No 300</t>
  </si>
  <si>
    <t>Renovación de dispositivos para cubrimiento de eventos LINEA PAA No 301</t>
  </si>
  <si>
    <t>Prestación de servicios profesionales OTIC  LINEA PAA No 302</t>
  </si>
  <si>
    <t>Prestación de servicios profesionales  OTIC  LINEA PAA No 303</t>
  </si>
  <si>
    <t>Prestación de servicios profesionales  OTIC  LINEA PAA No 304</t>
  </si>
  <si>
    <t>Prestación de servicios de apoyo a la gestión   OTIC LINEA PAA No 305</t>
  </si>
  <si>
    <t>GRUPO GESTIÓN ADMINISTRATIVA</t>
  </si>
  <si>
    <t>Planta eléctrica para el edificio sede 500 kva   LINEA PAA No 306</t>
  </si>
  <si>
    <t>Adquisición de periféricos para computadores de la entidad LINEA PAA No 307</t>
  </si>
  <si>
    <t>Prestación de servicios profesionales para la Secretaría General LINEA PAA No 308</t>
  </si>
  <si>
    <t>Jaime Andrés González Mejía jmgonzalez@funcionpublica.gov.co</t>
  </si>
  <si>
    <t>Prestación de servicios profesionales para la Secretaría General LINEA PAA No 309</t>
  </si>
  <si>
    <t>Prestación de servicios profesionales para la Secretaría General LINEA PAA No 310</t>
  </si>
  <si>
    <t>Prestación de servicios profesionales DJ LINEA PAA No 311</t>
  </si>
  <si>
    <t>43222503
81111801
81111808</t>
  </si>
  <si>
    <t>Solución de Seguridad de la Información LINEA PAA No. 312</t>
  </si>
  <si>
    <t>251-2021</t>
  </si>
  <si>
    <t>249-2021</t>
  </si>
  <si>
    <t>246-2021</t>
  </si>
  <si>
    <t>NOVIEMBRE</t>
  </si>
  <si>
    <t xml:space="preserve">48101909
48101500
</t>
  </si>
  <si>
    <t>43212105
43212110</t>
  </si>
  <si>
    <t>Adquisición de bienes para el bienestar de los servidores públicos de la entidad.  LINEA PAA No 313</t>
  </si>
  <si>
    <t>Motobomba eléctrica para tanque de aguas negras del edificio sede. Linea 315</t>
  </si>
  <si>
    <t>Adquisición  de la Papelería, utiles de escritorio y Oficina para el uso de las dependencias de la Función Pública.GGDE: Rollo cinta térmica Datamax mclass)   LINEA PAA No 2</t>
  </si>
  <si>
    <t>Impresora laser a  color para centro de copiado Linea 314</t>
  </si>
  <si>
    <t xml:space="preserve">43222600	</t>
  </si>
  <si>
    <t>32101622 
43202000
45121504
45121516
45121601
45121602 
45121603
52161520
52161554</t>
  </si>
  <si>
    <t>43222500
81111800</t>
  </si>
  <si>
    <t>Prestación de servicios profesionales para la OAC LINEA 316</t>
  </si>
  <si>
    <t>Prestación de servicios profesionales para la OAC LINEA 317</t>
  </si>
  <si>
    <t>Prestación de servicios profesionales para la OTIC LINEA 318</t>
  </si>
  <si>
    <t>Adquirir pines de evaluación metritocrática LINEA 319</t>
  </si>
  <si>
    <t>FRANCISCO AMÉZQUITA
famezquita@funcionpublica.gov.co</t>
  </si>
  <si>
    <t>Prestación de servicios profesionales para la Dirección Jurídica LINEA 320</t>
  </si>
  <si>
    <t>247-2021</t>
  </si>
  <si>
    <t>COMPENSAR</t>
  </si>
  <si>
    <t>Contratar la prestación de servicios de apoyo al Grupo de Gestión Humana en el desarrollo de las actividades relacionadas con la ejecución de las líneas estratégicas de Talento Humano y de los programas de Bienestar Social Laboral e Incentivos con el propósito de fortalecer el clima laboral, la cultura organizacional y la calidad de vida de los servidores del Departamento Administrativo de la Función Pública.</t>
  </si>
  <si>
    <t>Función Pública pagará el valor del contrato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</si>
  <si>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Hasta el diez (10) de diciembre de 2021, contados a partir del perfeccionamiento del mismo, expedición del registro presupuestal y aprobación de garantías.</t>
  </si>
  <si>
    <t>256-2021</t>
  </si>
  <si>
    <t>CENCOSUD COLOMBIA  S.A.</t>
  </si>
  <si>
    <t>Adquirir un congelador de puerta frontal destinado a la sala de lactancia para uso de las
servidoras y contratistas del Departamento Administrativo de la Función Pública.</t>
  </si>
  <si>
    <t>Función Pública pagará el valor del contrato en un (1) solo pago, por un valor estimado de DOS MILLONES DE PESOS ($2.000.000)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</si>
  <si>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Será de treinta (30) días calendario,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diez (10) días calendario, siguientes al perfeccionamiento del contrato.</t>
  </si>
  <si>
    <t>MAYERLY ALEJANDRA FRANCO CELY</t>
  </si>
  <si>
    <t>260-2021</t>
  </si>
  <si>
    <t>SOFTWARE COLOMBIA SERVICIOS INFORMATICOS SAS</t>
  </si>
  <si>
    <t>Contratar la suscripción a una bolsa para el envío de correo masivos con su respectivo soporte, con seguimiento y difusión de información, así como la transferencia de conocimientos, acorde a lo detallado en la Ficha Técnica.</t>
  </si>
  <si>
    <t>Función Pública pagará el valor del contrato en un (1) único pago en pesos colombianos, previa entrega de la suscripción, a la entrega del cronograma para la transferencia de conocimientos y los usuarios para acceso a la plataforma.
El Departamento Administrativo de la Función Pública realizará el pago, previa presentación de la respectiva factura electrónica, aprobación de la misma en el aplicativo Olimpia y expedición del formato único de pago por parte del Supervisor del Contrato, sin que el monto total de los servicios pueda exceder la cuantía total del contrato.</t>
  </si>
  <si>
    <t>Un (1) año o hasta agotar la bolsa de correo, lo que ocurra primero a partir de la fecha del acta de inicio y la activación de la suscripción en la plataforma prevista, previo perfeccionamiento del mismo, expedición del registro presupuestal y aprobación de pólizas.</t>
  </si>
  <si>
    <t>ANDREA MARTÍNEZ CALVO - GABRIELA ROSALIA OSORIO VALDERRAMA OAC</t>
  </si>
  <si>
    <t>250-2021</t>
  </si>
  <si>
    <t>Adquirir el licenciamiento del módulo recobro de Incapacidades de KACTUS HCM, servicio
de mantenimiento, soporte anual y bolsa de horas para implementación y transferencia de
conocimientos.</t>
  </si>
  <si>
    <t>Función Pública cancelará el valor total del contrato en cuatro pagos así:
a) Un primer pago por valor de CINCUENTA Y CINCO MILLONES DOSCIENTOS
NOVENTA Y NUEVE MIL TRESCIENTOS TREINTA Y SIETE PESOS
($55.299.337) M/CTE IVA incluido y demás impuestos, equivalente a Licencia
Modulo Recobro de Incapacidades de KACTUS HCM, una vez cumplidos los
requisitos de ejecución del contrato, previa entrega del Licenciamiento para el
módulo de Módulo de Recobro de Incapacidades Aplicativo KACTUS HCM.
b) Un segundo pago al finalizar la implementación, equivalente al número de horas
consumidas y la transferencia de conocimientos del Módulo Recobro de
Incapacidades que sean correspondientes al consumo, a razón de CIENTO
NOVENTA Y TRES MIL CUATROSCIENTOS SESENTA Y CINCO PESOS CON
CUARENTA Y CUATRO CENTAVOS ($ 193.465,44) M/CTE IVA INCLUIDO, la
hora.
c) Un tercer (3) pago por valor de ONCE MILLONES CINCUENTA Y NUEVE MIL
OCHOCIENTOS SESENTA Y SIETE PESOS ($11.059.867) M/CTE IVA incluido y
demás impuestos, correspondiente al mantenimiento y soporte anual una vez se
entregue el módulo en ambiente productivo del Módulo Recobro de Incapacidades
de KACTUS HCM,
d) Un cuarto (4) y último pago equivalente al número de horas restantes de la
Implementación del Módulo de Recobro de Incapacidades, que sean consumidas
hasta el 21 de diciembre de 2021, previa entrega de un (1) informe final que dé
cuenta del cumplimiento integral del Contrato y los demás informes que hayan sido solicitados por la Entidad en la ejecución, como requisito para el respectivo pago a
razón de CIENTO NOVENTA Y TRES MIL CUATROSCIENTOS SESENTA Y
CINCO PESOS CON CUARENTA Y CUATRO CENTAVOS ($ 193.465,44) M/CTE
IVA INCLUIDO, la hora, sin superar el total de cien (100) horas de la Bolsa. En caso
de no consumir la totalidad de las horas se liberará el valor sobrante.
Lo anterior, previa presentación del certificado de cumplimiento del contratista firmado por
el supervisor, sin que el monto total de los servicios prestados pueda exceder la cuantía
total del contrato.</t>
  </si>
  <si>
    <t>Hasta el 21 de diciembre de 2021, desde la
expedición del registro presupuestal, aprobación de la garantía y la firma del acta de inicio.</t>
  </si>
  <si>
    <t>ORLANDO MATEUS LÓPEZ - LUIS ALEJANDRO BEJARANO NOVOA</t>
  </si>
  <si>
    <t>262-2021</t>
  </si>
  <si>
    <t>INGEAL S.A.</t>
  </si>
  <si>
    <t>Contratar la revitalización del equipo UPS APC Symetra de propiedad de Función Pública y la garantía extendida de fábrica y el soporte para dicho equipo, acorde a lo detallado en la Ficha Técnica</t>
  </si>
  <si>
    <t>Función Pública pagará el valor del contrato en un (1) único pago en pesos colombianos, previa entrega de la UPS revitalizada y la documentación de la garantía extendida y soporte para la entidad hasta el 31 de diciembre de 2022, y el trámite de ingreso al almacén. (En cumplimiento cronograma establecido, entrega y recibo a satisfacción de parte del supervisor)</t>
  </si>
  <si>
    <t>Hasta el 31 de diciembre del 2021, contado a partir de la fecha del acta de inicio, previo perfeccionamiento del mismo, expedición del registro presupuestal y aprobación de pólizas.</t>
  </si>
  <si>
    <t>261-2021</t>
  </si>
  <si>
    <t>SIGLO DATA SAS</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</si>
  <si>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</si>
  <si>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t>
  </si>
  <si>
    <t>Hasta veinticuatro (24) de diciembre de 2021 y/o hasta agotar el presupuesto, lo que primero ocurra. El plazo inicia a partir del perfeccionamiento del contrato, expedición del registro presupuestal y aprobación de pólizas</t>
  </si>
  <si>
    <t>CPS-254-2021</t>
  </si>
  <si>
    <t>CINDY LORENA PEREZ LOPEZ</t>
  </si>
  <si>
    <t>Prestar los servicios profesionales en la Dirección de Participación, Transparencia y Servicio al Ciudadano de Función Pública, para apoyar el desarrollo, socialización y seguimiento de lineamientos e instrumentos que permitan la articulación de las acciones requeridas para incorporar el enfoque de Estado abierto como eje de las políticas a cargo de la Dirección.</t>
  </si>
  <si>
    <t>Función Pública cancelará el valor total del contrato en CUATRO (4) pagos, así:
a) Tres (3) pagos mensuales por valor de OCHO MILLONES OCHOCIENTOS MIL PESOS ($8.800.000) M/CTE, con corte al último día calendario del correspondiente mes.
b) Un último pago por valor de CINCO MILLONES OCHOCIENTOS SESENTA Y SEIS MIL SEISCIENTOS SESENTA Y SEIS PESOS ($5´866.666) M/CTE, con corte al 20 de diciembre de 2021.
Los pagos estarán sujetos a la presentación del informe de ejecución correspondiente, así como el cumplimiento de los productos que correspondan al periodo y la expedición del certificado de cumplimiento por parte del supervisor.</t>
  </si>
  <si>
    <t>Hasta el día 20 de diciembre de 2021, contado a partir del perfeccionamiento del mismo, expedición del registro presupuestal y la activación de la ARL.</t>
  </si>
  <si>
    <t>CPS-263-2021</t>
  </si>
  <si>
    <t>EDWIN JAVIER DIAZ BLANCO</t>
  </si>
  <si>
    <t>Prestar servicios profesionales en la Oficina de Tecnologías de la Información y las Comunicaciones de Función Pública para apoyar el desarrollo, implementación, soporte y mantenimiento permanentes de los componentes tecnológicos en lenguaje PHP que se requieran en el marco del proyecto de rediseño de la Red de Servidores Públicos.</t>
  </si>
  <si>
    <t>Función Pública cancelará el valor total de cada contrato en cuatro (4) pagos, así: a) Un (1) primer pago el último día calendario del mes de septiembre de septiembre por valor de DOS MILLONES QUINIENTOS MIL ($ 2.500.000), Incluido IVA.
b) Dos (2) pagos mensuales por valor de SIETE MILLONES QUINIENTOS MIL PESOS MCTE ($7.500.000) incluido IVA, con corte al último día calendario del correspondiente a los meses de octubre y noviembre.
c) Un (1) pago a la finalización del contrato por la suma de CINCO MILLONES DE PESOS MCTE ($5.000.000) incluido IVA, con corte al último día de prestación de servicio del mes de diciembre.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</si>
  <si>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CPS-264-2021</t>
  </si>
  <si>
    <t>AUGUSTO ALBERTO DAVID MEZA</t>
  </si>
  <si>
    <t>Prestar servicios profesionales en la Oficina de Tecnologías de la Información y las Comunicaciones de Función Pública para apoyar la implementación de cursos que se requieran en el marco del proyecto de la Red de Servidores Públicos y el soporte y mantenimiento de la plataforma Moodle.</t>
  </si>
  <si>
    <t>Función Pública cancelará el valor total del contrato en tres (3) pagos, así:
a) Un (1) pago inicial por la suma de DOS MILLONES DE PESOS ($2.000.000) M/CTE, corte al último día calendario del correspondiente mes de septiembre
b) Dos (2) pagos por SEIS MILLONES DE PESOS ($6.000.000) M/CTE, con corte al último día calendario de los meses de octubre y noviembre.
Los pagos estarán sujetos a la presentación del informe de ejecución correspondiente, así como el cumplimiento de los productos que correspondan al periodo y la expedición del certificado de cumplimiento por parte del supervisor.</t>
  </si>
  <si>
    <t>Hasta el día treinta (30) de noviembre de 2021, contado a partir del perfeccionamiento del mismo, expedición del registro presupuestal y la activación de la ARL.</t>
  </si>
  <si>
    <t>CPS-248-2021</t>
  </si>
  <si>
    <t>EDUARDO ARANGO TRUJILLO</t>
  </si>
  <si>
    <t>Prestar servicios profesionales en la Subdirección de Función Pública para apoyar labores de seguimiento a la gestión institucional, acompañamiento al procedimiento de instrumentalización de las políticas a cargo de la entidad, y en el seguimiento al producto de “documentos normativos” del proyecto de inversión de políticas</t>
  </si>
  <si>
    <t xml:space="preserve"> Función Pública cancelará el valor total de cada contrato en cinco (5) pagos, así: 
a) Un primer pago por valor de UN MILLÓN DE PESOS ($1.000.000) M/CTE, con corte al último día calendario del mes de agosto de 2021. 
b) Tres (3) pagos mensuales por valor de SIETE MILLONES QUINIENTOS MIL PESOS ($7.500.000) M/CTE, con corte al último día calendario del correspondiente mes. 
c) Un (1) pago a la finalización del contrato por la suma de CUATRO MILLONES QUINIENTOS MIL PESOS ($4.500.000)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t>
  </si>
  <si>
    <t xml:space="preserve">El plazo de ejecución del contrato será hasta el día dieciocho (18) de diciembre de 2021, contado a partir del perfeccionamiento del mismo, expedición del registro presupuestal y la activación de la ARL. </t>
  </si>
  <si>
    <t>SARA PAOLA OROZCO</t>
  </si>
  <si>
    <t>CPS-257-2021</t>
  </si>
  <si>
    <t>NARCY AURISTELA ISCALA TOBITO</t>
  </si>
  <si>
    <t>Prestar servicios profesionales en la Oficina de Tecnologías de la Información y las Comunicaciones de Función Pública, para apoyar el soporte, la verificación de la documentación de los Sistema de Información y las pruebas de los sistemas SUIT 4.0, SIGEP II, FURAG 3.0, y demás sistemas que le sean asignados.</t>
  </si>
  <si>
    <t>Función Pública cancelará el valor total de cada contrato en cuatro (4) pagos, así:
a) Tres (3) pagos mensuales, por valor de SEIS MILLONES CUATROCIENTOS SESENTA MIL NOVECIENTOS VEINTICINCO PESOS ($ 6.460.925) M/CTE, con corte al último día calendario del correspondiente mes.
b)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</si>
  <si>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OIRIS OLMOS SOSA</t>
  </si>
  <si>
    <t>CPS-259-2021</t>
  </si>
  <si>
    <t>LUZ OMAIRA ARDILA MEJIA</t>
  </si>
  <si>
    <t>Prestar servicios profesionales en la Oficina de Tecnologías de la información y las Comunicaciones de Función Pública, para apoyar las actividades relacionadas con la migración de datos de SIGEP I a SIGEP II y apoyar la estabilización de este último sistema</t>
  </si>
  <si>
    <t>Función Pública cancelará el valor total de cada contrato en CUATRO (4) pagos, así:
a) Un primer pago por valor de SEIS MILLONES NOVECIENTOS OCHENTA Y TRES MIL CUATROCIENTOS CUARENTA Y OCHO PESOS ($6’983.448) M/CTE
b) Dos (2) pagos mensuales, por valor de NUEVE MILLONES CIENTO OCHO MIL OCHOCIENTOS CUARENTA Y CINCO PESOS ($9’108.845) M/CTE, con corte al último día calendario del correspondiente mes.
c) Un (1) pago a la finalización del contrato por la suma de SEIS MILLONES SETENTA Y DOS MIL QUINIENTOS SESENTA Y TRES PESOS ($ 6.072.563) M/CTE.
Los pagos estarán sujetos a la presentación del informe de ejecución correspondiente, así como el cumplimiento de los productos que correspondan al periodo y la expedición del certificado de cumplimiento por parte del supervisor.</t>
  </si>
  <si>
    <t>CPS-252-2021</t>
  </si>
  <si>
    <t>JOSE MANUEL ERASO JURADO</t>
  </si>
  <si>
    <t>Prestar servicios profesionales en la Oficina de Tecnologías de la Información y las Comunicaciones de la Función Pública para apoyar la implementación de la política de gobierno digital específicamente en los aspectos relacionados con gobierno y gestión de TI en Función Pública.</t>
  </si>
  <si>
    <t>Función Pública cancelará el valor total de cada contrato en cuatro (4) pagos, así:
a) Tres (3) pagos mensuales, por valor de NUEVE MILLONES CIENTO OCHO MIL OCHOCIENTOS CUARENTA Y CINCO PESOS ($9.108.845) M/CTE incluido IVA y demás gastos asociados a la ejecución del contrato.
b) Un (1) pago a la finalización del contrato por la suma de SEIS MILLONES SETENTA Y DOS MIL QUINIENTOS SESENTA Y TRES PESOS ($6.072.563)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en caso de que aplique y la expedición del certificado de cumplimiento por parte del supervisor.</t>
  </si>
  <si>
    <t>CPS-265-2021</t>
  </si>
  <si>
    <t>ADRIANO EDUVAR OSORIO OROZCO</t>
  </si>
  <si>
    <t>Prestación de servicios de apoyo a la gestión en la Oficina de Tecnologías de la
Información y las Comunicaciones de Función Pública, para apoyar la
documentación y soporte de los Sistema de Información que le sean asignados.</t>
  </si>
  <si>
    <t>Función Pública cancelará el valor total de cada contrato en cuatro (4) pagos, así: a) Un primer pago por valor de SETECIENTOS CUARENTA Y UN MIL CUATROCIENTOS DIECISIETE PESOS ($741.417) M/CTE, incluidos impuestos y demás gastos asociados a la ejecución del contrato.
b) Dos (2) pagos mensuales, por valor de DOS MILLONES DOSCIENTOS VEINTICUATRO MIL DOSCIENTOS CINCUENTA Y TRES PESOS ($2’224.253) M/CTE, incluidos impuestos y demás gastos asociados a la ejecución del contrato.
c) con corte al último día calendario del correspondiente mes.
d) Un (1) pago a la finalización del contrato por la suma de UN MILLON CUATROCIENTOS OCHENTA Y DOS MIL OCHOCIENTOS TREINTA Y CINCO PESOS ($1’482.835)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</si>
  <si>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CENCOSUD COLOMBIA S.A</t>
  </si>
  <si>
    <t xml:space="preserve">Adquisición de cámaras de video WEBCAM USB 2,0 y diademas de tipo USB H390 con Micrófono y tipo XUE USB 2,0 con Micrófono Giratorio,  para el uso en transmisiones virtuales o televisivas en el cubrimiento de reuniones, asesorías y demás consultas  brindas por parte del Departamento Administrativo de la Función Pública </t>
  </si>
  <si>
    <t xml:space="preserve">Función Pública pagará el valor del contrato en un (1) solo pago, por un valor estimado de VEINTICUATRO MILLONES QUINIENTOS SETENTA Y CUATRO MIL CUATROCIENTOS PESOS ($24’574.400,00)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</si>
  <si>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sesenta (60) días calendario, contado a partir de la expedición del registro presupuestal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quince (15) días calendario, siguientes al perfeccionamiento del contrato.</t>
  </si>
  <si>
    <t>CPS-253-2021</t>
  </si>
  <si>
    <t>SERGIO LUIS RODRIGUEZ SOCARRAS</t>
  </si>
  <si>
    <t>Prestar servicios profesionales en la Secretaría General de Función Pública, desde el punto de vista financiero y administrativo, para apoyar el seguimiento y ejecución de los recursos de los proyectos de inversión.</t>
  </si>
  <si>
    <t>Función Pública cancelará el valor total de cada contrato en cuatro (4) pagos, así: a) Tres (3) pagos mensuales, por valor de SEIS MILLONES DE PESOS ($6´000.000) M/CTE, con corte al último día calendario del correspondiente mes.
b) Un (1) pago a la finalización del contrato por la suma de CUATRO MILLONES DE PESOS ($4.000.000) M/CTE.
Los pagos estarán sujetos a la presentación del informe de ejecución correspondiente, así como el cumplimiento de los productos que correspondan al periodo, y la expedición del certificado de cumplimiento por parte del supervisor.</t>
  </si>
  <si>
    <t>JOSE FERNANDO CEBALLOS</t>
  </si>
  <si>
    <t>CPS-258-2021</t>
  </si>
  <si>
    <t>LAURA FUENTES OBANDO</t>
  </si>
  <si>
    <t>Prestar servicios profesionales en la Secretaría General de Función Pública para apoyar el seguimiento jurídico y administrativo de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</si>
  <si>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cuatro (4) pagos, así:
a) Tres (3) pagos mensuales, por valor de SEIS MILLONES CIENTO CUARENTA Y TRES MIL PESOS ($6´143.000) M/CTE, con corte al último día calendario del correspondiente mes.
b) Un (1) pago a la finalización del contrato por la suma de CUATRO MILLONES NOVENTA Y CINCO MIL TRESCIENTOS TREINTA TRES PESOS ($4.095.333) M/CTE.
Los pagos estarán sujetos a la presentación del informe de ejecución correspondiente, así como el cumplimiento de los productos que correspondan al periodo, y la expedición del certificado de cumplimiento por parte del supervisor.</t>
  </si>
  <si>
    <r>
      <rPr>
        <b/>
        <sz val="15"/>
        <rFont val="Arial"/>
        <family val="2"/>
      </rPr>
      <t>36421</t>
    </r>
    <r>
      <rPr>
        <sz val="15"/>
        <rFont val="Arial"/>
        <family val="2"/>
      </rPr>
      <t xml:space="preserve"> 31/08/2021</t>
    </r>
  </si>
  <si>
    <t>CPS-255-2021</t>
  </si>
  <si>
    <t>JOSE NELSON AARON MONSALVO</t>
  </si>
  <si>
    <t>Prestar los Servicios Profesionales en la Dirección Jurídica, para apoyar las actividades del gestor normativo, en la actualización de la normativa, jurisprudencia y demás documentos relativos al sector Función Pública que se deban concordar,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</si>
  <si>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CUATRO (4) pagos, así:
a) Tres (3) pagos mensuales, por valor de TRES MILLONES SETECIENTOS SIETE MIL OCHENTA Y OCHO PESOS ($3.707.088) M/CTE, con corte al último día calendario del correspondiente mes.
b) Un (1) pago a la finalización del contrato por la suma de DOS MILLONES CUATROCIENTOS SETENTA Y UN MIL TRESCIENTOS NOVENTA Y DOS PESOS ($2.471.392) M/CTE.</t>
  </si>
  <si>
    <t>EDITORIAL LA UNIDAD S A</t>
  </si>
  <si>
    <t>Contratar la prestación del servicio de publicación impresa de avisos</t>
  </si>
  <si>
    <t xml:space="preserve">Función Pública pagará de acuerdo con el servicio prestado, previa presentación de la constancia de publicación del aviso, presentación de la factura y expedición del certificado de recibido a satisfacción por el supervisor del contrato, sin que el monto total de los servicios prestados pueda exceder la cuantía total del mismo.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</si>
  <si>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tres meses (3) contados a partir de la expedición del registro presupuestal</t>
  </si>
  <si>
    <t xml:space="preserve">CLAUDIA LILIANA TIRADO ALARCÓN  </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</si>
  <si>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</si>
  <si>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VEINTE MILLONES DE PESOS ($20’000.000,00)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</si>
  <si>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t>
  </si>
  <si>
    <t>1407777 (1)</t>
  </si>
  <si>
    <t>11200000 (3)</t>
  </si>
  <si>
    <t>LIBERR SALDO</t>
  </si>
  <si>
    <t>270-2021</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</si>
  <si>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</si>
  <si>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</si>
  <si>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Oracle,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valor de MIL DOS MILLONES NOVECIENTOS CINCUENTA Y SIETE MIL SEISCIENTOS DIECISIETE PESOS ($1.002.957.617,00) M/CTE, incluido IVA y demás gastos asociados a la ejecución del contrato previa entrega de la carta de activación de los códigos identificadores y presentación de la respectiva factura, expedición del certificado de recibido a satisfacción por parte del Supervisor del Contrato.</t>
  </si>
  <si>
    <t>Hasta el 31 de diciembre de 2021, previo perfeccionamiento, expedición del registro presupuestal y aprobación de pólizas.</t>
  </si>
  <si>
    <t>RAFAEL HUMBERTO RODRIGUEZ BARRIOS</t>
  </si>
  <si>
    <t>CPS-273-2021</t>
  </si>
  <si>
    <t>OTTO JAVIER BERMUDEZ ROJAS</t>
  </si>
  <si>
    <t>Prestar servicios profesionales en la Oficina de Tecnologías de la información y las Comunicaciones de Función Pública, para apoyar la migración de datos de SIGEP I a SIGEP II.</t>
  </si>
  <si>
    <t>Función Pública cancelará el valor total de cada contrato en tres (3) pagos, así:
a) Dos (2) pagos mensuales, por valor de NUEVE MILLONES CIENTO OCHO MIL OCHOCIENTOS CUARENTA Y CINCO PESOS ($9’108.845) M/CTE y demás gastos asociados a la ejecución del contrato con corte al último día calendario del correspondiente mes.
b) Un (1) pago a la finalización del contrato por la suma de SEIS MILLONES TRESCIENTOS SETENTA Y SEIS MIL CIENTO NOVENTA Y DOS PESOS ($ 6.376.192)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</si>
  <si>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</si>
  <si>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CPS-266-2021</t>
  </si>
  <si>
    <t>EDDIE MANUEL BAUTISTA BUSTAMANTE</t>
  </si>
  <si>
    <t>Prestar servicios profesionales en la Oficina de Tecnologías de la Información y las Comunicaciones de Función Pública para apoyar el desarrollo, implementación, soporte y mantenimiento permanente de los componentes tecnológicos en lenguaje JAVA que se requieran en el marco del proyecto de la Red de Servidores Públicos.</t>
  </si>
  <si>
    <t>Función Pública cancelará el valor total de cada contrato en cuatro (4) pagos, así:
a) Un (1) pago a la finalización del mes septiembre por la suma de OCHOCIENTOS SESENTA Y CUATRO MIL NOVECIENTOS SESENTA Y SEIS PESOS ($ 864.966) M/CTE.
b) Dos (2) pagos mensuales por valor de TRES MILLONES SETECIENTOS SIETE MIL PESOS ($3.707.000) M/CTE, con corte al último día calendario del correspondiente mes.
c) Un (1) pago a la finalización del contrato por la suma de DOS MILLONES CUATROCIENTOS SETENTA Y UN MIL TRESCIENTOS TREINTA Y TRES PESOS ($ 2.471.333) M/CTE.
En cada caso los valores incluyen impuestos y demás gastos asociados a la ejecución del contrato.</t>
  </si>
  <si>
    <r>
      <rPr>
        <b/>
        <sz val="15"/>
        <rFont val="Arial"/>
        <family val="2"/>
      </rPr>
      <t>33321</t>
    </r>
    <r>
      <rPr>
        <sz val="15"/>
        <rFont val="Arial"/>
        <family val="2"/>
      </rPr>
      <t xml:space="preserve"> </t>
    </r>
  </si>
  <si>
    <t>Hasta el día (20) veinte de diciembre de 2021, contado a partir del perfeccionamiento del mismo, expedición del registro presupuestal y la activación de la ARL.</t>
  </si>
  <si>
    <t>CPS-272-2021</t>
  </si>
  <si>
    <t>WILLIAM MANUEL VARGAS ROBLES</t>
  </si>
  <si>
    <t>Prestar servicios profesionales en la Oficina de Tecnologías de la Información y las Comunicaciones de Función Pública para apoyar la gestión y orientación metodológica de las actividades requeridas para desarrollo, implementación, y puesta en producción del proyecto de la Red de Servidores Públicos y de los proyectos y sistemas de información que se le asignen.</t>
  </si>
  <si>
    <t>Función Pública cancelará el valor total de cada contrato en tres (3) pagos, así:
a) Dos (2) pago mensual por valor de SEIS MILLONES CUATROCIENTOS MIL PESOS ($6.400.000) M/CTE, con corte al último día calendario correspondiente al mes de octubre y noviembre.
b) Un (1) pago a la finalización del contrato por la suma de CUATRO MILLONES DOSCIENTOS SESENTA Y SEIS MIL SEICIENTOS SESENTA Y SEIS PESOS ($4.266.666) M/CTE, con corte al último día de prestación de servicio del mes de diciembre.
En cada caso los valores incluyen impuestos y demás gastos asociados a la ejecución del contrato.</t>
  </si>
  <si>
    <t>CPS-269-2021</t>
  </si>
  <si>
    <t>ENRIQUE LUIS JIMENEZ VENCE</t>
  </si>
  <si>
    <t>Prestar los servicios profesionales en la Subdirección del Departamento Administrativo de la Función Pública para apoyar en el seguimiento técnico al cumplimiento de las metas y ejecución de recursos asociados al producto de “Servicio de información de gestión pública” y en la implementación de la Fase IV del Costumer Relationship Management (CRM) en los procesos y dependencias del Departamento.</t>
  </si>
  <si>
    <t>El Departamento Administrativo de la Función Pública cancelará el valor total de cada contrato en cuatro (4) pagos, así:
a) Un primer pago por valor de UN MILLON SETECIENTOS CINCUENTA MIL PESOS ($1.750.000) M/CTE, con corte al último día calendario del mes de septiembre de 2021.
b) Dos (2) pagos mensuales por valor de SIETE MILLONES QUINIENTOS MIL PESOS ($7.500.000) M/CTE, con corte al último día calendario del correspondiente mes.
c) Un (1) pago a la finalización del contrato por la suma de CINCO MILLONES DE PESOS ($5.000.000) M/CTE.
En cada caso los valores incluyen impuestos y demás gastos asociados a la ejecución del contrato.
Todos los pagos estarán sujetos al Programa Anual Mensualizado de Caja P.A.C. y al cumplimiento de los procedimientos presupuestales.</t>
  </si>
  <si>
    <t>CPS-271-2021</t>
  </si>
  <si>
    <t>MARIA DE LOS ANGELES PASCUAL</t>
  </si>
  <si>
    <t>Prestar los servicios profesionales en la Oficina de Tecnologías de la Información y las Comunicaciones de Función Pública para apoyar jurídicamente los aspectos relacionados con los procesos contractuales, así como apoyar la revisión de temas legales y jurídicos asociados a los contratos con cargo a recursos de la OTIC o donde la OTIC preste su apoyo técnico.</t>
  </si>
  <si>
    <t>Función Pública cancelará el valor total de cada contrato en tres (3) pagos, así:
-Un primer pago por valor de SIETE MILLONES SEISCIENTOS DIECISEIS MIL PESOS ($7.616.000,00) M/CTE, incluido IVA y demás gastos asociados a la ejecución del contrato, correspondiente a la sumatoria de los dos últimos días de septiembre 29 y 30 de 2021 más los días correspondientes al mes completo de octubre de 2021.
-Un (1) pago mensual, por valor de SIETE MILLONES CIENTO CUARENTA MIL PESOS ($ 7.140.000) M/CTE, incluidos IVA y demás gastos asociados a la ejecución del contrato, con corte al último día calendario del mes de noviembre de 2021.
-Un (1) pago a la finalización del contrato por la suma de CUATRO MILLONES SETECIENTOS SESENTA MIL PESOS ($ 4.760.000,00) M/CTE, incluido IVA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</si>
  <si>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CPS-275-2021</t>
  </si>
  <si>
    <t>MARIA CAMILA VILLA MOSQUERA</t>
  </si>
  <si>
    <t>Prestar los servicios profesionales de abogado en la Dirección Jurídica para apoyar las actividades del Gestor Normativo, en la tematización de jurisprudencia, conceptos, actualización de la normativa, jurisprudencia y demás documentos relativos al sector Función Pública que se deban concordar, así como brindar apoyo en la elaboración de conceptos jurídicos.</t>
  </si>
  <si>
    <t>Función Pública cancelará el valor total de cada contrato en (3) pagos, así:
a) Un primer pago por valor de CUATRO MILLONES TRESCIENTOS VEINTE MIL PESOS ($4´320.000) M/CTE, con corte al último día calendario del mes de octubre b) Un segundo pago por valor de CUATRO MILLONES OCHOCIENTOS MIL PESOS ($4´800.000) M/CTE, con corte al último día calendario del correspondiente mes.
c) Un (1) pago a la finalización del contrato por la suma de TRES MILLONES DOSCIENTOS MIL PESOS ($3´200.000) M/CTE.
El Departamento Administrativo de la Función Pública como requisito previo para autorizar los pagos del contrato, verificará:</t>
  </si>
  <si>
    <t>Será con fecha de inicio el cuatro (4) de octubre y hasta el día veinte (20) de diciembre de 2021, contado a partir del perfeccionamiento del mismo, expedición del registro presupuestal y la activación de la ARL.</t>
  </si>
  <si>
    <t>268-2021</t>
  </si>
  <si>
    <t>SUMIMAS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</si>
  <si>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</si>
  <si>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</si>
  <si>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2021</t>
  </si>
  <si>
    <t>EDGAR ALEXANDER PRIETO</t>
  </si>
  <si>
    <t>267-2021</t>
  </si>
  <si>
    <t>HARDWARE ASESORIAS SOFTWARE LTDA</t>
  </si>
  <si>
    <t>Prestación de servicios de apoyo a la gestión   LINEA PAA No 321</t>
  </si>
  <si>
    <t>A-02-01-01-003-08-01-4 OTROS MUEBLES N.C.P.</t>
  </si>
  <si>
    <t xml:space="preserve">48102009 
56101538
56101519
56112104
</t>
  </si>
  <si>
    <t>Mesas plegables y sillas ergonómicas para el personal de la entidad. Linea 322</t>
  </si>
  <si>
    <t>48101902
48101903
52150000
52151701
52151702
52151703
52151704
52151807</t>
  </si>
  <si>
    <t>Parlante con micrófono para sala de reuniones. Linea 323</t>
  </si>
  <si>
    <t>DICIEMBRE</t>
  </si>
  <si>
    <t>SERGIO LUIS RODRIGUEZ  - Secretaría General 
Luz Dary Cuevas Muñoz - Coordinadora Grupo de Gestión Contractual</t>
  </si>
  <si>
    <t>DIRECCION JURÍDICA</t>
  </si>
  <si>
    <t>Prestación de servicios profesionales   LINEA PAA No 324</t>
  </si>
  <si>
    <t>CPS-280-2021</t>
  </si>
  <si>
    <t>GUSTAVO ANDRES BARRERA SEGURA</t>
  </si>
  <si>
    <t>Prestar servicios profesionales en la Oficina Asesora de Comunicaciones de
Función Pública para apoyar la estructuración, visualización y maquetación en
HTML y CSS, en el administrador de contenidos Liferay de la interfaz gráfica de la
Red de Servidores Públicos, cumpliendo con los criterios de usabilidad y
accesibilidad de Gobierno Digital.</t>
  </si>
  <si>
    <t>Función Pública cancelará el valor total de cada contrato en tres (3) pagos, así:
a) Un primer pago por valor de TRES MILLONES TRESCIENTOS CINCUENTA
Y SESI MIL SEISCIENTOS SESENTA YSEIS PESOS (3’356.666), con corte
al último día calendario del mes de octubre
b) Un (1) pago mensual por valor de CINCO MILLONES TRESCIENTOS MIL
PESOS ($5.300.000) M/CTE, con corte al último día calendario del mes de
noviembre.
c) Un (1) pago a la finalización del contrato por la suma de TRES MILLONES
QUINIENTOS TREINTA Y TRES MIL PESOS TRESCIENTOS TREINTRA Y
TRES PESOS ($3.533.333) M/CTE.
En cada caso los valores incluyen impuestos y demás gastos asociados a la
ejecución del contrato.
Todos los pagos estarán sujetos al Programa Anual Mensualizado de Caja P.A.C.
y al cumplimiento de los procedimientos presupuestales.
El Departamento Administrativo de la Función Pública como requisito previo para
autorizar los pagos del contrato, verificará:</t>
  </si>
  <si>
    <t>Hasta el día (20) veinte de diciembre de
2021, contado a partir del perfeccionamiento del mismo, expedición del registro
presupuestal y la activación de la ARL.</t>
  </si>
  <si>
    <t>CPS-279-2021</t>
  </si>
  <si>
    <t>MARIA DEL PILAR GOMEZ SALLEG</t>
  </si>
  <si>
    <t>Prestar servicios profesionales en la Oficina Asesora de Comunicaciones para apoyar las actividades y el seguimiento al flujo de la comunicación externa y de posicionamiento digital que soporta la planeación de la OAC para la difusión y socialización de las políticas públicas de Función Pública y los resultados de la gestión.</t>
  </si>
  <si>
    <t>Función Pública cancelará el valor total de cada contrato en tres (3) pagos, así:
a) Un (1) primer pago por valor de CUATRO MILLONES NOVECIENTOS OCHENTA Y TRES MIL TRESCIENTOS DIECIOCHO PESOS ($4´983.318) M/CTE, con corte al último día calendario del mes de octubre de 2021.
b) Un (1) pago mensual, por valor de SEIS MILLONES QUINIENTOS MIL PESOS ($6´500.000) M/CTE, con corte al ultimo día calendario del correspondiente mes.
c) Un (1) pago a la finalización del contrato por la suma de CUATRO MILLONES TRESCIENTOS TREINTA Y TRES MIL TRESCIENTOS TREINTA Y TRES PESOS ($4´333.333) M/CTE.
El Departamento Administrativo de la Función Pública como requisito previo para autorizar los pagos del contrato, verificará:</t>
  </si>
  <si>
    <r>
      <rPr>
        <b/>
        <sz val="15"/>
        <rFont val="Arial"/>
        <family val="2"/>
      </rPr>
      <t>35121</t>
    </r>
    <r>
      <rPr>
        <sz val="15"/>
        <rFont val="Arial"/>
        <family val="2"/>
      </rPr>
      <t xml:space="preserve"> </t>
    </r>
  </si>
  <si>
    <t>Hasta el veinte (20) de diciembre de 2021, contado a partir del perfeccionamiento del mismo, expedición del registro presupuestal y la activación de la ARL.</t>
  </si>
  <si>
    <t>GABRIELA ROSALÍA OSORIO VALDERRAMA</t>
  </si>
  <si>
    <t>274-2021</t>
  </si>
  <si>
    <t>COINSA SAS</t>
  </si>
  <si>
    <t>Compra de equipo servidor para la renovación del controlador de dominio de la Entidad, acorde a lo detallado en el Anexo Ficha Técnica.</t>
  </si>
  <si>
    <t>Función Pública pagará el valor del contrato en un (1) único pago en pesos colombianos, previa entrega del equipo servidor.
Lo anterior, previa presentación del certificado de cumplimiento del contratista firmado por el supervisor, sin que el monto total del bien, pueda exceder la cuantía total del contrato.
Adicionalmente, todos los pagos estarán sujetos al Programa Anual Mensualizado de Caja
P.A.C. y al cumplimiento de los procedimientos presupuestales. de Caja P.A.C. y al cumplimiento de los procedimientos presupuestales.</t>
  </si>
  <si>
    <r>
      <rPr>
        <b/>
        <sz val="15"/>
        <rFont val="Arial"/>
        <family val="2"/>
      </rPr>
      <t>35321</t>
    </r>
    <r>
      <rPr>
        <sz val="15"/>
        <rFont val="Arial"/>
        <family val="2"/>
      </rPr>
      <t xml:space="preserve"> </t>
    </r>
  </si>
  <si>
    <t>Será de cuarenta y cinco (45) días calendario, previo perfeccionamiento del mismo, expedición del registro presupuestal y aprobación de pólizas.</t>
  </si>
  <si>
    <t>276-2021</t>
  </si>
  <si>
    <t>PANAMERICANA LIBRERÍA Y PAPELERÍA S.A.</t>
  </si>
  <si>
    <t>Adquisición de dispositivos digitales y sus accesorios para cubrimiento de eventos, de conformidad con los lineamientos establecidos en la Tienda Virtual del Estado Colombiano – Grandes Superficies.</t>
  </si>
  <si>
    <t>Función Pública pagará el valor del contrato en un (1) solo pago, por un valor estimado de VEINTICINCO MILLONES TRESCIENTOS NOVENTA Y DOS MIL CIENTO UN PESOS ($25’392.101,00)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</si>
  <si>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278-2021</t>
  </si>
  <si>
    <t>COMERCIALIZADORA ROMO S.A.S.</t>
  </si>
  <si>
    <t>La adquisición, instalación, protección y puesta en funcionamiento de una planta electrica, para el edificio sede del departamento administrativo de la funcion publica</t>
  </si>
  <si>
    <t>Función Pública pagará el valor del contrato en tres (3) pagos,discriminados de la siguiente manera:
1.	Un primer pago con el suministro e instalación de transferencia automática por valor de CUARENTA Y DOS MILLONES CIENTO UN MIL NOVECIENTOS SETENTA Y OCHO PESOS ($42'101.978) M/CTE incluido IVA, una vez sea recibido a satisfacción por el supervisor del contrato, el cual estará supeditado a la expedición del acta de recibo a satisfacción parcial y evaluación al contratista por parte del Supervisor del Contrato, al pago del Sistema Integral de Seguridad Social en Salud, Pensiones y Riesgos Laborales y al pago de los Aportes de Parafiscales (si aplica), así como a la factura.
2.	Un segundo pago con elsuministro e instalación de grupo Electrógeno - Planta eléctrica con cabina de
insonorización trifásica 500KVA-400KW Standby, 1800RPM-60Hz. Incluyendo accesorios y dueto de escape, por valor de DOSCIENTOS OCHENTA Y OCHO MILLONES NOVECIENTOS SETENTA Y SIETE
MIL DOSCIENTOS NOVENTA Y DOS PESOS ($288'977.292) M/CTE incluido IVA,el cual estará supeditado
a la expedición del acta de recibo a satisfacción parcial y evaluación al contratista por parte del Supervisor del Contrato, al pago del Sistema Integral de Seguridad Social en Salud, Pensiones y Riesgos Laborales y al pago de los Aportes de Parafiscales (si aplica), así como a la factura.
3.	Un tercer y último pago con la finalización de las OBRAS DE ADECUACIÓN, DE PROTECCIÓN Y PUESTA EN FUNCIONAMIENTO DE LA PLANTA ELÉCTRICA por valor de CINCUENTA Y UN MILLONES NOVECIENTOS CINCUENTA Y CINCO MIL CIENTO DIECINUEVE PESOS (51.955.119) M/CTE incluido IVA, el cual estará supeditado a la expedición del acta de recibo a satisfacción final y evaluación al contratista por parte del Supervisor del Contrato,al pago del Sistema Integral de Seguridad Social en Salud, Pensiones y Riesgos Laborales y al pago de los Aportes de Parafiscales (si aplica),así como a la factura.</t>
  </si>
  <si>
    <t>Hasta el treinta (30) de diciembre del 2021, contado a partir del perfeccionamiento del mismo, previo registro presupuesta!, aprobación de garantías y suscripción del Acta de Inicio.</t>
  </si>
  <si>
    <t>CPS-282-2021</t>
  </si>
  <si>
    <t xml:space="preserve"> DANIELA DEL VECCHIO RODRIGUEZ</t>
  </si>
  <si>
    <t>Prestar servicios profesionales en la Oficina Asesora de Comunicaciones para apoyar la corrección de estilo de las publicaciones técnicas pendientes de este proceso que se encuentran incluidas en la matriz de instrumentalización para la vigencia 2021.</t>
  </si>
  <si>
    <t>Función Pública cancelará el valor total de cada contrato en tres (3) pagos, así:
a) Un primer pago por valor de UN MILLÓN QUINIENTOS OCHENTA Y OCHO MIL SETECIENTOS CINCUENTA Y DOS PESOS ($1´588.752) M/CTE, con corte al último día calendario del mes de octubre de 2021.
b) Un (1) pago mensual, por valor de CUATRO MILLONES SETECIENTOS SESENTA Y SEIS MIL DOSCIENTOS CINCUENTA Y SEIS PESOS ($4´766.256) M/CTE, con corte al último día calendario del correspondiente mes.
c) Un (1) pago a la finalización del contrato por la suma de TRES MILLONES CIENTO SETENTA Y SIETE MIL QUINIETOS CUATRO PESOS ($3´177.504) M/CTE.
El Departamento Administrativo de la Función Pública como requisito previo para autorizar los pagos del contrato, verificará:</t>
  </si>
  <si>
    <t>277-2021</t>
  </si>
  <si>
    <t xml:space="preserve">FABIO GARZON DAZA </t>
  </si>
  <si>
    <t>MANTENIMIENTO A TODO COSTO Y/O MEJORAS LOCATIVAS DE LAS INSTALACIONES DE LA SEDE DEL DEPARTAMENTO ADMINISTRATIVO DE LA FUNCIÓN PÚBLICA</t>
  </si>
  <si>
    <t>Función Pública pagará el valor del Contrato, mediante pagos parciales de acuerdo a los servicios prestados y facturados, de cada uno de los mantenimientos y mejoras locativas a todo costo, que se requieran durante el plazo de ejecución, dentro de los treinta (30) días siguientes al acta de recibo a satisfacción del objeto contractual suscrita por el supervisor del contrato, previo cumplimiento de los trámites administrativos y financieros a que haya lugar. Los pagos se realizarán teniendo en cuenta los porcentajes que se relacionan a continuación, para cada uno de los CDP que amparan el proceso, los cuales se aplicaran de conformidad con la propuesta económica de la firma adjudicataria así:</t>
  </si>
  <si>
    <t>Será dos (2) meses, contados a partir del perfeccionamiento del mismo, previo registro presupuestal, y aprobación de las pólizas y firma del Acta de Inicio.</t>
  </si>
  <si>
    <t>237-2021</t>
  </si>
  <si>
    <t>CONSORCIO IP-INSOL 2020</t>
  </si>
  <si>
    <t>Contratar el servicio de mantenimiento preventivo y correctivo a todo costo de los sistemas de
iluminación, redes normal y regulada, de la subestación eléctrica y sus componentes (incluyendo
bolsa de repuestos), del edificio sede del Departamento Administrativo de la Función Pública.</t>
  </si>
  <si>
    <t>Función Pública pagará el valor del Contrato, mediante pagos parciales de acuerdo a los servicios
prestados y facturados, de cada uno de los mantenimientos preventivos y correctivos a todo costo,
que se requieran durante el plazo de ejecución, dentro de los treinta (30) días siguientes al acta
de recibo a satisfacción del objeto contractual suscrita por el supervisor del contrato, previo
cumplimiento de los trámites administrativos y financieros a que haya lugar.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</si>
  <si>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Hasta el quince (15) de diciembre del 2021 y/o hasta agotar
recursos, lo que primero ocurra, contado a partir del perfeccionamiento del mismo, previa expedición
del registro presupuestal, aprobación de garantías y suscripción del Acta de Inicio.</t>
  </si>
  <si>
    <t>A- 02-01-01-004-005-01 MAQUINAS PARA OFICINA Y CONTABILIDAD, Y SUS PARTES Y ACCESORIOS</t>
  </si>
  <si>
    <t>mnbvcs</t>
  </si>
  <si>
    <t>EDGAR ALEXANDER PRIETO MUÑOZ EXT. 501 eprieto@funcionpublica.gov.co</t>
  </si>
  <si>
    <t>Prestación de servicios profesionales   LINEA PAA No 325</t>
  </si>
  <si>
    <t>DIRECCION DE DESARROLLO ORGANIZACIONAL</t>
  </si>
  <si>
    <t>Prestación de servicios profesionales   LINEA PAA No 326</t>
  </si>
  <si>
    <t>HUGO ARMANDO PÉREZ
hperez@funcionpublica.gov.co</t>
  </si>
  <si>
    <t>CPS-287-2021</t>
  </si>
  <si>
    <t>GABRIEL RICARDO CAMACHO ARCILA</t>
  </si>
  <si>
    <t>Prestar servicios profesionales en la Secretaría General de Función Pública para apoyar el seguimiento jurídico y administrativo de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
OBLIGACIONES DEL CONTRATISTA:</t>
  </si>
  <si>
    <t>Función Pública cancelará el valor total del presente contrato en dos (2) pagos, e discriminando el aporte de cada uno de los proyectos de inversión que financian el contrato, así :
a)	Un primer pago, con corte al 30 del mes de noviembre de 2021 por va lor de CUATRO MILLONES QUINIENTOS CUATRO MIL OCHOCIENTOS SESENTA Y SEIS PESOS ($4.504.866) M/CTE.
b)	Un segundo y último pago, correspondiente a los días del mes de diciembre de 2021 por valor  de  CUATRO  MILLONES  NOVENTA  Y  CINCO  MIL TRESC IENTOS TREINTA Y DOS PESOS ($4.095 .332) M/CTE.
Cada uno de los proyectos de inversión que respaldan la presente contratación cubrirán, en una proporción del 50% el pago 1 y 2.</t>
  </si>
  <si>
    <r>
      <rPr>
        <b/>
        <sz val="15"/>
        <rFont val="Arial"/>
        <family val="2"/>
      </rPr>
      <t>39221- 39321</t>
    </r>
    <r>
      <rPr>
        <sz val="15"/>
        <rFont val="Arial"/>
        <family val="2"/>
      </rPr>
      <t xml:space="preserve"> </t>
    </r>
  </si>
  <si>
    <t>Hasta el día veinte (20) de diciembre de 2021, contado a partir del perfeccionamiento del mismo, expedic ión del registro presupuesta! y la activación de la ARL.</t>
  </si>
  <si>
    <t>CPS-283-2021</t>
  </si>
  <si>
    <t>ANDRÉS CAMILO HIGUERA</t>
  </si>
  <si>
    <t>Prestar servicios profesionales en la Oficina Asesora de Comunicaciones de la Función Pública para apoyar el proceso de diagramación de las publicaciones y documentos técnicos que fueron incluidos recientemente a los ya programados en la matriz de instrumentalización para la vigencia 2021.</t>
  </si>
  <si>
    <t>Función Pública cancelará el valor total de cada contrato en tres (3) pagos, así:
a) Un primer pago por valor de TRESCIENTOS DIECISIETE MIL SETECIENTOS CINCUENTA PESOS ($317.750) M/CTE, con corte al último día calendario del mes de octubre de 2021.
b) Un (1) pago mensual, por valor de CUATRO MILLONES SETECIENTOS SESENTA Y SEIS MIL DOSCIENTOS CINCUENTA Y SEIS PESOS ($4´766.256) M/CTE, con corte al último día calendario del correspondiente mes.
c) Un (1) pago a la finalización del contrato por la suma de TRES MILLONES CIENTO SETENTA Y SIETE MIL QUINIENTOS CUATRO PESOS ($3´177.504) M/CTE.
El Departamento Administrativo de la Función Pública como requisito previo para autorizar los pagos del contrato, verificará:</t>
  </si>
  <si>
    <t>284-2021</t>
  </si>
  <si>
    <t>PSIGMA CORPORATION SAS</t>
  </si>
  <si>
    <t>Adquirir los códigos de acceso (PIN), para la evaluación por parte de Función Pública, de las competencias laborales de los aspirantes a ocupar el empleo de jefe de oficina, asesor, coordinador o auditor de control interno o quien haga sus veces en las entidades de la Rama Ejecutiva del orden nacional y territorial, de acuerdo con las condiciones establecidas en las especificaciones técnicas</t>
  </si>
  <si>
    <t>Función Pública cancelará el valor del Contrato en un (1) solo pago, previa certificación emitida por EL CONTRATISTA, en la cual indique la activación de quinientos cincuenta (550) Códigos de Acceso (PIN) para desarrollar la prueba KOMPE Estatal DEC 989, sin que el monto total de los servicios prestados pueda exceder la cuantía total del mismo.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t>
  </si>
  <si>
    <t>Será de dieciocho (18) meses contados a partir del perfeccionamiento del mismo, registro presupuestal o hasta agotar los Quinientos Cincuenta (550) códigos de acceso (PIN), lo que ocurra primero. La entrega y activación de las pruebas se hará dentro de los cinco (5) días calendarios siguientes, a la fecha de perfeccionamiento del contrato y expedición del registro presupuestal.</t>
  </si>
  <si>
    <t>INGRIDS DE JESUS REYES BERDUGO (E)</t>
  </si>
  <si>
    <t>CPS-285-2021</t>
  </si>
  <si>
    <t>MARIA JOSE MONTES LOZANO</t>
  </si>
  <si>
    <t>Función Pública cancelará el valor total de cada contrato en dos (02) pagos, así:
a) Un primer pago por valor de DOS MILLONES CUATROCIENTOS SETENTA Y UN MIL TRESCIENTOS NOVENTA Y DOS PESOS ($2.471.392) M/CTE, con corte al último día calendario del mes de noviembre de 2021.
b) Un (1) pago a la finalización del contrato por la suma de UN MILLÓN SETECIENTOS SESENTA Y CINCO MIL DOSCIENTOS OCHENTA PESOS ($1.765.280)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</si>
  <si>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r>
      <rPr>
        <b/>
        <sz val="15"/>
        <rFont val="Arial"/>
        <family val="2"/>
      </rPr>
      <t>39021</t>
    </r>
    <r>
      <rPr>
        <sz val="15"/>
        <rFont val="Arial"/>
        <family val="2"/>
      </rPr>
      <t xml:space="preserve"> </t>
    </r>
  </si>
  <si>
    <t>287-2021</t>
  </si>
  <si>
    <t>NEX COMPUTER S.A.S.</t>
  </si>
  <si>
    <t>Adquisición de equipos de cómputo con Sistema Operativo Microsoft Windows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</si>
  <si>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
El Departamento Administrativo de la Función Pública como requisito previo para autorizar los pagos del contrato, verificará:
1.Informe escrito del supervisor en el cual se detalle el (bien o servicios), el valor
ejecutado a pagar y el porcentaje del mismo.
2.La factura Electrónica con el Código CUFE para la validación de la factura ante la DIAN, conforme a los requisitos señalados en el artículo 617 Estatuto Tributario.</t>
  </si>
  <si>
    <t>286-2021</t>
  </si>
  <si>
    <t>ÉDGAR PRIETO MUÑOZ
eprieto@funcionpublica.gov.co EXT 501</t>
  </si>
  <si>
    <t>Licenciamiento productos Microsoft Linea PAA No. 327</t>
  </si>
  <si>
    <t>292-2021</t>
  </si>
  <si>
    <t>COLOMBIANA DE COMERCIO S.A Y/O
ALKOSTO S.A</t>
  </si>
  <si>
    <t>Adquirir las llantas para un (1) vehículo, de los que actualmente conforman el parque automotor del Departamento Administrativo de la Función Pública, de conformidad con ficha técnica descrita en el presente documento.</t>
  </si>
  <si>
    <t>FUNCIÓN PÚBLICA pagará el valor del contrato en un (1) solo pago, por un valor estimado de OCHOCIENTOS OCHENTA Y DOS MIL CUATROCIENTOS TREINTA Y DOS PESOS
($882.432)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</si>
  <si>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Hasta el 20 de diciembre del 2021, contados a partir del registro presupuestal. En todo caso, los bienes adquiridos se entregarán a más tardar, en la sede de la entidad, dentro de los veinte (20) días calendario, siguientes a la fecha de la colocación de la Orden de Compra en la Tienda Virtual del Estado Colombiano.</t>
  </si>
  <si>
    <t>294-2021</t>
  </si>
  <si>
    <t>SERVICIOS POSTALES NACIONALES S.A 4-72</t>
  </si>
  <si>
    <t>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sin incluir el servicio de correspondencia agrupada CORRA.</t>
  </si>
  <si>
    <t>CONTRATO INTERADMINISTRATIVO</t>
  </si>
  <si>
    <t>FUNCIÓN PÚBLICA pagará el valor del contrato en mensualidades vencidas, de acuerdo con los volúmenes transportados, servicio prestado por los auxiliares y el mensajero motorizado, según las tarifas vigentes en la fecha de prestación de los servicios, mediante presentación y tramitación de las cuentas mensuales y el cumplido a satisfacción del respectivo mes por parte del Supervisor del Contrato, sin que el monto total de los servicios prestados pueda exceder la cuantía total del mismo.
El valor de las tarifas a cobrar a la FUNCIÓN PÚBLICA por los servicios prestados, debe corresponder a las aprobadas por el presidente de SERVICIOS POSTALES NACIONALES S.A., mediante resolución, en el evento en que se incrementen estas tarifas, durante la ejecución del contrato y deba aplicarse a los servicios en forma general, SERVICIOS POSTALES NACIONALES S.A., deberá comunicar a FUNCIÓN PÚBLICA, esta situación por escrito para liquidar el servicio con el nuevo precio.</t>
  </si>
  <si>
    <t>Hasta el día 25 de julio de 2022, contado a partir del perfeccionamiento del mismo, expedición del registro presupuestal y la activación de la ARL.</t>
  </si>
  <si>
    <t>39221- 39321</t>
  </si>
  <si>
    <t>293-2021</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</si>
  <si>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</si>
  <si>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del contrato en un (1) solo pago, por un valor estimado de
SEIS MILLONES TRESCIENTOS CUARENTA MIL CUATROCIENTOS NOVENTA Y DOS PESOS ($6’340.492)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Lo anterior, de acuerdo a la distribución de recursos de los certificados de disponibilidad presupuestal.</t>
  </si>
  <si>
    <t>Hasta el 20 de diciembre del 2021, contados a partir de la expedición del registro presupuestal. En todo caso, los bienes adquiridos se entregarán a más tardar, en la sede de la entidad, dentro de los quince (15) días calendario siguientes a la fecha de la colocación de la Orden de Compra en la Tienda Virtual del Estado Colombiano.</t>
  </si>
  <si>
    <t>CPS-291-2021</t>
  </si>
  <si>
    <t>DARLING FRANCISCA GUEVARA GOMEZ</t>
  </si>
  <si>
    <t>Revisar, actualizar y recopilar, de cara a la definición de la estrategia de acción interal 2022, los lineamientos, hitos y presentaciones del portafolio de serivicios de Función Püblica, en el marco del proyecto "Mejoramiento de los niveles de eficiencia y productividad de las entidades públicas del orden nacional y territorial. Nacional.</t>
  </si>
  <si>
    <t>Función Pública cancelará el valor total del contrato en un único pago (1) pago, así:
a)	La suma SEIS MILLONES CIENTO CUARENTA  Y TRES MIL CIENTO SETENTA Y CUATRO PESOS ($6'143.174) M/CTE con corte al 20 de diciembre de 2021.
El pago estará sujeto a la presentación del informe de ejecución correspondiente, así como el cumplimiento de los productos que correspondan al periodo, y la expedición del certificado de cumplimiento por parte del supervisor.</t>
  </si>
  <si>
    <t>Hasta el día veinte (20) de diciembre de 2021, contado a partir del perfeccionamiento del mismo, expedición del registro presupuestal y la actlvación de la ARL.</t>
  </si>
  <si>
    <t>PLAN ANUAL DE ADQUISICIONES 2021</t>
  </si>
  <si>
    <t>301-2021</t>
  </si>
  <si>
    <t>CASA DEL GUANTE</t>
  </si>
  <si>
    <t>Adquirir los elementos de protección personal para los servidores públicos con la finalidad de garantizar la protección, higiene y seguridad, previniendo, enfermedades de origen laboral y promoviendo la salud de los servidores públicos que en el ejercicio de sus funciones se encuentran expuestos a riesgo.</t>
  </si>
  <si>
    <t>Función Pública cancelará el valor del contrato mediante un (1) pago total, dentro de los treinta (30) días siguientes a la fecha en que se emita el acta de recibo a satisfacción total por parte del supervisor del contrato de acuerdo al bien efectivamente entregado, previo cumplimiento de los trámites administrativos y financieros a que haya lugar; y radicación de los siguientes documentos:
Función Pública como requisito previo para autorizar el pago del Contrato,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</si>
  <si>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El Contrato será de un quince (15) días calendario contados a partir del registro presupuestal. En todo caso el Contratista deberá entregar al Departamento Administrativo de la Función Pública, los productos a más tardar dentro de los ocho (8) días calendario siguientes, previo perfeccionamiento del mismo y registro presupuestal.</t>
  </si>
  <si>
    <t>296-2021</t>
  </si>
  <si>
    <t>TICBRIDGE SAS</t>
  </si>
  <si>
    <t>Contratar la renovación de la garantía extendida del switch de Core CN60HH101N que posee Función Pública de acuerdo a lo establecido en la Ficha Técnica</t>
  </si>
  <si>
    <t>Función Pública pagará el valor del contrato en un (1) único pago, previa presentación de la factura presentada por el contratista y acta de entrega de la suscripción de la garantía extendida del Switch a nombre del Departamento Administrativo de la Función Pública, expedición del Certificado de recibido a satisfacción por parte del Supervisor del Contrato y la notificación de la compra de la suscripción al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</si>
  <si>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Hasta el quince (15) de diciembre de 2021, previo perfeccionamiento del mismo y expedición del registro presupuestal</t>
  </si>
  <si>
    <t>300-2021</t>
  </si>
  <si>
    <t>BUSINESSMIND COLOMBIA S.A.</t>
  </si>
  <si>
    <t>Contratar la suscripción al servicio de soporte especializado del fabricante, para el licenciamiento del software TOAD que posee Función Pública, acorde a lo detallado en la Ficha Técnica.</t>
  </si>
  <si>
    <t>Función Pública pagará el valor del contrato en un (1) único pago en pesos colombianos, previa entrega de la certificación de indique la renovación de la suscripción al soporte TOAD y el documento donde se indique la suscripción a la bolsa de soporte especializado, previa presentación de la respectiva factura y expedición del certificado de recibido a satisfacción por parte del supervisor delcontrato.
El Departamento Administrativo de la Función Pública como requisito previo para autorizar los pagos del contrato, verificará:</t>
  </si>
  <si>
    <t>Hasta el treinta (30) de diciembre de 2021, previo perfeccionamiento del mismo, expedición del registro presupuesta! y aprobación de pólizas.</t>
  </si>
  <si>
    <t>299-2021</t>
  </si>
  <si>
    <t>GRUPO MICROSISTEMAS COLOMBIA SAS</t>
  </si>
  <si>
    <t>Adquirir la renovación de la suscripción al Licenciamiento del Antivirus y la protección de los buzones de correo, de los productos Kaspersky, así como los servicios de soporte e ingeniería social según lo detallado en la Ficha Técnica.</t>
  </si>
  <si>
    <t>Función Pública pagará el valor del contrato en un (1) único pago en pesos colombianos, previa entrega de las claves para acceder a la renovación de las quinientas (500) licencias Antivirus Kaspersky Endpoint Security for Business Advanced para equipos y las claves para acceder a la renovación de seiscientas setenta y dos (672) licencias Antivirus Kaspersky Security for Microsoft Office 365 para buzones de correo y la activación del antivirus, la entrega del documento donde se indique el derecho de uso del soporte para todo el licenciamiento por dos (2) años, las veinticuatro (24) visitas presenciales o atenciones virtuales, el derecho a la programación de dos (2) ataques controlados y la socialización de sensibilización en seguridad de la información para los servidores de Función Pública durante la vigencia del licenciamiento y el recibo a satisfacción por parte del supervisor del contrato.</t>
  </si>
  <si>
    <t>Hasta el treinta y uno (31) de diciembre de 2021, previo perfeccionamiento del mismo, expedición del registro presupuestal y aprobación de pólizas.</t>
  </si>
  <si>
    <t>297-2021</t>
  </si>
  <si>
    <t>MODUX CO SAS</t>
  </si>
  <si>
    <t>Contratar la renovación de la suscripción de las Licencias de Tableau que utiliza Función Pública de acuerdo a lo establecido en la Ficha Técnica</t>
  </si>
  <si>
    <t>Función Pública pagará el valor del contrato en un (1) único pago, previa presentación de la factura presentada por el contratista y acta de entrega de la suscripción al Licenciamiento Tableau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</si>
  <si>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Hasta el diecisiete 17 de diciembre de 2021, previo perfeccionamiento del mismo y expedición del registro presupuestal</t>
  </si>
  <si>
    <t>SANDRA YASMIN FLOREZ ABRIL</t>
  </si>
  <si>
    <t>295-2021</t>
  </si>
  <si>
    <t>UNIÓN TEMPORAL WEX CBT SOC 2021</t>
  </si>
  <si>
    <t>Contratar el servicio de monitoreo por suscripción con un Centro de Operación de Seguridad
(SOC) que incluya un sistema de Gestión de Eventos e Información de Seguridad (SIEM) para
Función Pública.</t>
  </si>
  <si>
    <t>Función Pública realizara un (1) único pago correspondiente al valor total del contrato, previa
configuración y puesta en operación de la solución y a la entrega de los siguientes productos:
1. Un (1) documento con la descripción detallada de la solución implementada en la
Entidad y las reglas de correlación.
2. Un (1) documento con la suscripción para la entidad a los servicios de monitoreo con
el Centro de Operación de Seguridad (SOC) que incluya un sistema de Gestión de
Eventos e Información de Seguridad (SIEM) para Función Pública, donde se
especifiquen las fechas de inicio y de finalización del servicio.
3. Certificación o planilla de asistencia donde se evidencie mínimo ocho (8) horas de
transferencia de conocimiento a las personas designadas por Función Pública, sobre
el uso de la plataforma, su configuración, funcionalidades de interconexión,
afinamiento y ajuste o modificación de configuración, así como los reportes y consulta
de eventos.
4. Un (1) documento con los datos para acceso a la herramienta para la gestión de
incidentes y guía de uso.
Nota: Se deberá entregar la solución configurada y en operación durante el primer (1) meses de
ejecución del contrato.</t>
  </si>
  <si>
    <t>El plazo de ejecución del contrato será hasta el 21 de diciembre de 2021, contados a partir del acta de inicio, previa expedición del registro presupuestal y la respectiva aprobación de pólizas.</t>
  </si>
  <si>
    <t xml:space="preserve">JEFE OFICINA DE TECNOLOGIAS DE LA INFORMACIÓN Y LAS COMUNICACIONES </t>
  </si>
  <si>
    <t>CPS-298-2021</t>
  </si>
  <si>
    <t>JOSE QUEVEDO JEREZ</t>
  </si>
  <si>
    <t>Prestar los servicios profesionales a la Subdirección del Departamento Administrativo de la Función Pública para apoyar la identificación de experiencias internacionales existentes sobre la reducción de jornada laboral en el sector público y con el desarrollo de un análisis de la normativa y jurisprudencia colombiana relacionadas con este tema.</t>
  </si>
  <si>
    <t>Función Pública cancelará el valor total del contrato en un único pago:
 Un único pago a la finalización del contrato por la suma de CUATRO MILLONES SEISCIENTOS SETENTA MIL NOVECIENTOS TREINTA Y UN PESOS ($4.670.931) M/CTE.
Los valores incluyen impuestos y demás gastos asociados a la ejecución del contrato.
El pago estará sujeto al Programa Anual Mensualizado de Caja P.A.C. y al cumplimiento de los procedimientos presupuestales.</t>
  </si>
  <si>
    <t>Hasta el día (20) veinte de diciembre de 2021, contado a partir del perfeccionamiento del mismo, expedición del registro presupuestal.</t>
  </si>
  <si>
    <t>LINA MARCELA GONZÁLEZ GONZÁLEZ</t>
  </si>
  <si>
    <t xml:space="preserve">TERMECQ S.A.S </t>
  </si>
  <si>
    <t>Prestar el servicio de soporte técnico, mantenimiento preventivo y correctivo a todo costo de los aires acondicionados del auditorio del edificio sede del Departamento Administrativo de la Función Pública, ubicado en la carrera 6 N° 12- 62 de la ciudad de Bogotá D.C.</t>
  </si>
  <si>
    <t>Función Pública pagará el valor del Contrato, en mensualidades vencidas, de acuerdo con los servicios efectivamente prestados, dentro de los treinta (30) días siguientes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El Departamento Administrativo de la Función Pública como requisito previo para autorizar los pagos del contrato, verificará:
1. Informe escrito del supervisor en el cual se detalle los servicios, el valor ejecutado a pagar y el porcentaje del mismo.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t>
  </si>
  <si>
    <t>Hasta el 20 de diciembre del 2021.</t>
  </si>
  <si>
    <t>CPS-290-2021</t>
  </si>
  <si>
    <t>JHON FREDY ORIGUA DIAZ</t>
  </si>
  <si>
    <t>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t>
  </si>
  <si>
    <t>Función Pública cancelará el valor total de cada contrato en dos (02) pagos, así:
a) Un primer pago por valor de SETECIENTOS TREINTA Y SIETE MIL OCHOCIENTOS OCHENTA Y SIETE PESOS ($737.887) M/CTE, con corte al último día calendario del mes de noviembre de de 2021.
b) Un (1) pago a la finalización del contrato por la suma de UN MILLÓN TRESCIENTOS CUARENTA Y UN MIL SEISCIENTOS TRECE PESOS ($1.341.613) M/CTE por los servicios prestados en el mes de diciembre de 2021.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</si>
  <si>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r>
      <rPr>
        <b/>
        <sz val="15"/>
        <rFont val="Arial"/>
        <family val="2"/>
      </rPr>
      <t>40021</t>
    </r>
    <r>
      <rPr>
        <sz val="15"/>
        <rFont val="Arial"/>
        <family val="2"/>
      </rPr>
      <t xml:space="preserve"> </t>
    </r>
  </si>
  <si>
    <t>Hasta el día veinte (20) de diciembre de 2021 previo perfeccionamiento del mismo, expedición del registro presupuestal y la activación de la ARL</t>
  </si>
  <si>
    <t>Solución de backup LINEA PAA No 248</t>
  </si>
  <si>
    <t>Soporte y mantenimiento SIGEP II . LINEA PAA No 260</t>
  </si>
  <si>
    <t>302-2021</t>
  </si>
  <si>
    <t>GESTIÓN DE SEGURIDAD ELECTRONICA S.A.</t>
  </si>
  <si>
    <t>Adquirir en modalidad de bolsa certificados de firmas digitales compatibles con los sistemas de información de la entidad, servicio de soporte de suscriptor y servicio web conforme se describe en la Ficha Técnica por un año.</t>
  </si>
  <si>
    <t>Función Pública pagará el valor del contrato que resulte del proceso de selección, en un (1) solo pago, dentro de los treinta (30) días calendario, sin que el monto total de los bienes pueda exceder la cuantía total del contrato.
El Departamento Administrativo de la Función Pública como requisito previo para autorizar los pagos del contrato, verificará:
1. Entrega y recibido a satisfacción del acta de cupos correspondiente a los certificados de firmas digitales adquiridos y el formato único de pago.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
5.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 por parte del Contratista y expedición del certificado de recibido a satisfacción por parte del Supervisor del contrato, sin que el monto total de los servicios prestados pueda exceder la cuantía total del contrato.
6. Ingreso al almacén (si aplica)</t>
  </si>
  <si>
    <t>Será de un año contado a partir del perfeccionamiento del contrato, previa expedición del registro presupuestal y aprobación de pólizas.</t>
  </si>
  <si>
    <t xml:space="preserve">JUDY MAGALI RODRIGUEZ SANTANA - EDGAR ALEXANDER PRIETO MUÑOZ </t>
  </si>
  <si>
    <t>304-2021</t>
  </si>
  <si>
    <t>TICBRIDGE</t>
  </si>
  <si>
    <t xml:space="preserve">Contratar los servicios de Voz lp según lo detallado en la Ficha Técnica. </t>
  </si>
  <si>
    <t xml:space="preserve">Función Pública pagará el valor del contrato en un (1) único pago en pesos colombianos, previa entrega de: el documento del derecho de suscripción a una bolsa de cien (100) horas para soporte de toda la solución con atención remota o en sitio según lo detallado en la Ficha Técnica por un
(1) año, el documento de las veinte (20) licencias y/o suscripciones Bria de Softphone a nombre de Función Pública y el procedimiento para la activación de las nuevas licencias y/o las claves de acceso a la plataforma del fabricante, la entrega del informe de las actividades detalladas en la obligación 5 de las obligaciones específicas delcontratista y la realización de la transferencia de conocimientos, previa presentación de la respectiva factura y expedición del certificado de recibido a satisfacción por parte del supervisor delcontrato.
El Departamento Administrativo de la Función Pública como requisito previo para autorizar los pagos del contrato, verificará:
</t>
  </si>
  <si>
    <t>Será por un año a partir del acta de inicio, previo perfeccionamiento del mismo, expedición del registro presupuesta! y aprobación de pólizas.</t>
  </si>
  <si>
    <t>Cuenta</t>
  </si>
  <si>
    <t>Sub Cta.</t>
  </si>
  <si>
    <t>Objeto</t>
  </si>
  <si>
    <t>Ordinal</t>
  </si>
  <si>
    <t>10</t>
  </si>
  <si>
    <t>TOTAL CONTRACRÉDITO Y CRÉDITO</t>
  </si>
  <si>
    <t>Concepto</t>
  </si>
  <si>
    <t>307-2021</t>
  </si>
  <si>
    <t>JM GRUPO EMPRESARIAL S.A.S</t>
  </si>
  <si>
    <t>Adquisición y servicio de mantenimiento y recarga de los extintores para Función Pública,
para su correcto y normal funcionamiento, conforme a las cantidades y especificaciones
técnicas solicitadas por la Entidad.</t>
  </si>
  <si>
    <t>Función Pública pagará el valor del Contrato, de conformidad con las condiciones
estipuladas por Colombia Compra Eficiente, en el Acuerdo Marco de Precios CCE-197-
AMP-2021 “Elementos para la Atención, Prevención y Mitigación del Riesgo y de
Emergencias”, resultante de la Licitación Pública CCE-197-AMP-2021, dentro de los
treinta (30) días calendario siguientes a la presentación de la factura, ingreso al almacén
(si aplica), y expedición del certificado de recibido a satisfacción por parte del supervisor
del Contrato, sin que el monto total de los adquiridos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</si>
  <si>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Hasta el treinta y uno (31) de diciembre de 2021,
previa expedición del registro presupuestal y demás condiciones establecidas en el
Acuerdo Marco de Precios suscrito por Colombia Compra Eficiente.</t>
  </si>
  <si>
    <t xml:space="preserve">GUSTAVO BELTRÁN JÍMENEZ </t>
  </si>
  <si>
    <t>303-2021</t>
  </si>
  <si>
    <t>EYM INGENIERIA</t>
  </si>
  <si>
    <t>Renovar la suscripción y el soporte técnico, del Sistema de Turnos Web de la
entidad.</t>
  </si>
  <si>
    <t>El Departamento Administrativo de la Función Pública pagará el valor del Contrato en un único pago por valor de QUINCE MILLONES SEISCIENTOS CINCUENTA Y CINCO MIL QUINIENTOS CINCUENTA Y CUATRO PESOS ($15’655.554) M/CTE incluido IVA y demás impuestos y gastos asociados a la ejecución del mismo, a la entrega del certificado de suscripción y soporte técnico del Sistema de Turnos Web.</t>
  </si>
  <si>
    <t>Será de veinticuatro (24) meses, contados a partir del perfeccionamiento del contrato, previo registro presupuestal y aprobación de las garantías.</t>
  </si>
  <si>
    <t>JAIME HUMBERTO JIMÉNEZ VERGEL</t>
  </si>
  <si>
    <t>306-2021</t>
  </si>
  <si>
    <t>CORPORACION AGENCIA NACIONAL DE GOBIERNO DIGITAL</t>
  </si>
  <si>
    <t>Contratar la suscripción al soporte (mantenimiento correctivo) de los incidentes y problemas que se presenten en el aplicativo FURAG III.</t>
  </si>
  <si>
    <t>Función Pública cancelará el valor total del contrato en un (1) solo pago, por la suma de SEISCIENTOS CUARENTA Y SEIS MILLONES CIENTO NOVENTA Y SEIS MIL OCHOCIENTOS CINCUENTA Y NUEVE PESOS ($ 646.196.859) M/CTE incluido impuestos, equivalente a la suscripción del soporte y mantenimiento del aplicativo FURAG III, previa entrega del documento al supervisor del contrato en el cual se indique el derecho al soporte y mantenimiento por doce (12) meses a nombre de Función Pública.</t>
  </si>
  <si>
    <t>Será de doce (12) meses o el consumo total de las 5.670 horas, lo que primero ocurra; previo perfeccionamiento del mismo, expedición del registro presupuestal, aprobación de garantías entrega del documento donde se indique el derecho de Función Pública, al soporte y mantenimiento y la firma del acta de inicio, la cual será suscrita previa confirmación por parte del contratista que ya cuenta con la totalidad del personal que conformará el equipo para atender la ejecución del proyecto.</t>
  </si>
  <si>
    <t>MARÍA DEL PILAR GARCÍA GONZÁLEZ - EDGAR ALEXANDER PRIETO MUÑOZ</t>
  </si>
  <si>
    <t>308-2021</t>
  </si>
  <si>
    <t>Contratar la suscripción, adquisición de los productos y servicios Microsoft de conformidad con los lineamientos establecidos en el Instrumento de Agregación de Demanda para la adquisición de Software por Catálogo CCE-139-IAD-2020 y según lo establecido en el simulador para Función Pública</t>
  </si>
  <si>
    <t>Función Pública cancelará el valor total del contrato de la siguiente forma:
Un (1) pago por el valor de las licencias y al consumo de las dieciocho (18) horas de servicios de configuración y parametrización de los productos previa presentación de la respectiva factura, expedición del certificado de recibido a satisfacción por parte del Supervisor del Contrato y el correspondiente certificado de ingreso al almacén.
El Departamento Administrativo de la Función Pública como requisito previo para autorizar los pagos del contrato, verificará</t>
  </si>
  <si>
    <t>Hasta el treinta (30) de diciembre de 2021, previo perfeccionamiento del mismo, expedición del registro presupuestal y aprobación de la Garantía.</t>
  </si>
  <si>
    <r>
      <rPr>
        <b/>
        <sz val="15"/>
        <rFont val="Arial"/>
        <family val="2"/>
      </rPr>
      <t>40521- 40621</t>
    </r>
    <r>
      <rPr>
        <sz val="15"/>
        <rFont val="Arial"/>
        <family val="2"/>
      </rPr>
      <t xml:space="preserve"> </t>
    </r>
  </si>
  <si>
    <t>anulacion orden de compra</t>
  </si>
  <si>
    <t>39621</t>
  </si>
  <si>
    <t>37521</t>
  </si>
  <si>
    <t>29421</t>
  </si>
  <si>
    <t>37221</t>
  </si>
  <si>
    <t>28821</t>
  </si>
  <si>
    <t>31021</t>
  </si>
  <si>
    <t>31421</t>
  </si>
  <si>
    <t>34121</t>
  </si>
  <si>
    <t>39121</t>
  </si>
  <si>
    <t>38621</t>
  </si>
  <si>
    <t>39921</t>
  </si>
  <si>
    <t>38121</t>
  </si>
  <si>
    <t>29821</t>
  </si>
  <si>
    <t>36621</t>
  </si>
  <si>
    <t>33221</t>
  </si>
  <si>
    <t>33421</t>
  </si>
  <si>
    <t>36021</t>
  </si>
  <si>
    <t>33521</t>
  </si>
  <si>
    <t>33721</t>
  </si>
  <si>
    <t>36121</t>
  </si>
  <si>
    <t>35421</t>
  </si>
  <si>
    <t>36221</t>
  </si>
  <si>
    <t>37021</t>
  </si>
  <si>
    <t>38321</t>
  </si>
  <si>
    <t>37821</t>
  </si>
  <si>
    <t>38221</t>
  </si>
  <si>
    <t>40221</t>
  </si>
  <si>
    <t>39821</t>
  </si>
  <si>
    <t>31221</t>
  </si>
  <si>
    <t>38721</t>
  </si>
  <si>
    <t>38421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</si>
</sst>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quot;$&quot;* #,##0.00_-;\-&quot;$&quot;* #,##0.00_-;_-&quot;$&quot;* &quot;-&quot;_-;_-@_-"/>
    <numFmt numFmtId="171" formatCode="_(&quot;$&quot;\ * #,##0_);_(&quot;$&quot;\ * \(#,##0\);_(&quot;$&quot;\ * &quot;-&quot;??_);_(@_)"/>
    <numFmt numFmtId="172" formatCode="_([$$-240A]\ * #,##0.00_);_([$$-240A]\ * \(#,##0.00\);_([$$-240A]\ * &quot;-&quot;??_);_(@_)"/>
    <numFmt numFmtId="173" formatCode="&quot;$&quot;\ #,##0.00"/>
    <numFmt numFmtId="174" formatCode="#,##0.00_ ;\-#,##0.00\ "/>
    <numFmt numFmtId="175" formatCode="_-[$$-240A]* #,##0.00_-;\-[$$-240A]* #,##0.00_-;_-[$$-240A]* &quot;-&quot;??_-;_-@_-"/>
    <numFmt numFmtId="176" formatCode="[$-1240A]&quot;$&quot;\ #,##0.00;\(&quot;$&quot;\ #,##0.00\)"/>
    <numFmt numFmtId="177" formatCode="0.000%"/>
    <numFmt numFmtId="178" formatCode="&quot;$&quot;\ #,##0"/>
    <numFmt numFmtId="179" formatCode="00"/>
    <numFmt numFmtId="180" formatCode="000"/>
  </numFmts>
  <fonts count="20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b/>
      <sz val="16"/>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b/>
      <sz val="18"/>
      <name val="Calibri"/>
      <family val="2"/>
    </font>
    <font>
      <b/>
      <sz val="20"/>
      <color theme="0"/>
      <name val="Calibri"/>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b/>
      <sz val="24"/>
      <color theme="0"/>
      <name val="Arial"/>
      <family val="2"/>
    </font>
    <font>
      <b/>
      <sz val="22"/>
      <name val="Arial"/>
      <family val="2"/>
    </font>
    <font>
      <b/>
      <sz val="14"/>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b/>
      <sz val="18"/>
      <color rgb="FFC00000"/>
      <name val="Arial"/>
      <family val="2"/>
    </font>
    <font>
      <b/>
      <sz val="9"/>
      <name val="Arial"/>
      <family val="2"/>
    </font>
    <font>
      <sz val="11"/>
      <color theme="0"/>
      <name val="Arial"/>
      <family val="2"/>
    </font>
    <font>
      <b/>
      <sz val="8"/>
      <name val="Arial"/>
      <family val="2"/>
    </font>
    <font>
      <b/>
      <sz val="20"/>
      <color rgb="FFFF0000"/>
      <name val="Arial"/>
      <family val="2"/>
    </font>
    <font>
      <b/>
      <sz val="10"/>
      <name val="Arial"/>
      <family val="2"/>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2"/>
      <color indexed="81"/>
      <name val="Tahoma"/>
      <family val="2"/>
    </font>
    <font>
      <sz val="12"/>
      <color indexed="81"/>
      <name val="Tahoma"/>
      <family val="2"/>
    </font>
    <font>
      <b/>
      <sz val="20"/>
      <color indexed="81"/>
      <name val="Tahoma"/>
      <family val="2"/>
    </font>
    <font>
      <sz val="20"/>
      <color indexed="81"/>
      <name val="Tahoma"/>
      <family val="2"/>
    </font>
    <font>
      <b/>
      <sz val="20"/>
      <name val="Calibri"/>
      <family val="2"/>
      <scheme val="minor"/>
    </font>
    <font>
      <b/>
      <sz val="24"/>
      <color rgb="FFFF0000"/>
      <name val="Arial"/>
      <family val="2"/>
    </font>
    <font>
      <b/>
      <sz val="18"/>
      <color rgb="FFFF0000"/>
      <name val="Arial"/>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9"/>
      <color theme="0"/>
      <name val="Calibri"/>
      <family val="2"/>
    </font>
    <font>
      <b/>
      <sz val="14"/>
      <color theme="0"/>
      <name val="Calibri"/>
      <family val="2"/>
    </font>
    <font>
      <b/>
      <sz val="16"/>
      <color rgb="FF000000"/>
      <name val="Calibri"/>
      <family val="2"/>
      <scheme val="minor"/>
    </font>
    <font>
      <b/>
      <sz val="20"/>
      <color theme="1"/>
      <name val="Calibri"/>
      <family val="2"/>
    </font>
    <font>
      <b/>
      <sz val="16"/>
      <color rgb="FF000000"/>
      <name val="Times New Roman"/>
      <family val="1"/>
    </font>
    <font>
      <b/>
      <sz val="14"/>
      <color theme="0"/>
      <name val="Arial"/>
      <family val="2"/>
    </font>
    <font>
      <b/>
      <sz val="16"/>
      <color rgb="FFC00000"/>
      <name val="Arial"/>
      <family val="2"/>
    </font>
    <font>
      <b/>
      <sz val="16"/>
      <color rgb="FFFF0000"/>
      <name val="Arial"/>
      <family val="2"/>
    </font>
    <font>
      <b/>
      <sz val="18"/>
      <color theme="1"/>
      <name val="Arial"/>
      <family val="2"/>
    </font>
    <font>
      <b/>
      <sz val="18"/>
      <color theme="0"/>
      <name val="Arial"/>
      <family val="2"/>
    </font>
    <font>
      <b/>
      <sz val="20"/>
      <color theme="1"/>
      <name val="Arial"/>
      <family val="2"/>
    </font>
    <font>
      <b/>
      <sz val="18"/>
      <color rgb="FFFF0000"/>
      <name val="Calibri"/>
      <family val="2"/>
    </font>
    <font>
      <b/>
      <sz val="24"/>
      <name val="Calibri"/>
      <family val="2"/>
    </font>
    <font>
      <b/>
      <sz val="22"/>
      <color rgb="FFFF0000"/>
      <name val="Calibri"/>
      <family val="2"/>
    </font>
    <font>
      <b/>
      <sz val="20"/>
      <color rgb="FFFF0000"/>
      <name val="Calibri"/>
      <family val="2"/>
    </font>
    <font>
      <b/>
      <sz val="18"/>
      <color theme="1"/>
      <name val="Calibri"/>
      <family val="2"/>
      <scheme val="minor"/>
    </font>
    <font>
      <b/>
      <sz val="18"/>
      <color theme="1"/>
      <name val="Calibri"/>
      <family val="2"/>
    </font>
    <font>
      <b/>
      <sz val="12"/>
      <name val="Calibri"/>
      <family val="2"/>
    </font>
    <font>
      <b/>
      <sz val="8"/>
      <name val="Times New Roman"/>
      <family val="1"/>
    </font>
    <font>
      <b/>
      <sz val="14"/>
      <color rgb="FFFF0000"/>
      <name val="Calibri"/>
      <family val="2"/>
    </font>
    <font>
      <b/>
      <sz val="12"/>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FF0000"/>
      <name val="Calibri"/>
      <family val="2"/>
    </font>
    <font>
      <b/>
      <sz val="26"/>
      <name val="Calibri"/>
      <family val="2"/>
    </font>
    <font>
      <b/>
      <sz val="22"/>
      <color theme="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14"/>
      <color rgb="FFFF0000"/>
      <name val="Arial"/>
      <family val="2"/>
    </font>
    <font>
      <b/>
      <sz val="8"/>
      <color theme="1"/>
      <name val="Arial"/>
      <family val="2"/>
    </font>
    <font>
      <b/>
      <strike/>
      <sz val="28"/>
      <name val="Arial"/>
      <family val="2"/>
    </font>
    <font>
      <b/>
      <strike/>
      <sz val="20"/>
      <color theme="1"/>
      <name val="Arial"/>
      <family val="2"/>
    </font>
    <font>
      <b/>
      <strike/>
      <sz val="20"/>
      <name val="Arial"/>
      <family val="2"/>
    </font>
    <font>
      <b/>
      <sz val="16"/>
      <color indexed="81"/>
      <name val="Tahoma"/>
      <family val="2"/>
    </font>
    <font>
      <sz val="16"/>
      <color indexed="81"/>
      <name val="Tahoma"/>
      <family val="2"/>
    </font>
    <font>
      <b/>
      <strike/>
      <sz val="22"/>
      <color theme="0"/>
      <name val="Arial"/>
      <family val="2"/>
    </font>
    <font>
      <b/>
      <sz val="10"/>
      <color theme="1"/>
      <name val="Arial"/>
      <family val="2"/>
    </font>
    <font>
      <b/>
      <sz val="18"/>
      <color indexed="81"/>
      <name val="Tahoma"/>
      <family val="2"/>
    </font>
    <font>
      <sz val="18"/>
      <color indexed="81"/>
      <name val="Tahoma"/>
      <family val="2"/>
    </font>
    <font>
      <b/>
      <sz val="48"/>
      <color theme="1"/>
      <name val="Arial"/>
      <family val="2"/>
    </font>
    <font>
      <b/>
      <sz val="48"/>
      <color rgb="FF7030A0"/>
      <name val="Arial"/>
      <family val="2"/>
    </font>
    <font>
      <b/>
      <sz val="22"/>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sz val="48"/>
      <color theme="1"/>
      <name val="Calibri"/>
      <family val="2"/>
      <scheme val="minor"/>
    </font>
    <font>
      <b/>
      <sz val="14"/>
      <color indexed="81"/>
      <name val="Tahoma"/>
      <family val="2"/>
    </font>
    <font>
      <sz val="14"/>
      <color indexed="81"/>
      <name val="Tahoma"/>
      <family val="2"/>
    </font>
    <font>
      <sz val="11"/>
      <color theme="1"/>
      <name val="Arial"/>
      <family val="2"/>
    </font>
    <font>
      <b/>
      <sz val="11"/>
      <color theme="1"/>
      <name val="Arial"/>
      <family val="2"/>
    </font>
    <font>
      <b/>
      <sz val="20"/>
      <color theme="4" tint="-0.499984740745262"/>
      <name val="Arial"/>
      <family val="2"/>
    </font>
    <font>
      <u val="doubleAccounting"/>
      <sz val="48"/>
      <name val="Arial"/>
      <family val="2"/>
    </font>
    <font>
      <b/>
      <u val="doubleAccounting"/>
      <sz val="48"/>
      <name val="Arial"/>
      <family val="2"/>
    </font>
    <font>
      <b/>
      <strike/>
      <sz val="22"/>
      <color theme="1"/>
      <name val="Arial"/>
      <family val="2"/>
    </font>
    <font>
      <b/>
      <sz val="9"/>
      <color theme="1"/>
      <name val="Arial"/>
      <family val="2"/>
    </font>
    <font>
      <b/>
      <sz val="8"/>
      <color theme="1"/>
      <name val="Calibri"/>
      <family val="2"/>
      <scheme val="minor"/>
    </font>
    <font>
      <sz val="8"/>
      <color theme="1"/>
      <name val="Arial"/>
      <family val="2"/>
    </font>
  </fonts>
  <fills count="4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CC99FF"/>
        <bgColor indexed="64"/>
      </patternFill>
    </fill>
    <fill>
      <patternFill patternType="solid">
        <fgColor theme="1" tint="0.499984740745262"/>
        <bgColor indexed="64"/>
      </patternFill>
    </fill>
    <fill>
      <patternFill patternType="solid">
        <fgColor rgb="FFFF00FF"/>
        <bgColor indexed="64"/>
      </patternFill>
    </fill>
    <fill>
      <patternFill patternType="solid">
        <fgColor rgb="FFFF9900"/>
        <bgColor indexed="64"/>
      </patternFill>
    </fill>
    <fill>
      <patternFill patternType="solid">
        <fgColor rgb="FFBA8CDC"/>
        <bgColor indexed="64"/>
      </patternFill>
    </fill>
    <fill>
      <patternFill patternType="solid">
        <fgColor rgb="FF00FFFF"/>
        <bgColor indexed="64"/>
      </patternFill>
    </fill>
  </fills>
  <borders count="4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8">
    <xf numFmtId="0" fontId="0" fillId="0" borderId="0"/>
    <xf numFmtId="0" fontId="42" fillId="2" borderId="0" applyNumberFormat="0" applyBorder="0" applyAlignment="0" applyProtection="0"/>
    <xf numFmtId="165" fontId="46" fillId="0" borderId="0" applyFont="0" applyFill="0" applyBorder="0" applyAlignment="0" applyProtection="0"/>
    <xf numFmtId="0" fontId="54" fillId="0" borderId="0" applyNumberFormat="0" applyFill="0" applyBorder="0" applyAlignment="0" applyProtection="0"/>
    <xf numFmtId="168" fontId="46" fillId="0" borderId="0" applyFont="0" applyFill="0" applyBorder="0" applyAlignment="0" applyProtection="0"/>
    <xf numFmtId="44" fontId="46" fillId="0" borderId="0" applyFont="0" applyFill="0" applyBorder="0" applyAlignment="0" applyProtection="0"/>
    <xf numFmtId="41" fontId="46" fillId="0" borderId="0" applyFont="0" applyFill="0" applyBorder="0" applyAlignment="0" applyProtection="0"/>
    <xf numFmtId="44" fontId="40" fillId="0" borderId="0" applyFont="0" applyFill="0" applyBorder="0" applyAlignment="0" applyProtection="0"/>
    <xf numFmtId="165" fontId="46" fillId="0" borderId="0" applyFont="0" applyFill="0" applyBorder="0" applyAlignment="0" applyProtection="0"/>
    <xf numFmtId="0" fontId="79" fillId="0" borderId="0"/>
    <xf numFmtId="0" fontId="46" fillId="0" borderId="0"/>
    <xf numFmtId="9" fontId="46" fillId="0" borderId="0" applyFont="0" applyFill="0" applyBorder="0" applyAlignment="0" applyProtection="0"/>
    <xf numFmtId="165" fontId="39" fillId="0" borderId="0" applyFont="0" applyFill="0" applyBorder="0" applyAlignment="0" applyProtection="0"/>
    <xf numFmtId="168" fontId="39" fillId="0" borderId="0" applyFont="0" applyFill="0" applyBorder="0" applyAlignment="0" applyProtection="0"/>
    <xf numFmtId="44" fontId="39" fillId="0" borderId="0" applyFont="0" applyFill="0" applyBorder="0" applyAlignment="0" applyProtection="0"/>
    <xf numFmtId="41"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8" fontId="38" fillId="0" borderId="0" applyFont="0" applyFill="0" applyBorder="0" applyAlignment="0" applyProtection="0"/>
    <xf numFmtId="44" fontId="38" fillId="0" borderId="0" applyFont="0" applyFill="0" applyBorder="0" applyAlignment="0" applyProtection="0"/>
    <xf numFmtId="41"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8" fontId="37" fillId="0" borderId="0" applyFont="0" applyFill="0" applyBorder="0" applyAlignment="0" applyProtection="0"/>
    <xf numFmtId="44" fontId="37" fillId="0" borderId="0" applyFont="0" applyFill="0" applyBorder="0" applyAlignment="0" applyProtection="0"/>
    <xf numFmtId="41"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8" fontId="36" fillId="0" borderId="0" applyFont="0" applyFill="0" applyBorder="0" applyAlignment="0" applyProtection="0"/>
    <xf numFmtId="44"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8" fontId="35" fillId="0" borderId="0" applyFont="0" applyFill="0" applyBorder="0" applyAlignment="0" applyProtection="0"/>
    <xf numFmtId="4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5" fontId="34" fillId="0" borderId="0" applyFont="0" applyFill="0" applyBorder="0" applyAlignment="0" applyProtection="0"/>
    <xf numFmtId="168" fontId="34" fillId="0" borderId="0" applyFont="0" applyFill="0" applyBorder="0" applyAlignment="0" applyProtection="0"/>
    <xf numFmtId="44" fontId="34" fillId="0" borderId="0" applyFont="0" applyFill="0" applyBorder="0" applyAlignment="0" applyProtection="0"/>
    <xf numFmtId="41" fontId="34" fillId="0" borderId="0" applyFont="0" applyFill="0" applyBorder="0" applyAlignment="0" applyProtection="0"/>
    <xf numFmtId="165" fontId="34"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165" fontId="32" fillId="0" borderId="0" applyFont="0" applyFill="0" applyBorder="0" applyAlignment="0" applyProtection="0"/>
    <xf numFmtId="168" fontId="32" fillId="0" borderId="0" applyFont="0" applyFill="0" applyBorder="0" applyAlignment="0" applyProtection="0"/>
    <xf numFmtId="4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5" fontId="31" fillId="0" borderId="0" applyFont="0" applyFill="0" applyBorder="0" applyAlignment="0" applyProtection="0"/>
    <xf numFmtId="168"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8" fontId="30" fillId="0" borderId="0" applyFont="0" applyFill="0" applyBorder="0" applyAlignment="0" applyProtection="0"/>
    <xf numFmtId="4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168" fontId="29"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0" fontId="27" fillId="0" borderId="0"/>
    <xf numFmtId="168" fontId="26" fillId="0" borderId="0" applyFont="0" applyFill="0" applyBorder="0" applyAlignment="0" applyProtection="0"/>
    <xf numFmtId="9" fontId="26" fillId="0" borderId="0" applyFont="0" applyFill="0" applyBorder="0" applyAlignment="0" applyProtection="0"/>
    <xf numFmtId="0" fontId="26" fillId="0" borderId="0"/>
    <xf numFmtId="44" fontId="26" fillId="0" borderId="0" applyFont="0" applyFill="0" applyBorder="0" applyAlignment="0" applyProtection="0"/>
    <xf numFmtId="165" fontId="25" fillId="0" borderId="0" applyFont="0" applyFill="0" applyBorder="0" applyAlignment="0" applyProtection="0"/>
    <xf numFmtId="168" fontId="25" fillId="0" borderId="0" applyFont="0" applyFill="0" applyBorder="0" applyAlignment="0" applyProtection="0"/>
    <xf numFmtId="44"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4" fontId="25" fillId="0" borderId="0" applyFont="0" applyFill="0" applyBorder="0" applyAlignment="0" applyProtection="0"/>
    <xf numFmtId="165" fontId="24" fillId="0" borderId="0" applyFont="0" applyFill="0" applyBorder="0" applyAlignment="0" applyProtection="0"/>
    <xf numFmtId="168" fontId="24" fillId="0" borderId="0" applyFont="0" applyFill="0" applyBorder="0" applyAlignment="0" applyProtection="0"/>
    <xf numFmtId="4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24" fillId="0" borderId="0" applyFont="0" applyFill="0" applyBorder="0" applyAlignment="0" applyProtection="0"/>
    <xf numFmtId="168" fontId="23"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164" fontId="40"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169" fontId="40" fillId="0" borderId="0" applyFont="0" applyFill="0" applyBorder="0" applyAlignment="0" applyProtection="0"/>
    <xf numFmtId="165" fontId="22" fillId="0" borderId="0" applyFont="0" applyFill="0" applyBorder="0" applyAlignment="0" applyProtection="0"/>
    <xf numFmtId="168"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0" fontId="20" fillId="0" borderId="0"/>
    <xf numFmtId="169" fontId="20" fillId="0" borderId="0" applyFont="0" applyFill="0" applyBorder="0" applyAlignment="0" applyProtection="0"/>
    <xf numFmtId="165" fontId="19" fillId="0" borderId="0" applyFont="0" applyFill="0" applyBorder="0" applyAlignment="0" applyProtection="0"/>
    <xf numFmtId="168" fontId="19" fillId="0" borderId="0" applyFont="0" applyFill="0" applyBorder="0" applyAlignment="0" applyProtection="0"/>
    <xf numFmtId="44" fontId="19" fillId="0" borderId="0" applyFont="0" applyFill="0" applyBorder="0" applyAlignment="0" applyProtection="0"/>
    <xf numFmtId="41" fontId="19" fillId="0" borderId="0" applyFont="0" applyFill="0" applyBorder="0" applyAlignment="0" applyProtection="0"/>
    <xf numFmtId="165" fontId="79"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8" fontId="16" fillId="0" borderId="0" applyFont="0" applyFill="0" applyBorder="0" applyAlignment="0" applyProtection="0"/>
    <xf numFmtId="0" fontId="16" fillId="0" borderId="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9" fontId="40" fillId="0" borderId="0" applyFont="0" applyFill="0" applyBorder="0" applyAlignment="0" applyProtection="0"/>
    <xf numFmtId="0" fontId="14" fillId="0" borderId="0"/>
    <xf numFmtId="166" fontId="14" fillId="0" borderId="0" applyFont="0" applyFill="0" applyBorder="0" applyAlignment="0" applyProtection="0"/>
    <xf numFmtId="0" fontId="13" fillId="0" borderId="0"/>
    <xf numFmtId="167" fontId="13"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79" fontId="170" fillId="0" borderId="0" applyFill="0">
      <alignment horizontal="center" vertical="center" wrapText="1"/>
    </xf>
    <xf numFmtId="180" fontId="170" fillId="21" borderId="0" applyFill="0" applyProtection="0">
      <alignment horizontal="center" vertical="center"/>
    </xf>
    <xf numFmtId="1" fontId="170" fillId="3" borderId="0" applyFill="0">
      <alignment horizontal="center" vertical="center"/>
    </xf>
    <xf numFmtId="16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5" fillId="0" borderId="0"/>
    <xf numFmtId="166" fontId="5" fillId="0" borderId="0" applyFont="0" applyFill="0" applyBorder="0" applyAlignment="0" applyProtection="0"/>
    <xf numFmtId="164" fontId="5"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166" fontId="2" fillId="0" borderId="0" applyFont="0" applyFill="0" applyBorder="0" applyAlignment="0" applyProtection="0"/>
    <xf numFmtId="164" fontId="2" fillId="0" borderId="0" applyFont="0" applyFill="0" applyBorder="0" applyAlignment="0" applyProtection="0"/>
    <xf numFmtId="0" fontId="1" fillId="0" borderId="0"/>
  </cellStyleXfs>
  <cellXfs count="1066">
    <xf numFmtId="0" fontId="0" fillId="0" borderId="0" xfId="0"/>
    <xf numFmtId="0" fontId="4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5" fillId="0" borderId="0" xfId="0" applyFont="1" applyBorder="1" applyAlignment="1">
      <alignment vertical="center" wrapText="1"/>
    </xf>
    <xf numFmtId="0" fontId="0" fillId="0" borderId="0" xfId="0" applyFont="1" applyFill="1" applyBorder="1" applyAlignment="1">
      <alignment horizontal="center" vertical="center" wrapText="1"/>
    </xf>
    <xf numFmtId="0" fontId="47"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0" fillId="4" borderId="0" xfId="0" applyFont="1" applyFill="1" applyBorder="1" applyAlignment="1">
      <alignment horizontal="center" vertical="center" wrapText="1"/>
    </xf>
    <xf numFmtId="0" fontId="51" fillId="0" borderId="0" xfId="0" applyFont="1" applyBorder="1" applyAlignment="1">
      <alignment horizontal="center" vertical="center" wrapText="1"/>
    </xf>
    <xf numFmtId="0" fontId="45" fillId="0" borderId="0" xfId="0" applyFont="1" applyBorder="1" applyAlignment="1">
      <alignment horizontal="left" vertical="center" wrapText="1"/>
    </xf>
    <xf numFmtId="0" fontId="44" fillId="3" borderId="0" xfId="0" applyFont="1" applyFill="1" applyAlignment="1">
      <alignment horizontal="center" vertical="center" wrapText="1"/>
    </xf>
    <xf numFmtId="0" fontId="44" fillId="0" borderId="2" xfId="0" applyFont="1" applyBorder="1" applyAlignment="1">
      <alignment horizontal="center" vertical="center" wrapText="1"/>
    </xf>
    <xf numFmtId="0" fontId="47" fillId="4" borderId="0" xfId="0" applyFont="1" applyFill="1" applyAlignment="1">
      <alignment vertical="center" wrapText="1"/>
    </xf>
    <xf numFmtId="0" fontId="4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5"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6" fillId="0" borderId="2" xfId="0" applyFont="1" applyBorder="1" applyAlignment="1">
      <alignment horizontal="center" vertical="center" wrapText="1"/>
    </xf>
    <xf numFmtId="44" fontId="47" fillId="4" borderId="0" xfId="0" applyNumberFormat="1" applyFont="1" applyFill="1" applyAlignment="1">
      <alignment vertical="center" wrapText="1"/>
    </xf>
    <xf numFmtId="173"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0" fontId="0" fillId="0" borderId="0" xfId="0" applyFill="1"/>
    <xf numFmtId="0" fontId="74" fillId="4" borderId="0" xfId="0" applyFont="1" applyFill="1"/>
    <xf numFmtId="0" fontId="74" fillId="0" borderId="0" xfId="0" applyFont="1" applyFill="1"/>
    <xf numFmtId="0" fontId="68" fillId="4" borderId="0" xfId="0" applyFont="1" applyFill="1" applyBorder="1" applyAlignment="1">
      <alignment horizontal="center" vertical="center" wrapText="1"/>
    </xf>
    <xf numFmtId="39" fontId="82" fillId="0" borderId="0" xfId="9" applyNumberFormat="1" applyFont="1" applyFill="1" applyBorder="1" applyAlignment="1"/>
    <xf numFmtId="39" fontId="83" fillId="0" borderId="0" xfId="9" applyNumberFormat="1" applyFont="1" applyFill="1" applyBorder="1" applyAlignment="1"/>
    <xf numFmtId="0" fontId="84" fillId="0" borderId="0" xfId="9" applyNumberFormat="1" applyFont="1" applyFill="1" applyBorder="1" applyAlignment="1">
      <alignment horizontal="center" vertical="center" wrapText="1" readingOrder="1"/>
    </xf>
    <xf numFmtId="49" fontId="85" fillId="8" borderId="0" xfId="9" applyNumberFormat="1" applyFont="1" applyFill="1" applyBorder="1" applyAlignment="1">
      <alignment horizontal="center" vertical="center" wrapText="1" readingOrder="1"/>
    </xf>
    <xf numFmtId="0" fontId="86" fillId="8" borderId="0" xfId="9" applyNumberFormat="1" applyFont="1" applyFill="1" applyBorder="1" applyAlignment="1">
      <alignment horizontal="center" vertical="center" wrapText="1" readingOrder="1"/>
    </xf>
    <xf numFmtId="174" fontId="85" fillId="8" borderId="0" xfId="9" applyNumberFormat="1" applyFont="1" applyFill="1" applyBorder="1" applyAlignment="1">
      <alignment horizontal="center" vertical="center" wrapText="1" readingOrder="1"/>
    </xf>
    <xf numFmtId="0" fontId="85" fillId="8" borderId="0" xfId="9" applyNumberFormat="1" applyFont="1" applyFill="1" applyBorder="1" applyAlignment="1">
      <alignment horizontal="center" vertical="center" wrapText="1" readingOrder="1"/>
    </xf>
    <xf numFmtId="0" fontId="86" fillId="8" borderId="20" xfId="9" applyNumberFormat="1" applyFont="1" applyFill="1" applyBorder="1" applyAlignment="1">
      <alignment vertical="center" wrapText="1" readingOrder="1"/>
    </xf>
    <xf numFmtId="0" fontId="87" fillId="5" borderId="20" xfId="9" applyNumberFormat="1" applyFont="1" applyFill="1" applyBorder="1" applyAlignment="1">
      <alignment vertical="center" wrapText="1" readingOrder="1"/>
    </xf>
    <xf numFmtId="0" fontId="88" fillId="8" borderId="20" xfId="9" applyNumberFormat="1" applyFont="1" applyFill="1" applyBorder="1" applyAlignment="1">
      <alignment vertical="center" wrapText="1" readingOrder="1"/>
    </xf>
    <xf numFmtId="0" fontId="89" fillId="5" borderId="0" xfId="9" applyFont="1" applyFill="1" applyBorder="1" applyAlignment="1">
      <alignment vertical="center" wrapText="1"/>
    </xf>
    <xf numFmtId="0" fontId="89" fillId="8" borderId="0" xfId="9" applyFont="1" applyFill="1" applyBorder="1" applyAlignment="1">
      <alignment vertical="center" wrapText="1"/>
    </xf>
    <xf numFmtId="0" fontId="86" fillId="8" borderId="5" xfId="9" applyNumberFormat="1" applyFont="1" applyFill="1" applyBorder="1" applyAlignment="1">
      <alignment vertical="center" wrapText="1" readingOrder="1"/>
    </xf>
    <xf numFmtId="0" fontId="91" fillId="5" borderId="0" xfId="9" applyFont="1" applyFill="1" applyBorder="1"/>
    <xf numFmtId="0" fontId="92" fillId="8" borderId="0" xfId="9" applyFont="1" applyFill="1" applyBorder="1"/>
    <xf numFmtId="0" fontId="92" fillId="8" borderId="0" xfId="9" applyFont="1" applyFill="1" applyBorder="1" applyAlignment="1">
      <alignment horizontal="center" vertical="center"/>
    </xf>
    <xf numFmtId="170" fontId="94" fillId="4" borderId="0" xfId="9" applyNumberFormat="1" applyFont="1" applyFill="1" applyBorder="1"/>
    <xf numFmtId="0" fontId="94" fillId="4" borderId="0" xfId="9" applyFont="1" applyFill="1" applyBorder="1"/>
    <xf numFmtId="49" fontId="86" fillId="8" borderId="17" xfId="9" applyNumberFormat="1" applyFont="1" applyFill="1" applyBorder="1" applyAlignment="1">
      <alignment horizontal="center" vertical="center" wrapText="1" readingOrder="1"/>
    </xf>
    <xf numFmtId="0" fontId="86" fillId="8" borderId="6" xfId="9" applyNumberFormat="1" applyFont="1" applyFill="1" applyBorder="1" applyAlignment="1">
      <alignment horizontal="center" vertical="center" wrapText="1" readingOrder="1"/>
    </xf>
    <xf numFmtId="0" fontId="95" fillId="9" borderId="17" xfId="9" applyNumberFormat="1" applyFont="1" applyFill="1" applyBorder="1" applyAlignment="1">
      <alignment horizontal="center" vertical="center" wrapText="1" readingOrder="1"/>
    </xf>
    <xf numFmtId="0" fontId="82" fillId="5" borderId="2" xfId="9" applyFont="1" applyFill="1" applyBorder="1" applyAlignment="1">
      <alignment vertical="center" wrapText="1"/>
    </xf>
    <xf numFmtId="0" fontId="92" fillId="8" borderId="2" xfId="9" applyFont="1" applyFill="1" applyBorder="1" applyAlignment="1">
      <alignment vertical="center" wrapText="1"/>
    </xf>
    <xf numFmtId="0" fontId="90" fillId="5" borderId="17" xfId="9" applyNumberFormat="1" applyFont="1" applyFill="1" applyBorder="1" applyAlignment="1">
      <alignment horizontal="center" vertical="center" wrapText="1" readingOrder="1"/>
    </xf>
    <xf numFmtId="0" fontId="90" fillId="5" borderId="6" xfId="9" applyNumberFormat="1" applyFont="1" applyFill="1" applyBorder="1" applyAlignment="1">
      <alignment horizontal="center" vertical="center" wrapText="1" readingOrder="1"/>
    </xf>
    <xf numFmtId="0" fontId="91" fillId="5" borderId="6" xfId="9" applyFont="1" applyFill="1" applyBorder="1" applyAlignment="1">
      <alignment horizontal="center" vertical="center" wrapText="1"/>
    </xf>
    <xf numFmtId="0" fontId="92" fillId="8" borderId="2" xfId="9" applyFont="1" applyFill="1" applyBorder="1" applyAlignment="1">
      <alignment horizontal="center" vertical="center" wrapText="1"/>
    </xf>
    <xf numFmtId="0" fontId="81" fillId="5" borderId="2" xfId="9" applyFont="1" applyFill="1" applyBorder="1" applyAlignment="1">
      <alignment horizontal="center" vertical="center" wrapText="1"/>
    </xf>
    <xf numFmtId="49" fontId="97" fillId="3" borderId="0" xfId="9" applyNumberFormat="1" applyFont="1" applyFill="1" applyBorder="1" applyAlignment="1">
      <alignment horizontal="center" vertical="center" wrapText="1" readingOrder="1"/>
    </xf>
    <xf numFmtId="49" fontId="97" fillId="3" borderId="17" xfId="9" applyNumberFormat="1" applyFont="1" applyFill="1" applyBorder="1" applyAlignment="1">
      <alignment horizontal="center" vertical="center" wrapText="1" readingOrder="1"/>
    </xf>
    <xf numFmtId="0" fontId="88" fillId="3" borderId="17" xfId="9" applyNumberFormat="1" applyFont="1" applyFill="1" applyBorder="1" applyAlignment="1">
      <alignment horizontal="center" vertical="center" wrapText="1" readingOrder="1"/>
    </xf>
    <xf numFmtId="0" fontId="97" fillId="3" borderId="17" xfId="9" applyNumberFormat="1" applyFont="1" applyFill="1" applyBorder="1" applyAlignment="1">
      <alignment horizontal="center" vertical="center" wrapText="1" readingOrder="1"/>
    </xf>
    <xf numFmtId="0" fontId="98" fillId="3" borderId="17" xfId="9" applyNumberFormat="1" applyFont="1" applyFill="1" applyBorder="1" applyAlignment="1">
      <alignment horizontal="center" vertical="center" wrapText="1" readingOrder="1"/>
    </xf>
    <xf numFmtId="0" fontId="88" fillId="3" borderId="6" xfId="9" applyNumberFormat="1" applyFont="1" applyFill="1" applyBorder="1" applyAlignment="1">
      <alignment horizontal="center" vertical="center" wrapText="1" readingOrder="1"/>
    </xf>
    <xf numFmtId="0" fontId="87" fillId="3" borderId="17" xfId="9" applyNumberFormat="1" applyFont="1" applyFill="1" applyBorder="1" applyAlignment="1">
      <alignment horizontal="center" vertical="center" wrapText="1" readingOrder="1"/>
    </xf>
    <xf numFmtId="0" fontId="99" fillId="3" borderId="2" xfId="9" applyFont="1" applyFill="1" applyBorder="1" applyAlignment="1">
      <alignment vertical="center" wrapText="1"/>
    </xf>
    <xf numFmtId="0" fontId="89" fillId="3" borderId="2" xfId="9" applyFont="1" applyFill="1" applyBorder="1" applyAlignment="1">
      <alignment vertical="center" wrapText="1"/>
    </xf>
    <xf numFmtId="0" fontId="100" fillId="3" borderId="17" xfId="9" applyNumberFormat="1" applyFont="1" applyFill="1" applyBorder="1" applyAlignment="1">
      <alignment horizontal="center" vertical="center" wrapText="1" readingOrder="1"/>
    </xf>
    <xf numFmtId="0" fontId="100" fillId="3" borderId="6" xfId="9" applyNumberFormat="1" applyFont="1" applyFill="1" applyBorder="1" applyAlignment="1">
      <alignment horizontal="center" vertical="center" wrapText="1" readingOrder="1"/>
    </xf>
    <xf numFmtId="0" fontId="101" fillId="3" borderId="6" xfId="9" applyFont="1" applyFill="1" applyBorder="1" applyAlignment="1">
      <alignment horizontal="center" vertical="center" wrapText="1"/>
    </xf>
    <xf numFmtId="0" fontId="102" fillId="3" borderId="2" xfId="9" applyFont="1" applyFill="1" applyBorder="1" applyAlignment="1">
      <alignment horizontal="center" vertical="center" wrapText="1"/>
    </xf>
    <xf numFmtId="0" fontId="92" fillId="3" borderId="0" xfId="9" applyFont="1" applyFill="1" applyBorder="1" applyAlignment="1">
      <alignment horizontal="center" vertical="center"/>
    </xf>
    <xf numFmtId="0" fontId="80" fillId="3" borderId="2" xfId="9" applyFont="1" applyFill="1" applyBorder="1" applyAlignment="1">
      <alignment horizontal="center" vertical="center" wrapText="1"/>
    </xf>
    <xf numFmtId="0" fontId="86" fillId="10" borderId="2" xfId="9" applyNumberFormat="1" applyFont="1" applyFill="1" applyBorder="1" applyAlignment="1">
      <alignment horizontal="left" vertical="center" wrapText="1" readingOrder="1"/>
    </xf>
    <xf numFmtId="39" fontId="104" fillId="10" borderId="2" xfId="9" applyNumberFormat="1" applyFont="1" applyFill="1" applyBorder="1" applyAlignment="1">
      <alignment horizontal="right" vertical="center" wrapText="1" readingOrder="1"/>
    </xf>
    <xf numFmtId="0" fontId="86" fillId="8" borderId="2" xfId="9" applyNumberFormat="1" applyFont="1" applyFill="1" applyBorder="1" applyAlignment="1">
      <alignment horizontal="left" vertical="center" wrapText="1" readingOrder="1"/>
    </xf>
    <xf numFmtId="39" fontId="105" fillId="8" borderId="2" xfId="9" applyNumberFormat="1" applyFont="1" applyFill="1" applyBorder="1" applyAlignment="1">
      <alignment horizontal="right" vertical="center" wrapText="1" readingOrder="1"/>
    </xf>
    <xf numFmtId="39" fontId="71" fillId="3" borderId="2" xfId="9" applyNumberFormat="1" applyFont="1" applyFill="1" applyBorder="1" applyAlignment="1">
      <alignment horizontal="right" vertical="center" wrapText="1" readingOrder="1"/>
    </xf>
    <xf numFmtId="39" fontId="106" fillId="3" borderId="2" xfId="9" applyNumberFormat="1" applyFont="1" applyFill="1" applyBorder="1" applyAlignment="1">
      <alignment horizontal="right" vertical="center"/>
    </xf>
    <xf numFmtId="39" fontId="107" fillId="10" borderId="2" xfId="9" applyNumberFormat="1" applyFont="1" applyFill="1" applyBorder="1" applyAlignment="1">
      <alignment horizontal="right" vertical="center" wrapText="1" readingOrder="1"/>
    </xf>
    <xf numFmtId="39" fontId="86" fillId="10" borderId="5" xfId="9" applyNumberFormat="1" applyFont="1" applyFill="1" applyBorder="1" applyAlignment="1">
      <alignment horizontal="right" vertical="center"/>
    </xf>
    <xf numFmtId="39" fontId="86" fillId="10" borderId="2" xfId="9" applyNumberFormat="1" applyFont="1" applyFill="1" applyBorder="1" applyAlignment="1">
      <alignment horizontal="center" vertical="center" wrapText="1"/>
    </xf>
    <xf numFmtId="39" fontId="95" fillId="3" borderId="6" xfId="9" applyNumberFormat="1" applyFont="1" applyFill="1" applyBorder="1" applyAlignment="1">
      <alignment horizontal="right" vertical="center"/>
    </xf>
    <xf numFmtId="39" fontId="95" fillId="17" borderId="2" xfId="9" applyNumberFormat="1" applyFont="1" applyFill="1" applyBorder="1" applyAlignment="1">
      <alignment horizontal="center" vertical="center" wrapText="1"/>
    </xf>
    <xf numFmtId="39" fontId="95" fillId="14" borderId="23" xfId="9" applyNumberFormat="1" applyFont="1" applyFill="1" applyBorder="1" applyAlignment="1">
      <alignment horizontal="right" vertical="center" wrapText="1" readingOrder="1"/>
    </xf>
    <xf numFmtId="39" fontId="95" fillId="14" borderId="26" xfId="9" applyNumberFormat="1" applyFont="1" applyFill="1" applyBorder="1" applyAlignment="1">
      <alignment horizontal="right" vertical="center" wrapText="1" readingOrder="1"/>
    </xf>
    <xf numFmtId="39" fontId="106" fillId="14" borderId="26" xfId="9" applyNumberFormat="1" applyFont="1" applyFill="1" applyBorder="1" applyAlignment="1">
      <alignment horizontal="right" vertical="center" wrapText="1" readingOrder="1"/>
    </xf>
    <xf numFmtId="39" fontId="95" fillId="10" borderId="27" xfId="9" applyNumberFormat="1" applyFont="1" applyFill="1" applyBorder="1" applyAlignment="1">
      <alignment horizontal="right" vertical="center" wrapText="1" readingOrder="1"/>
    </xf>
    <xf numFmtId="39" fontId="95" fillId="14" borderId="26" xfId="9" applyNumberFormat="1" applyFont="1" applyFill="1" applyBorder="1" applyAlignment="1">
      <alignment horizontal="center" vertical="center" wrapText="1"/>
    </xf>
    <xf numFmtId="39" fontId="95" fillId="14" borderId="28" xfId="9" applyNumberFormat="1" applyFont="1" applyFill="1" applyBorder="1" applyAlignment="1">
      <alignment horizontal="right" vertical="center" wrapText="1" readingOrder="1"/>
    </xf>
    <xf numFmtId="39" fontId="95" fillId="14" borderId="29" xfId="9" applyNumberFormat="1" applyFont="1" applyFill="1" applyBorder="1" applyAlignment="1">
      <alignment horizontal="right" vertical="center" wrapText="1" readingOrder="1"/>
    </xf>
    <xf numFmtId="39" fontId="108" fillId="3" borderId="0" xfId="9" applyNumberFormat="1" applyFont="1" applyFill="1" applyBorder="1" applyAlignment="1">
      <alignment horizontal="center" vertical="center" wrapText="1"/>
    </xf>
    <xf numFmtId="39" fontId="95" fillId="14" borderId="30" xfId="9" applyNumberFormat="1" applyFont="1" applyFill="1" applyBorder="1" applyAlignment="1">
      <alignment horizontal="right" vertical="center" wrapText="1" readingOrder="1"/>
    </xf>
    <xf numFmtId="39" fontId="95" fillId="14" borderId="33" xfId="9" applyNumberFormat="1" applyFont="1" applyFill="1" applyBorder="1" applyAlignment="1">
      <alignment horizontal="right" vertical="center" wrapText="1" readingOrder="1"/>
    </xf>
    <xf numFmtId="39" fontId="106" fillId="14" borderId="33" xfId="9" applyNumberFormat="1" applyFont="1" applyFill="1" applyBorder="1" applyAlignment="1">
      <alignment horizontal="right" vertical="center" wrapText="1" readingOrder="1"/>
    </xf>
    <xf numFmtId="39" fontId="95" fillId="14" borderId="33" xfId="9" applyNumberFormat="1" applyFont="1" applyFill="1" applyBorder="1" applyAlignment="1">
      <alignment horizontal="center" vertical="center" wrapText="1"/>
    </xf>
    <xf numFmtId="39" fontId="95" fillId="14" borderId="34" xfId="9" applyNumberFormat="1" applyFont="1" applyFill="1" applyBorder="1" applyAlignment="1">
      <alignment horizontal="right" vertical="center" wrapText="1" readingOrder="1"/>
    </xf>
    <xf numFmtId="49" fontId="104" fillId="10" borderId="22" xfId="9" applyNumberFormat="1" applyFont="1" applyFill="1" applyBorder="1" applyAlignment="1">
      <alignment horizontal="center" vertical="center" wrapText="1" readingOrder="1"/>
    </xf>
    <xf numFmtId="0" fontId="86" fillId="10" borderId="22" xfId="9" applyNumberFormat="1" applyFont="1" applyFill="1" applyBorder="1" applyAlignment="1">
      <alignment horizontal="left" vertical="center" wrapText="1" readingOrder="1"/>
    </xf>
    <xf numFmtId="0" fontId="104" fillId="10" borderId="22" xfId="9" applyNumberFormat="1" applyFont="1" applyFill="1" applyBorder="1" applyAlignment="1">
      <alignment horizontal="left" vertical="center" wrapText="1" readingOrder="1"/>
    </xf>
    <xf numFmtId="39" fontId="104" fillId="10" borderId="2" xfId="9" applyNumberFormat="1" applyFont="1" applyFill="1" applyBorder="1" applyAlignment="1">
      <alignment horizontal="right" vertical="center"/>
    </xf>
    <xf numFmtId="39" fontId="104" fillId="10" borderId="2" xfId="9" applyNumberFormat="1" applyFont="1" applyFill="1" applyBorder="1" applyAlignment="1">
      <alignment horizontal="center" vertical="center" wrapText="1"/>
    </xf>
    <xf numFmtId="39" fontId="104" fillId="10" borderId="4" xfId="9" applyNumberFormat="1" applyFont="1" applyFill="1" applyBorder="1" applyAlignment="1">
      <alignment horizontal="right" vertical="center"/>
    </xf>
    <xf numFmtId="10" fontId="104" fillId="10" borderId="2" xfId="9" applyNumberFormat="1" applyFont="1" applyFill="1" applyBorder="1" applyAlignment="1">
      <alignment horizontal="center" vertical="center"/>
    </xf>
    <xf numFmtId="10" fontId="109" fillId="10" borderId="0" xfId="9" applyNumberFormat="1" applyFont="1" applyFill="1" applyBorder="1" applyAlignment="1">
      <alignment horizontal="center" vertical="center"/>
    </xf>
    <xf numFmtId="0" fontId="109" fillId="10" borderId="2" xfId="9" applyFont="1" applyFill="1" applyBorder="1"/>
    <xf numFmtId="10" fontId="109" fillId="10" borderId="2" xfId="9" applyNumberFormat="1" applyFont="1" applyFill="1" applyBorder="1" applyAlignment="1">
      <alignment horizontal="center" vertical="center" wrapText="1"/>
    </xf>
    <xf numFmtId="0" fontId="109" fillId="10" borderId="0" xfId="9" applyFont="1" applyFill="1" applyBorder="1"/>
    <xf numFmtId="0" fontId="109" fillId="10" borderId="0" xfId="9" applyFont="1" applyFill="1" applyBorder="1" applyAlignment="1">
      <alignment horizontal="center" vertical="center"/>
    </xf>
    <xf numFmtId="0" fontId="86" fillId="18" borderId="2" xfId="9" applyNumberFormat="1" applyFont="1" applyFill="1" applyBorder="1" applyAlignment="1">
      <alignment horizontal="left" vertical="center" wrapText="1" readingOrder="1"/>
    </xf>
    <xf numFmtId="39" fontId="75" fillId="3" borderId="2" xfId="9" applyNumberFormat="1" applyFont="1" applyFill="1" applyBorder="1" applyAlignment="1">
      <alignment horizontal="right" vertical="center" wrapText="1" readingOrder="1"/>
    </xf>
    <xf numFmtId="0" fontId="110" fillId="3" borderId="2" xfId="9" applyNumberFormat="1" applyFont="1" applyFill="1" applyBorder="1" applyAlignment="1">
      <alignment horizontal="left" vertical="center" wrapText="1" readingOrder="1"/>
    </xf>
    <xf numFmtId="0" fontId="95" fillId="3" borderId="2" xfId="9" applyNumberFormat="1" applyFont="1" applyFill="1" applyBorder="1" applyAlignment="1">
      <alignment horizontal="left" vertical="center" wrapText="1" readingOrder="1"/>
    </xf>
    <xf numFmtId="0" fontId="86" fillId="14" borderId="22" xfId="9" applyNumberFormat="1" applyFont="1" applyFill="1" applyBorder="1" applyAlignment="1">
      <alignment horizontal="left" vertical="center" wrapText="1" readingOrder="1"/>
    </xf>
    <xf numFmtId="39" fontId="112" fillId="14" borderId="2" xfId="9" applyNumberFormat="1" applyFont="1" applyFill="1" applyBorder="1" applyAlignment="1">
      <alignment horizontal="right" vertical="center" wrapText="1" readingOrder="1"/>
    </xf>
    <xf numFmtId="39" fontId="113" fillId="3" borderId="2" xfId="9" applyNumberFormat="1" applyFont="1" applyFill="1" applyBorder="1" applyAlignment="1">
      <alignment horizontal="right" vertical="center"/>
    </xf>
    <xf numFmtId="0" fontId="93" fillId="17" borderId="0" xfId="9" applyFont="1" applyFill="1" applyBorder="1"/>
    <xf numFmtId="0" fontId="93" fillId="12" borderId="0" xfId="9" applyFont="1" applyFill="1" applyBorder="1"/>
    <xf numFmtId="10" fontId="93" fillId="3" borderId="0" xfId="9" applyNumberFormat="1" applyFont="1" applyFill="1" applyBorder="1" applyAlignment="1">
      <alignment horizontal="center" vertical="center"/>
    </xf>
    <xf numFmtId="39" fontId="114" fillId="3" borderId="2" xfId="9" applyNumberFormat="1" applyFont="1" applyFill="1" applyBorder="1" applyAlignment="1">
      <alignment horizontal="right" vertical="center" wrapText="1" readingOrder="1"/>
    </xf>
    <xf numFmtId="39" fontId="106" fillId="3" borderId="2" xfId="9" applyNumberFormat="1" applyFont="1" applyFill="1" applyBorder="1" applyAlignment="1">
      <alignment horizontal="right" vertical="center" wrapText="1" readingOrder="1"/>
    </xf>
    <xf numFmtId="39" fontId="88" fillId="22" borderId="2" xfId="9" applyNumberFormat="1" applyFont="1" applyFill="1" applyBorder="1" applyAlignment="1">
      <alignment horizontal="right" vertical="center" wrapText="1" readingOrder="1"/>
    </xf>
    <xf numFmtId="0" fontId="116" fillId="21" borderId="21" xfId="9" applyNumberFormat="1" applyFont="1" applyFill="1" applyBorder="1" applyAlignment="1">
      <alignment horizontal="center" vertical="center" wrapText="1" readingOrder="1"/>
    </xf>
    <xf numFmtId="49" fontId="116" fillId="21" borderId="2" xfId="9" applyNumberFormat="1" applyFont="1" applyFill="1" applyBorder="1" applyAlignment="1">
      <alignment horizontal="center" vertical="center" wrapText="1" readingOrder="1"/>
    </xf>
    <xf numFmtId="0" fontId="87" fillId="20" borderId="2" xfId="9" applyNumberFormat="1" applyFont="1" applyFill="1" applyBorder="1" applyAlignment="1">
      <alignment horizontal="left" vertical="center" wrapText="1" readingOrder="1"/>
    </xf>
    <xf numFmtId="39" fontId="114" fillId="20" borderId="2" xfId="9" applyNumberFormat="1" applyFont="1" applyFill="1" applyBorder="1" applyAlignment="1">
      <alignment horizontal="right" vertical="center" wrapText="1" readingOrder="1"/>
    </xf>
    <xf numFmtId="39" fontId="87" fillId="20" borderId="2" xfId="9" applyNumberFormat="1" applyFont="1" applyFill="1" applyBorder="1" applyAlignment="1">
      <alignment horizontal="right" vertical="center" wrapText="1" readingOrder="1"/>
    </xf>
    <xf numFmtId="39" fontId="106" fillId="20" borderId="2" xfId="9" applyNumberFormat="1" applyFont="1" applyFill="1" applyBorder="1" applyAlignment="1">
      <alignment horizontal="right" vertical="center" wrapText="1" readingOrder="1"/>
    </xf>
    <xf numFmtId="39" fontId="106" fillId="20" borderId="2" xfId="9" applyNumberFormat="1" applyFont="1" applyFill="1" applyBorder="1" applyAlignment="1">
      <alignment horizontal="right" vertical="center" wrapText="1"/>
    </xf>
    <xf numFmtId="39" fontId="114" fillId="20" borderId="2" xfId="9" applyNumberFormat="1" applyFont="1" applyFill="1" applyBorder="1" applyAlignment="1">
      <alignment horizontal="right" vertical="center" wrapText="1"/>
    </xf>
    <xf numFmtId="0" fontId="116" fillId="3" borderId="21" xfId="9" applyNumberFormat="1" applyFont="1" applyFill="1" applyBorder="1" applyAlignment="1">
      <alignment horizontal="center" vertical="center" wrapText="1" readingOrder="1"/>
    </xf>
    <xf numFmtId="39" fontId="87" fillId="3" borderId="2" xfId="9" applyNumberFormat="1" applyFont="1" applyFill="1" applyBorder="1" applyAlignment="1">
      <alignment horizontal="right" vertical="center" wrapText="1" readingOrder="1"/>
    </xf>
    <xf numFmtId="39" fontId="87" fillId="5" borderId="2" xfId="9" applyNumberFormat="1" applyFont="1" applyFill="1" applyBorder="1" applyAlignment="1">
      <alignment horizontal="right" vertical="center" wrapText="1"/>
    </xf>
    <xf numFmtId="39" fontId="106" fillId="3" borderId="2" xfId="9" applyNumberFormat="1" applyFont="1" applyFill="1" applyBorder="1" applyAlignment="1">
      <alignment horizontal="right" vertical="center" wrapText="1"/>
    </xf>
    <xf numFmtId="39" fontId="114" fillId="3" borderId="2" xfId="9" applyNumberFormat="1" applyFont="1" applyFill="1" applyBorder="1" applyAlignment="1">
      <alignment horizontal="right" vertical="center" wrapText="1"/>
    </xf>
    <xf numFmtId="39" fontId="87" fillId="3" borderId="2" xfId="9" applyNumberFormat="1" applyFont="1" applyFill="1" applyBorder="1" applyAlignment="1">
      <alignment horizontal="center" vertical="center" wrapText="1"/>
    </xf>
    <xf numFmtId="39" fontId="87" fillId="3" borderId="2" xfId="9" applyNumberFormat="1" applyFont="1" applyFill="1" applyBorder="1" applyAlignment="1">
      <alignment horizontal="right" vertical="center" wrapText="1"/>
    </xf>
    <xf numFmtId="39" fontId="80" fillId="3" borderId="2" xfId="9" applyNumberFormat="1" applyFont="1" applyFill="1" applyBorder="1" applyAlignment="1">
      <alignment horizontal="center" vertical="center" wrapText="1"/>
    </xf>
    <xf numFmtId="39" fontId="87" fillId="0" borderId="2" xfId="9" applyNumberFormat="1" applyFont="1" applyFill="1" applyBorder="1" applyAlignment="1">
      <alignment horizontal="right" vertical="center" wrapText="1" readingOrder="1"/>
    </xf>
    <xf numFmtId="0" fontId="80" fillId="0" borderId="2" xfId="9" applyFont="1" applyFill="1" applyBorder="1" applyAlignment="1">
      <alignment horizontal="center" vertical="center" wrapText="1"/>
    </xf>
    <xf numFmtId="0" fontId="87" fillId="21" borderId="2" xfId="9" applyNumberFormat="1" applyFont="1" applyFill="1" applyBorder="1" applyAlignment="1">
      <alignment horizontal="left" vertical="center" wrapText="1" readingOrder="1"/>
    </xf>
    <xf numFmtId="39" fontId="114" fillId="21" borderId="2" xfId="9" applyNumberFormat="1" applyFont="1" applyFill="1" applyBorder="1" applyAlignment="1">
      <alignment horizontal="right" vertical="center" wrapText="1" readingOrder="1"/>
    </xf>
    <xf numFmtId="39" fontId="87" fillId="21" borderId="2" xfId="9" applyNumberFormat="1" applyFont="1" applyFill="1" applyBorder="1" applyAlignment="1">
      <alignment horizontal="right" vertical="center" wrapText="1" readingOrder="1"/>
    </xf>
    <xf numFmtId="39" fontId="87" fillId="21" borderId="2" xfId="9" applyNumberFormat="1" applyFont="1" applyFill="1" applyBorder="1" applyAlignment="1">
      <alignment horizontal="right" vertical="center" wrapText="1"/>
    </xf>
    <xf numFmtId="39" fontId="114" fillId="21" borderId="2" xfId="9" applyNumberFormat="1" applyFont="1" applyFill="1" applyBorder="1" applyAlignment="1">
      <alignment horizontal="right" vertical="center" wrapText="1"/>
    </xf>
    <xf numFmtId="39" fontId="87" fillId="21" borderId="2" xfId="9" applyNumberFormat="1" applyFont="1" applyFill="1" applyBorder="1" applyAlignment="1">
      <alignment horizontal="center" vertical="center" wrapText="1"/>
    </xf>
    <xf numFmtId="0" fontId="80" fillId="21" borderId="2" xfId="9" applyFont="1" applyFill="1" applyBorder="1" applyAlignment="1">
      <alignment horizontal="center" vertical="center" wrapText="1"/>
    </xf>
    <xf numFmtId="49" fontId="108" fillId="23" borderId="2" xfId="9" applyNumberFormat="1" applyFont="1" applyFill="1" applyBorder="1" applyAlignment="1">
      <alignment horizontal="center" vertical="center" wrapText="1" readingOrder="1"/>
    </xf>
    <xf numFmtId="49" fontId="117" fillId="23" borderId="2" xfId="9" applyNumberFormat="1" applyFont="1" applyFill="1" applyBorder="1" applyAlignment="1">
      <alignment horizontal="center" vertical="center" wrapText="1" readingOrder="1"/>
    </xf>
    <xf numFmtId="49" fontId="118" fillId="23" borderId="2" xfId="9" applyNumberFormat="1" applyFont="1" applyFill="1" applyBorder="1" applyAlignment="1">
      <alignment horizontal="center" vertical="center" wrapText="1" readingOrder="1"/>
    </xf>
    <xf numFmtId="0" fontId="118" fillId="23" borderId="2" xfId="9" applyNumberFormat="1" applyFont="1" applyFill="1" applyBorder="1" applyAlignment="1">
      <alignment horizontal="center" vertical="center" wrapText="1" readingOrder="1"/>
    </xf>
    <xf numFmtId="39" fontId="71" fillId="25" borderId="2" xfId="9" applyNumberFormat="1" applyFont="1" applyFill="1" applyBorder="1" applyAlignment="1">
      <alignment horizontal="right" vertical="center" wrapText="1" readingOrder="1"/>
    </xf>
    <xf numFmtId="39" fontId="71" fillId="3" borderId="2" xfId="9" applyNumberFormat="1" applyFont="1" applyFill="1" applyBorder="1" applyAlignment="1">
      <alignment horizontal="right" vertical="center" wrapText="1"/>
    </xf>
    <xf numFmtId="39" fontId="71" fillId="5" borderId="2" xfId="9" applyNumberFormat="1" applyFont="1" applyFill="1" applyBorder="1" applyAlignment="1">
      <alignment horizontal="right" vertical="center" wrapText="1"/>
    </xf>
    <xf numFmtId="39" fontId="71" fillId="24" borderId="2" xfId="9" applyNumberFormat="1" applyFont="1" applyFill="1" applyBorder="1" applyAlignment="1">
      <alignment horizontal="right" vertical="center" wrapText="1"/>
    </xf>
    <xf numFmtId="177" fontId="81" fillId="3" borderId="0" xfId="9" applyNumberFormat="1" applyFont="1" applyFill="1" applyBorder="1" applyAlignment="1">
      <alignment horizontal="center" vertical="center"/>
    </xf>
    <xf numFmtId="177" fontId="80" fillId="3" borderId="2" xfId="9" applyNumberFormat="1" applyFont="1" applyFill="1" applyBorder="1" applyAlignment="1">
      <alignment horizontal="center" vertical="center" wrapText="1"/>
    </xf>
    <xf numFmtId="178" fontId="80" fillId="3" borderId="2" xfId="9" applyNumberFormat="1" applyFont="1" applyFill="1" applyBorder="1" applyAlignment="1">
      <alignment horizontal="center" vertical="center" wrapText="1"/>
    </xf>
    <xf numFmtId="10" fontId="81" fillId="3" borderId="0" xfId="9" applyNumberFormat="1" applyFont="1" applyFill="1" applyBorder="1" applyAlignment="1">
      <alignment horizontal="center" vertical="center"/>
    </xf>
    <xf numFmtId="39" fontId="106" fillId="21" borderId="2" xfId="9" applyNumberFormat="1" applyFont="1" applyFill="1" applyBorder="1" applyAlignment="1">
      <alignment horizontal="right" vertical="center" wrapText="1" readingOrder="1"/>
    </xf>
    <xf numFmtId="39" fontId="106" fillId="5" borderId="2" xfId="9" applyNumberFormat="1" applyFont="1" applyFill="1" applyBorder="1" applyAlignment="1">
      <alignment horizontal="right" vertical="center" wrapText="1"/>
    </xf>
    <xf numFmtId="4" fontId="87" fillId="0" borderId="2" xfId="9" applyNumberFormat="1" applyFont="1" applyFill="1" applyBorder="1" applyAlignment="1" applyProtection="1">
      <alignment horizontal="center" vertical="center"/>
    </xf>
    <xf numFmtId="39" fontId="80" fillId="0" borderId="2" xfId="9" applyNumberFormat="1" applyFont="1" applyFill="1" applyBorder="1"/>
    <xf numFmtId="39" fontId="80" fillId="5" borderId="2" xfId="9" applyNumberFormat="1" applyFont="1" applyFill="1" applyBorder="1" applyAlignment="1">
      <alignment horizontal="center" vertical="center"/>
    </xf>
    <xf numFmtId="39" fontId="80" fillId="26" borderId="2" xfId="9" applyNumberFormat="1" applyFont="1" applyFill="1" applyBorder="1" applyAlignment="1">
      <alignment horizontal="right"/>
    </xf>
    <xf numFmtId="39" fontId="120" fillId="26" borderId="2" xfId="9" applyNumberFormat="1" applyFont="1" applyFill="1" applyBorder="1" applyAlignment="1">
      <alignment horizontal="right"/>
    </xf>
    <xf numFmtId="39" fontId="80" fillId="27" borderId="2" xfId="9" applyNumberFormat="1" applyFont="1" applyFill="1" applyBorder="1" applyAlignment="1">
      <alignment wrapText="1"/>
    </xf>
    <xf numFmtId="0" fontId="80" fillId="0" borderId="0" xfId="9" applyFont="1" applyFill="1" applyBorder="1"/>
    <xf numFmtId="39" fontId="80" fillId="0" borderId="0" xfId="9" applyNumberFormat="1" applyFont="1" applyFill="1" applyBorder="1"/>
    <xf numFmtId="0" fontId="80" fillId="3" borderId="0" xfId="9" applyFont="1" applyFill="1" applyBorder="1"/>
    <xf numFmtId="0" fontId="80" fillId="5" borderId="9" xfId="9" applyFont="1" applyFill="1" applyBorder="1"/>
    <xf numFmtId="0" fontId="80" fillId="0" borderId="9" xfId="9" applyFont="1" applyFill="1" applyBorder="1"/>
    <xf numFmtId="0" fontId="80" fillId="16" borderId="0" xfId="9" applyFont="1" applyFill="1" applyBorder="1"/>
    <xf numFmtId="174" fontId="80" fillId="0" borderId="9" xfId="9" applyNumberFormat="1" applyFont="1" applyFill="1" applyBorder="1"/>
    <xf numFmtId="0" fontId="119" fillId="3" borderId="9" xfId="9" applyFont="1" applyFill="1" applyBorder="1"/>
    <xf numFmtId="0" fontId="80" fillId="0" borderId="9" xfId="9" applyFont="1" applyFill="1" applyBorder="1" applyAlignment="1">
      <alignment horizontal="center" vertical="center"/>
    </xf>
    <xf numFmtId="0" fontId="80" fillId="0" borderId="19" xfId="9" applyFont="1" applyFill="1" applyBorder="1" applyAlignment="1">
      <alignment horizontal="center" vertical="center" wrapText="1"/>
    </xf>
    <xf numFmtId="0" fontId="121" fillId="5" borderId="5" xfId="9" applyFont="1" applyFill="1" applyBorder="1" applyAlignment="1">
      <alignment vertical="center"/>
    </xf>
    <xf numFmtId="0" fontId="121" fillId="5" borderId="2" xfId="9" applyFont="1" applyFill="1" applyBorder="1" applyAlignment="1">
      <alignment vertical="center"/>
    </xf>
    <xf numFmtId="39" fontId="80" fillId="3" borderId="0" xfId="9" applyNumberFormat="1" applyFont="1" applyFill="1" applyBorder="1"/>
    <xf numFmtId="4" fontId="87" fillId="3" borderId="0" xfId="9" applyNumberFormat="1" applyFont="1" applyFill="1" applyBorder="1" applyAlignment="1" applyProtection="1">
      <alignment horizontal="center" vertical="center"/>
    </xf>
    <xf numFmtId="0" fontId="119" fillId="5" borderId="0" xfId="9" applyFont="1" applyFill="1" applyBorder="1" applyAlignment="1">
      <alignment horizontal="center" vertical="center"/>
    </xf>
    <xf numFmtId="0" fontId="80" fillId="3" borderId="0" xfId="9" applyFont="1" applyFill="1" applyBorder="1" applyAlignment="1">
      <alignment horizontal="center" vertical="center"/>
    </xf>
    <xf numFmtId="0" fontId="87" fillId="3" borderId="0" xfId="9" applyNumberFormat="1" applyFont="1" applyFill="1" applyBorder="1" applyAlignment="1">
      <alignment horizontal="center" vertical="center" wrapText="1" readingOrder="1"/>
    </xf>
    <xf numFmtId="39" fontId="122" fillId="3" borderId="2" xfId="9" applyNumberFormat="1" applyFont="1" applyFill="1" applyBorder="1" applyAlignment="1">
      <alignment horizontal="center" vertical="center"/>
    </xf>
    <xf numFmtId="39" fontId="108" fillId="28" borderId="2" xfId="9" applyNumberFormat="1" applyFont="1" applyFill="1" applyBorder="1" applyAlignment="1">
      <alignment horizontal="right" vertical="center"/>
    </xf>
    <xf numFmtId="39" fontId="108" fillId="28" borderId="2" xfId="9" applyNumberFormat="1" applyFont="1" applyFill="1" applyBorder="1" applyAlignment="1">
      <alignment horizontal="center" vertical="center" wrapText="1"/>
    </xf>
    <xf numFmtId="39" fontId="108" fillId="28" borderId="4" xfId="9" applyNumberFormat="1" applyFont="1" applyFill="1" applyBorder="1" applyAlignment="1">
      <alignment horizontal="right" vertical="center"/>
    </xf>
    <xf numFmtId="10" fontId="108" fillId="28" borderId="2" xfId="9" applyNumberFormat="1" applyFont="1" applyFill="1" applyBorder="1" applyAlignment="1">
      <alignment horizontal="center" vertical="center"/>
    </xf>
    <xf numFmtId="10" fontId="80" fillId="3" borderId="0" xfId="9" applyNumberFormat="1" applyFont="1" applyFill="1" applyBorder="1" applyAlignment="1">
      <alignment horizontal="center" vertical="center"/>
    </xf>
    <xf numFmtId="39" fontId="80" fillId="5" borderId="0" xfId="9" applyNumberFormat="1" applyFont="1" applyFill="1" applyBorder="1"/>
    <xf numFmtId="0" fontId="121" fillId="3" borderId="2" xfId="9" applyFont="1" applyFill="1" applyBorder="1" applyAlignment="1">
      <alignment horizontal="center" vertical="center"/>
    </xf>
    <xf numFmtId="4" fontId="87" fillId="3" borderId="0" xfId="9" applyNumberFormat="1" applyFont="1" applyFill="1" applyBorder="1" applyAlignment="1" applyProtection="1">
      <alignment horizontal="left" vertical="center"/>
    </xf>
    <xf numFmtId="39" fontId="80" fillId="0" borderId="5" xfId="9" applyNumberFormat="1" applyFont="1" applyFill="1" applyBorder="1"/>
    <xf numFmtId="39" fontId="80" fillId="0" borderId="4" xfId="9" applyNumberFormat="1" applyFont="1" applyFill="1" applyBorder="1"/>
    <xf numFmtId="39" fontId="80" fillId="3" borderId="0" xfId="9" applyNumberFormat="1" applyFont="1" applyFill="1" applyBorder="1" applyAlignment="1">
      <alignment vertical="center"/>
    </xf>
    <xf numFmtId="39" fontId="80" fillId="11" borderId="35" xfId="9" applyNumberFormat="1" applyFont="1" applyFill="1" applyBorder="1"/>
    <xf numFmtId="39" fontId="80" fillId="11" borderId="0" xfId="9" applyNumberFormat="1" applyFont="1" applyFill="1" applyBorder="1"/>
    <xf numFmtId="39" fontId="80" fillId="11" borderId="36" xfId="9" applyNumberFormat="1" applyFont="1" applyFill="1" applyBorder="1"/>
    <xf numFmtId="39" fontId="119" fillId="3" borderId="0" xfId="9" applyNumberFormat="1" applyFont="1" applyFill="1" applyBorder="1"/>
    <xf numFmtId="39" fontId="80" fillId="26" borderId="0" xfId="9" applyNumberFormat="1" applyFont="1" applyFill="1" applyBorder="1" applyAlignment="1">
      <alignment horizontal="center" vertical="center"/>
    </xf>
    <xf numFmtId="39" fontId="80" fillId="26" borderId="0" xfId="9" applyNumberFormat="1" applyFont="1" applyFill="1" applyBorder="1"/>
    <xf numFmtId="0" fontId="80" fillId="3" borderId="0" xfId="9" applyFont="1" applyFill="1" applyBorder="1" applyAlignment="1">
      <alignment vertical="center"/>
    </xf>
    <xf numFmtId="0" fontId="80" fillId="5" borderId="0" xfId="9" applyFont="1" applyFill="1" applyBorder="1"/>
    <xf numFmtId="39" fontId="99" fillId="11" borderId="36" xfId="9" applyNumberFormat="1" applyFont="1" applyFill="1" applyBorder="1"/>
    <xf numFmtId="39" fontId="80" fillId="11" borderId="37" xfId="9" applyNumberFormat="1" applyFont="1" applyFill="1" applyBorder="1"/>
    <xf numFmtId="39" fontId="80" fillId="11" borderId="15" xfId="9" applyNumberFormat="1" applyFont="1" applyFill="1" applyBorder="1"/>
    <xf numFmtId="39" fontId="80" fillId="11" borderId="38" xfId="9" applyNumberFormat="1" applyFont="1" applyFill="1" applyBorder="1"/>
    <xf numFmtId="174" fontId="80" fillId="3" borderId="0" xfId="9" applyNumberFormat="1" applyFont="1" applyFill="1" applyBorder="1"/>
    <xf numFmtId="174" fontId="93" fillId="3" borderId="0" xfId="9" applyNumberFormat="1" applyFont="1" applyFill="1" applyBorder="1"/>
    <xf numFmtId="0" fontId="119" fillId="3" borderId="0" xfId="9" applyFont="1" applyFill="1" applyBorder="1"/>
    <xf numFmtId="0" fontId="80" fillId="0" borderId="17" xfId="9" applyFont="1" applyFill="1" applyBorder="1" applyAlignment="1">
      <alignment horizontal="center" vertical="center" wrapText="1"/>
    </xf>
    <xf numFmtId="174" fontId="106" fillId="3" borderId="2" xfId="9" applyNumberFormat="1" applyFont="1" applyFill="1" applyBorder="1" applyAlignment="1">
      <alignment vertical="center" wrapText="1" readingOrder="1"/>
    </xf>
    <xf numFmtId="0" fontId="71" fillId="3" borderId="2" xfId="9" applyNumberFormat="1" applyFont="1" applyFill="1" applyBorder="1" applyAlignment="1">
      <alignment vertical="center" wrapText="1" readingOrder="1"/>
    </xf>
    <xf numFmtId="174" fontId="71" fillId="3" borderId="2" xfId="9" applyNumberFormat="1" applyFont="1" applyFill="1" applyBorder="1" applyAlignment="1">
      <alignment vertical="center" wrapText="1" readingOrder="1"/>
    </xf>
    <xf numFmtId="0" fontId="126" fillId="3" borderId="2" xfId="9" applyFont="1" applyFill="1" applyBorder="1" applyAlignment="1">
      <alignment vertical="center" wrapText="1"/>
    </xf>
    <xf numFmtId="0" fontId="122" fillId="3" borderId="2" xfId="9" applyFont="1" applyFill="1" applyBorder="1" applyAlignment="1">
      <alignment vertical="center" wrapText="1"/>
    </xf>
    <xf numFmtId="0" fontId="119" fillId="3" borderId="0" xfId="9" applyFont="1" applyFill="1" applyBorder="1" applyAlignment="1">
      <alignment horizontal="center" vertical="center" wrapText="1"/>
    </xf>
    <xf numFmtId="0" fontId="81" fillId="3" borderId="0" xfId="9" applyFont="1" applyFill="1" applyBorder="1" applyAlignment="1">
      <alignment horizontal="center" vertical="center"/>
    </xf>
    <xf numFmtId="0" fontId="122" fillId="3" borderId="2" xfId="9" applyFont="1" applyFill="1" applyBorder="1" applyAlignment="1">
      <alignment wrapText="1"/>
    </xf>
    <xf numFmtId="174" fontId="122" fillId="3" borderId="2" xfId="9" applyNumberFormat="1" applyFont="1" applyFill="1" applyBorder="1" applyAlignment="1">
      <alignment wrapText="1"/>
    </xf>
    <xf numFmtId="39" fontId="108" fillId="3" borderId="0" xfId="9" applyNumberFormat="1" applyFont="1" applyFill="1" applyBorder="1" applyAlignment="1">
      <alignment horizontal="right" vertical="center"/>
    </xf>
    <xf numFmtId="10" fontId="108" fillId="3" borderId="0" xfId="9" applyNumberFormat="1" applyFont="1" applyFill="1" applyBorder="1" applyAlignment="1">
      <alignment horizontal="center" vertical="center"/>
    </xf>
    <xf numFmtId="0" fontId="80" fillId="3" borderId="2" xfId="9" applyFont="1" applyFill="1" applyBorder="1" applyAlignment="1">
      <alignment wrapText="1"/>
    </xf>
    <xf numFmtId="39" fontId="119" fillId="3" borderId="0" xfId="9" applyNumberFormat="1" applyFont="1" applyFill="1" applyBorder="1" applyAlignment="1">
      <alignment horizontal="right" vertical="center"/>
    </xf>
    <xf numFmtId="39" fontId="80" fillId="3" borderId="0" xfId="9" applyNumberFormat="1" applyFont="1" applyFill="1" applyBorder="1" applyAlignment="1">
      <alignment horizontal="center" vertical="center"/>
    </xf>
    <xf numFmtId="39" fontId="80" fillId="3" borderId="2" xfId="9" applyNumberFormat="1" applyFont="1" applyFill="1" applyBorder="1" applyAlignment="1">
      <alignment horizontal="center" vertical="center"/>
    </xf>
    <xf numFmtId="0" fontId="0" fillId="3" borderId="0" xfId="0" applyFill="1"/>
    <xf numFmtId="0" fontId="44"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6"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1" fontId="0" fillId="3" borderId="0" xfId="0" applyNumberFormat="1" applyFont="1" applyFill="1" applyBorder="1" applyAlignment="1">
      <alignment horizontal="center" vertical="center" wrapText="1"/>
    </xf>
    <xf numFmtId="0" fontId="58" fillId="3" borderId="2" xfId="0"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45"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3"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173" fontId="40" fillId="3" borderId="0" xfId="0" applyNumberFormat="1" applyFont="1" applyFill="1" applyBorder="1" applyAlignment="1">
      <alignment horizontal="center" vertical="center" wrapText="1"/>
    </xf>
    <xf numFmtId="173" fontId="0" fillId="3" borderId="0" xfId="0" applyNumberFormat="1" applyFont="1" applyFill="1" applyAlignment="1">
      <alignment horizontal="center" vertical="center" wrapText="1"/>
    </xf>
    <xf numFmtId="0" fontId="51" fillId="3" borderId="0" xfId="0" applyFont="1" applyFill="1" applyBorder="1" applyAlignment="1">
      <alignment horizontal="center" vertical="center" wrapText="1"/>
    </xf>
    <xf numFmtId="0" fontId="63" fillId="3" borderId="0" xfId="0" applyFont="1" applyFill="1" applyBorder="1" applyAlignment="1">
      <alignment horizontal="left" vertical="center" wrapText="1"/>
    </xf>
    <xf numFmtId="0" fontId="40" fillId="3" borderId="0" xfId="0" applyFont="1" applyFill="1" applyBorder="1" applyAlignment="1">
      <alignment horizontal="center" vertical="center" wrapText="1"/>
    </xf>
    <xf numFmtId="0" fontId="0" fillId="0" borderId="0" xfId="0" applyAlignment="1">
      <alignment horizontal="center" vertical="center"/>
    </xf>
    <xf numFmtId="39" fontId="80" fillId="21" borderId="2" xfId="9" applyNumberFormat="1" applyFont="1" applyFill="1" applyBorder="1"/>
    <xf numFmtId="39" fontId="80" fillId="21" borderId="2" xfId="9" applyNumberFormat="1" applyFont="1" applyFill="1" applyBorder="1" applyAlignment="1">
      <alignment horizontal="right"/>
    </xf>
    <xf numFmtId="39" fontId="80" fillId="21" borderId="2" xfId="9" applyNumberFormat="1" applyFont="1" applyFill="1" applyBorder="1" applyAlignment="1">
      <alignment horizontal="center" vertical="center"/>
    </xf>
    <xf numFmtId="0" fontId="74" fillId="3" borderId="0" xfId="0" applyFont="1" applyFill="1"/>
    <xf numFmtId="39" fontId="117" fillId="3" borderId="2" xfId="9" applyNumberFormat="1" applyFont="1" applyFill="1" applyBorder="1" applyAlignment="1">
      <alignment horizontal="right" vertical="center" wrapText="1" readingOrder="1"/>
    </xf>
    <xf numFmtId="39" fontId="117" fillId="3" borderId="2" xfId="9" applyNumberFormat="1" applyFont="1" applyFill="1" applyBorder="1" applyAlignment="1">
      <alignment horizontal="right" vertical="center" wrapText="1"/>
    </xf>
    <xf numFmtId="39" fontId="108" fillId="3" borderId="2" xfId="9" applyNumberFormat="1" applyFont="1" applyFill="1" applyBorder="1" applyAlignment="1">
      <alignment horizontal="right" vertical="center"/>
    </xf>
    <xf numFmtId="39" fontId="132" fillId="10" borderId="2" xfId="9" applyNumberFormat="1" applyFont="1" applyFill="1" applyBorder="1" applyAlignment="1">
      <alignment horizontal="right" vertical="center" wrapText="1" readingOrder="1"/>
    </xf>
    <xf numFmtId="39" fontId="133" fillId="16" borderId="2" xfId="9" applyNumberFormat="1" applyFont="1" applyFill="1" applyBorder="1" applyAlignment="1">
      <alignment horizontal="right" vertical="center" wrapText="1" readingOrder="1"/>
    </xf>
    <xf numFmtId="0" fontId="134" fillId="0" borderId="0" xfId="0" applyFont="1" applyBorder="1" applyAlignment="1">
      <alignment horizontal="right" vertical="center" wrapText="1"/>
    </xf>
    <xf numFmtId="0" fontId="134" fillId="0" borderId="0" xfId="0" applyFont="1" applyFill="1" applyAlignment="1">
      <alignment horizontal="right" vertical="center" wrapText="1"/>
    </xf>
    <xf numFmtId="0" fontId="134" fillId="3" borderId="0" xfId="0" applyFont="1" applyFill="1" applyBorder="1" applyAlignment="1">
      <alignment horizontal="right" vertical="center" wrapText="1"/>
    </xf>
    <xf numFmtId="173" fontId="134" fillId="3" borderId="0" xfId="0" applyNumberFormat="1" applyFont="1" applyFill="1" applyAlignment="1">
      <alignment horizontal="center" vertical="center" wrapText="1"/>
    </xf>
    <xf numFmtId="0" fontId="134" fillId="0" borderId="0" xfId="0" applyFont="1"/>
    <xf numFmtId="0" fontId="68" fillId="4" borderId="4" xfId="0" applyFont="1" applyFill="1" applyBorder="1" applyAlignment="1">
      <alignment horizontal="center" vertical="center" wrapText="1"/>
    </xf>
    <xf numFmtId="0" fontId="66" fillId="6" borderId="39" xfId="1" applyFont="1" applyFill="1" applyBorder="1" applyAlignment="1">
      <alignment horizontal="center" vertical="center" wrapText="1"/>
    </xf>
    <xf numFmtId="39" fontId="95" fillId="3" borderId="2" xfId="9" applyNumberFormat="1" applyFont="1" applyFill="1" applyBorder="1" applyAlignment="1">
      <alignment horizontal="right" vertical="center" wrapText="1" readingOrder="1"/>
    </xf>
    <xf numFmtId="49" fontId="43" fillId="0" borderId="0" xfId="0" applyNumberFormat="1" applyFont="1" applyFill="1" applyBorder="1" applyAlignment="1">
      <alignment horizontal="center" vertical="center" wrapText="1"/>
    </xf>
    <xf numFmtId="49" fontId="43" fillId="0" borderId="0" xfId="0" applyNumberFormat="1" applyFont="1" applyFill="1" applyAlignment="1">
      <alignment horizontal="center" wrapText="1"/>
    </xf>
    <xf numFmtId="49" fontId="43" fillId="0" borderId="0" xfId="0" applyNumberFormat="1" applyFont="1" applyFill="1" applyAlignment="1">
      <alignment horizontal="center" vertical="center" wrapText="1"/>
    </xf>
    <xf numFmtId="49" fontId="43" fillId="3" borderId="0" xfId="0" applyNumberFormat="1" applyFont="1" applyFill="1" applyAlignment="1">
      <alignment horizontal="center" vertical="center" wrapText="1"/>
    </xf>
    <xf numFmtId="49" fontId="0" fillId="0" borderId="0" xfId="0" applyNumberFormat="1"/>
    <xf numFmtId="0" fontId="106" fillId="5" borderId="2" xfId="9" applyNumberFormat="1" applyFont="1" applyFill="1" applyBorder="1" applyAlignment="1">
      <alignment horizontal="left" vertical="center" wrapText="1" readingOrder="1"/>
    </xf>
    <xf numFmtId="39" fontId="108" fillId="7" borderId="2" xfId="9" applyNumberFormat="1" applyFont="1" applyFill="1" applyBorder="1" applyAlignment="1">
      <alignment horizontal="right" vertical="center" wrapText="1" readingOrder="1"/>
    </xf>
    <xf numFmtId="39" fontId="115" fillId="22" borderId="2" xfId="9" applyNumberFormat="1" applyFont="1" applyFill="1" applyBorder="1" applyAlignment="1">
      <alignment horizontal="right" vertical="center" wrapText="1" readingOrder="1"/>
    </xf>
    <xf numFmtId="174" fontId="80" fillId="0" borderId="0" xfId="9" applyNumberFormat="1" applyFont="1" applyFill="1" applyBorder="1"/>
    <xf numFmtId="0" fontId="80" fillId="0" borderId="0" xfId="9" applyFont="1" applyFill="1" applyBorder="1" applyAlignment="1">
      <alignment horizontal="center" vertical="center"/>
    </xf>
    <xf numFmtId="0" fontId="93" fillId="0" borderId="0" xfId="9" applyFont="1" applyFill="1" applyBorder="1"/>
    <xf numFmtId="0" fontId="126" fillId="0" borderId="0" xfId="9" applyFont="1" applyFill="1" applyBorder="1" applyAlignment="1">
      <alignment horizontal="center" vertical="center"/>
    </xf>
    <xf numFmtId="174" fontId="119" fillId="3" borderId="0" xfId="9" applyNumberFormat="1" applyFont="1" applyFill="1" applyBorder="1"/>
    <xf numFmtId="0" fontId="80" fillId="0" borderId="0" xfId="9" applyFont="1" applyFill="1" applyBorder="1" applyAlignment="1"/>
    <xf numFmtId="175" fontId="80" fillId="0" borderId="0" xfId="9" applyNumberFormat="1" applyFont="1" applyFill="1" applyBorder="1" applyAlignment="1"/>
    <xf numFmtId="0" fontId="80" fillId="5" borderId="0" xfId="9" applyFont="1" applyFill="1" applyBorder="1" applyAlignment="1"/>
    <xf numFmtId="174" fontId="80" fillId="3" borderId="0" xfId="9" applyNumberFormat="1" applyFont="1" applyFill="1" applyBorder="1" applyAlignment="1">
      <alignment horizontal="center" vertical="center"/>
    </xf>
    <xf numFmtId="0" fontId="116" fillId="0" borderId="2" xfId="9" applyNumberFormat="1" applyFont="1" applyFill="1" applyBorder="1" applyAlignment="1">
      <alignment horizontal="center" vertical="center" wrapText="1" readingOrder="1"/>
    </xf>
    <xf numFmtId="0" fontId="116" fillId="3" borderId="0" xfId="9" applyNumberFormat="1" applyFont="1" applyFill="1" applyBorder="1" applyAlignment="1">
      <alignment horizontal="center" vertical="center" wrapText="1" readingOrder="1"/>
    </xf>
    <xf numFmtId="0" fontId="89" fillId="3" borderId="2" xfId="9" applyFont="1" applyFill="1" applyBorder="1" applyAlignment="1">
      <alignment horizontal="center" vertical="center" wrapText="1"/>
    </xf>
    <xf numFmtId="0" fontId="93" fillId="3" borderId="0" xfId="9" applyFont="1" applyFill="1" applyBorder="1"/>
    <xf numFmtId="0" fontId="126" fillId="3" borderId="0" xfId="9" applyFont="1" applyFill="1" applyBorder="1" applyAlignment="1">
      <alignment horizontal="center" vertical="center"/>
    </xf>
    <xf numFmtId="0" fontId="107" fillId="10" borderId="21" xfId="9" applyNumberFormat="1" applyFont="1" applyFill="1" applyBorder="1" applyAlignment="1">
      <alignment horizontal="center" vertical="center" wrapText="1" readingOrder="1"/>
    </xf>
    <xf numFmtId="49" fontId="98" fillId="10" borderId="2" xfId="9" applyNumberFormat="1" applyFont="1" applyFill="1" applyBorder="1" applyAlignment="1">
      <alignment horizontal="center" vertical="center" wrapText="1" readingOrder="1"/>
    </xf>
    <xf numFmtId="49" fontId="107" fillId="10" borderId="2" xfId="9" applyNumberFormat="1" applyFont="1" applyFill="1" applyBorder="1" applyAlignment="1">
      <alignment horizontal="center" vertical="center" wrapText="1" readingOrder="1"/>
    </xf>
    <xf numFmtId="39" fontId="86" fillId="10" borderId="2" xfId="9" applyNumberFormat="1" applyFont="1" applyFill="1" applyBorder="1" applyAlignment="1">
      <alignment horizontal="right" vertical="center"/>
    </xf>
    <xf numFmtId="39" fontId="86" fillId="10" borderId="4" xfId="9" applyNumberFormat="1" applyFont="1" applyFill="1" applyBorder="1" applyAlignment="1">
      <alignment horizontal="right" vertical="center"/>
    </xf>
    <xf numFmtId="10" fontId="86" fillId="10" borderId="2" xfId="9" applyNumberFormat="1" applyFont="1" applyFill="1" applyBorder="1" applyAlignment="1">
      <alignment horizontal="center" vertical="center"/>
    </xf>
    <xf numFmtId="10" fontId="102" fillId="10" borderId="0" xfId="9" applyNumberFormat="1" applyFont="1" applyFill="1" applyBorder="1" applyAlignment="1">
      <alignment horizontal="center" vertical="center"/>
    </xf>
    <xf numFmtId="176" fontId="85" fillId="10" borderId="2" xfId="9" applyNumberFormat="1" applyFont="1" applyFill="1" applyBorder="1" applyAlignment="1">
      <alignment horizontal="right" vertical="center" wrapText="1" readingOrder="1"/>
    </xf>
    <xf numFmtId="0" fontId="102" fillId="10" borderId="0" xfId="9" applyFont="1" applyFill="1" applyBorder="1"/>
    <xf numFmtId="0" fontId="138" fillId="10" borderId="0" xfId="9" applyFont="1" applyFill="1" applyBorder="1"/>
    <xf numFmtId="0" fontId="139" fillId="10" borderId="0" xfId="9" applyFont="1" applyFill="1" applyBorder="1" applyAlignment="1">
      <alignment horizontal="center" vertical="center"/>
    </xf>
    <xf numFmtId="0" fontId="114" fillId="0" borderId="21" xfId="9" applyNumberFormat="1" applyFont="1" applyFill="1" applyBorder="1" applyAlignment="1">
      <alignment horizontal="center" vertical="center" wrapText="1" readingOrder="1"/>
    </xf>
    <xf numFmtId="49" fontId="95" fillId="8" borderId="2" xfId="9" applyNumberFormat="1" applyFont="1" applyFill="1" applyBorder="1" applyAlignment="1">
      <alignment horizontal="center" vertical="center" wrapText="1" readingOrder="1"/>
    </xf>
    <xf numFmtId="39" fontId="114" fillId="8" borderId="2" xfId="9" applyNumberFormat="1" applyFont="1" applyFill="1" applyBorder="1" applyAlignment="1">
      <alignment horizontal="right" vertical="center" wrapText="1" readingOrder="1"/>
    </xf>
    <xf numFmtId="0" fontId="119" fillId="0" borderId="0" xfId="9" applyFont="1" applyFill="1" applyBorder="1"/>
    <xf numFmtId="49" fontId="95" fillId="0" borderId="2" xfId="9" applyNumberFormat="1" applyFont="1" applyFill="1" applyBorder="1" applyAlignment="1">
      <alignment horizontal="center" vertical="center" wrapText="1" readingOrder="1"/>
    </xf>
    <xf numFmtId="39" fontId="95" fillId="0" borderId="2" xfId="9" applyNumberFormat="1" applyFont="1" applyFill="1" applyBorder="1" applyAlignment="1">
      <alignment horizontal="right" vertical="center" wrapText="1" readingOrder="1"/>
    </xf>
    <xf numFmtId="39" fontId="95" fillId="3" borderId="2" xfId="9" applyNumberFormat="1" applyFont="1" applyFill="1" applyBorder="1" applyAlignment="1">
      <alignment horizontal="right" vertical="top" wrapText="1" readingOrder="1"/>
    </xf>
    <xf numFmtId="0" fontId="114" fillId="3" borderId="21" xfId="9" applyNumberFormat="1" applyFont="1" applyFill="1" applyBorder="1" applyAlignment="1">
      <alignment horizontal="center" vertical="center" wrapText="1" readingOrder="1"/>
    </xf>
    <xf numFmtId="49" fontId="86" fillId="10" borderId="2" xfId="9" applyNumberFormat="1" applyFont="1" applyFill="1" applyBorder="1" applyAlignment="1">
      <alignment horizontal="center" vertical="center" wrapText="1" readingOrder="1"/>
    </xf>
    <xf numFmtId="39" fontId="86" fillId="10" borderId="2" xfId="9" applyNumberFormat="1" applyFont="1" applyFill="1" applyBorder="1" applyAlignment="1">
      <alignment horizontal="right" vertical="center" wrapText="1" readingOrder="1"/>
    </xf>
    <xf numFmtId="39" fontId="86" fillId="14" borderId="2" xfId="9" applyNumberFormat="1" applyFont="1" applyFill="1" applyBorder="1" applyAlignment="1">
      <alignment horizontal="right" vertical="center" wrapText="1" readingOrder="1"/>
    </xf>
    <xf numFmtId="39" fontId="143" fillId="14" borderId="2" xfId="9" applyNumberFormat="1" applyFont="1" applyFill="1" applyBorder="1" applyAlignment="1">
      <alignment horizontal="right" vertical="center" wrapText="1" readingOrder="1"/>
    </xf>
    <xf numFmtId="39" fontId="143" fillId="10" borderId="2" xfId="9" applyNumberFormat="1" applyFont="1" applyFill="1" applyBorder="1" applyAlignment="1">
      <alignment horizontal="right" vertical="center" wrapText="1" readingOrder="1"/>
    </xf>
    <xf numFmtId="0" fontId="143" fillId="10" borderId="2" xfId="9" applyNumberFormat="1" applyFont="1" applyFill="1" applyBorder="1" applyAlignment="1">
      <alignment horizontal="right" vertical="center" wrapText="1" readingOrder="1"/>
    </xf>
    <xf numFmtId="39" fontId="143" fillId="10" borderId="2" xfId="9" applyNumberFormat="1" applyFont="1" applyFill="1" applyBorder="1" applyAlignment="1">
      <alignment horizontal="right" vertical="center"/>
    </xf>
    <xf numFmtId="39" fontId="86" fillId="10" borderId="0" xfId="9" applyNumberFormat="1" applyFont="1" applyFill="1" applyBorder="1" applyAlignment="1">
      <alignment horizontal="right" vertical="center"/>
    </xf>
    <xf numFmtId="10" fontId="86" fillId="15" borderId="2" xfId="9" applyNumberFormat="1" applyFont="1" applyFill="1" applyBorder="1" applyAlignment="1">
      <alignment horizontal="center" vertical="center"/>
    </xf>
    <xf numFmtId="10" fontId="102" fillId="3" borderId="0" xfId="9" applyNumberFormat="1" applyFont="1" applyFill="1" applyBorder="1" applyAlignment="1">
      <alignment horizontal="center" vertical="center"/>
    </xf>
    <xf numFmtId="0" fontId="81" fillId="15" borderId="2" xfId="9" applyFont="1" applyFill="1" applyBorder="1"/>
    <xf numFmtId="0" fontId="138" fillId="15" borderId="2" xfId="9" applyFont="1" applyFill="1" applyBorder="1" applyAlignment="1">
      <alignment horizontal="center" vertical="center" wrapText="1"/>
    </xf>
    <xf numFmtId="0" fontId="95" fillId="0" borderId="2" xfId="9" applyNumberFormat="1" applyFont="1" applyFill="1" applyBorder="1" applyAlignment="1">
      <alignment horizontal="left" vertical="center" wrapText="1" readingOrder="1"/>
    </xf>
    <xf numFmtId="39" fontId="114" fillId="16" borderId="2" xfId="9" applyNumberFormat="1" applyFont="1" applyFill="1" applyBorder="1" applyAlignment="1">
      <alignment horizontal="right" vertical="center" wrapText="1" readingOrder="1"/>
    </xf>
    <xf numFmtId="39" fontId="144" fillId="3" borderId="2" xfId="9" applyNumberFormat="1" applyFont="1" applyFill="1" applyBorder="1" applyAlignment="1">
      <alignment horizontal="right" vertical="center" wrapText="1" readingOrder="1"/>
    </xf>
    <xf numFmtId="39" fontId="95" fillId="3" borderId="2" xfId="9" applyNumberFormat="1" applyFont="1" applyFill="1" applyBorder="1" applyAlignment="1">
      <alignment horizontal="right" vertical="center"/>
    </xf>
    <xf numFmtId="39" fontId="95" fillId="3" borderId="2" xfId="9" applyNumberFormat="1" applyFont="1" applyFill="1" applyBorder="1" applyAlignment="1">
      <alignment horizontal="center" vertical="center"/>
    </xf>
    <xf numFmtId="39" fontId="95" fillId="3" borderId="0" xfId="9" applyNumberFormat="1" applyFont="1" applyFill="1" applyBorder="1" applyAlignment="1">
      <alignment horizontal="right" vertical="center"/>
    </xf>
    <xf numFmtId="0" fontId="95" fillId="0" borderId="2" xfId="9" applyFont="1" applyFill="1" applyBorder="1" applyAlignment="1">
      <alignment horizontal="center" vertical="center"/>
    </xf>
    <xf numFmtId="0" fontId="93" fillId="3" borderId="0" xfId="9" applyFont="1" applyFill="1" applyBorder="1" applyAlignment="1">
      <alignment horizontal="center" vertical="center"/>
    </xf>
    <xf numFmtId="0" fontId="81" fillId="0" borderId="2" xfId="9" applyFont="1" applyFill="1" applyBorder="1"/>
    <xf numFmtId="0" fontId="119" fillId="3" borderId="2" xfId="9" applyFont="1" applyFill="1" applyBorder="1" applyAlignment="1">
      <alignment horizontal="center" vertical="center" wrapText="1"/>
    </xf>
    <xf numFmtId="0" fontId="116" fillId="14" borderId="22" xfId="9" applyNumberFormat="1" applyFont="1" applyFill="1" applyBorder="1" applyAlignment="1">
      <alignment horizontal="center" vertical="center" wrapText="1" readingOrder="1"/>
    </xf>
    <xf numFmtId="49" fontId="116" fillId="14" borderId="23" xfId="9" applyNumberFormat="1" applyFont="1" applyFill="1" applyBorder="1" applyAlignment="1">
      <alignment horizontal="center" vertical="center" wrapText="1" readingOrder="1"/>
    </xf>
    <xf numFmtId="0" fontId="95" fillId="14" borderId="23" xfId="9" applyNumberFormat="1" applyFont="1" applyFill="1" applyBorder="1" applyAlignment="1">
      <alignment horizontal="left" vertical="center" wrapText="1" readingOrder="1"/>
    </xf>
    <xf numFmtId="39" fontId="114" fillId="14" borderId="23" xfId="9" applyNumberFormat="1" applyFont="1" applyFill="1" applyBorder="1" applyAlignment="1">
      <alignment horizontal="right" vertical="center" wrapText="1" readingOrder="1"/>
    </xf>
    <xf numFmtId="39" fontId="114" fillId="14" borderId="24" xfId="9" applyNumberFormat="1" applyFont="1" applyFill="1" applyBorder="1" applyAlignment="1">
      <alignment horizontal="right" vertical="center" wrapText="1" readingOrder="1"/>
    </xf>
    <xf numFmtId="39" fontId="114" fillId="14" borderId="25" xfId="9" applyNumberFormat="1" applyFont="1" applyFill="1" applyBorder="1" applyAlignment="1">
      <alignment horizontal="right" vertical="center" wrapText="1" readingOrder="1"/>
    </xf>
    <xf numFmtId="0" fontId="80" fillId="15" borderId="2" xfId="9" applyFont="1" applyFill="1" applyBorder="1" applyAlignment="1">
      <alignment horizontal="center" vertical="center" wrapText="1"/>
    </xf>
    <xf numFmtId="49" fontId="116" fillId="14" borderId="30" xfId="9" applyNumberFormat="1" applyFont="1" applyFill="1" applyBorder="1" applyAlignment="1">
      <alignment horizontal="center" vertical="center" wrapText="1" readingOrder="1"/>
    </xf>
    <xf numFmtId="0" fontId="95" fillId="14" borderId="30" xfId="9" applyNumberFormat="1" applyFont="1" applyFill="1" applyBorder="1" applyAlignment="1">
      <alignment horizontal="left" vertical="center" wrapText="1" readingOrder="1"/>
    </xf>
    <xf numFmtId="39" fontId="114" fillId="14" borderId="30" xfId="9" applyNumberFormat="1" applyFont="1" applyFill="1" applyBorder="1" applyAlignment="1">
      <alignment horizontal="right" vertical="center" wrapText="1" readingOrder="1"/>
    </xf>
    <xf numFmtId="39" fontId="114" fillId="14" borderId="31" xfId="9" applyNumberFormat="1" applyFont="1" applyFill="1" applyBorder="1" applyAlignment="1">
      <alignment horizontal="right" vertical="center" wrapText="1" readingOrder="1"/>
    </xf>
    <xf numFmtId="39" fontId="114" fillId="14" borderId="32" xfId="9" applyNumberFormat="1" applyFont="1" applyFill="1" applyBorder="1" applyAlignment="1">
      <alignment horizontal="right" vertical="center" wrapText="1" readingOrder="1"/>
    </xf>
    <xf numFmtId="0" fontId="114" fillId="17" borderId="21" xfId="9" applyNumberFormat="1" applyFont="1" applyFill="1" applyBorder="1" applyAlignment="1">
      <alignment horizontal="center" vertical="center" wrapText="1" readingOrder="1"/>
    </xf>
    <xf numFmtId="49" fontId="95" fillId="3" borderId="2" xfId="9" applyNumberFormat="1" applyFont="1" applyFill="1" applyBorder="1" applyAlignment="1">
      <alignment vertical="center" wrapText="1" readingOrder="1"/>
    </xf>
    <xf numFmtId="39" fontId="108" fillId="3" borderId="2" xfId="9" applyNumberFormat="1" applyFont="1" applyFill="1" applyBorder="1" applyAlignment="1">
      <alignment horizontal="right" vertical="center" wrapText="1" readingOrder="1"/>
    </xf>
    <xf numFmtId="39" fontId="108" fillId="11" borderId="2" xfId="9" applyNumberFormat="1" applyFont="1" applyFill="1" applyBorder="1" applyAlignment="1">
      <alignment horizontal="right" vertical="center"/>
    </xf>
    <xf numFmtId="39" fontId="108" fillId="11" borderId="2" xfId="9" applyNumberFormat="1" applyFont="1" applyFill="1" applyBorder="1" applyAlignment="1">
      <alignment horizontal="center" vertical="center" wrapText="1"/>
    </xf>
    <xf numFmtId="39" fontId="108" fillId="3" borderId="4" xfId="9" applyNumberFormat="1" applyFont="1" applyFill="1" applyBorder="1" applyAlignment="1">
      <alignment horizontal="right" vertical="center"/>
    </xf>
    <xf numFmtId="10" fontId="108" fillId="0" borderId="2" xfId="9" applyNumberFormat="1" applyFont="1" applyFill="1" applyBorder="1" applyAlignment="1">
      <alignment horizontal="center" vertical="center"/>
    </xf>
    <xf numFmtId="0" fontId="93" fillId="3" borderId="2" xfId="9" applyFont="1" applyFill="1" applyBorder="1"/>
    <xf numFmtId="10" fontId="93" fillId="3" borderId="2" xfId="9" applyNumberFormat="1" applyFont="1" applyFill="1" applyBorder="1" applyAlignment="1">
      <alignment horizontal="center" vertical="center" wrapText="1"/>
    </xf>
    <xf numFmtId="0" fontId="119" fillId="17" borderId="0" xfId="9" applyFont="1" applyFill="1" applyBorder="1"/>
    <xf numFmtId="0" fontId="126" fillId="17" borderId="0" xfId="9" applyFont="1" applyFill="1" applyBorder="1" applyAlignment="1">
      <alignment horizontal="center" vertical="center"/>
    </xf>
    <xf numFmtId="0" fontId="114" fillId="8" borderId="21" xfId="9" applyNumberFormat="1" applyFont="1" applyFill="1" applyBorder="1" applyAlignment="1">
      <alignment horizontal="center" vertical="center" wrapText="1" readingOrder="1"/>
    </xf>
    <xf numFmtId="49" fontId="95" fillId="8" borderId="2" xfId="9" applyNumberFormat="1" applyFont="1" applyFill="1" applyBorder="1" applyAlignment="1">
      <alignment vertical="center" wrapText="1" readingOrder="1"/>
    </xf>
    <xf numFmtId="39" fontId="108" fillId="8" borderId="2" xfId="9" applyNumberFormat="1" applyFont="1" applyFill="1" applyBorder="1" applyAlignment="1">
      <alignment horizontal="right" vertical="center" wrapText="1" readingOrder="1"/>
    </xf>
    <xf numFmtId="39" fontId="108" fillId="8" borderId="2" xfId="9" applyNumberFormat="1" applyFont="1" applyFill="1" applyBorder="1" applyAlignment="1">
      <alignment horizontal="right" vertical="center"/>
    </xf>
    <xf numFmtId="39" fontId="108" fillId="8" borderId="2" xfId="9" applyNumberFormat="1" applyFont="1" applyFill="1" applyBorder="1" applyAlignment="1">
      <alignment horizontal="center" vertical="center" wrapText="1"/>
    </xf>
    <xf numFmtId="39" fontId="108" fillId="8" borderId="4" xfId="9" applyNumberFormat="1" applyFont="1" applyFill="1" applyBorder="1" applyAlignment="1">
      <alignment horizontal="right" vertical="center"/>
    </xf>
    <xf numFmtId="10" fontId="108" fillId="8" borderId="2" xfId="9" applyNumberFormat="1" applyFont="1" applyFill="1" applyBorder="1" applyAlignment="1">
      <alignment horizontal="center" vertical="center"/>
    </xf>
    <xf numFmtId="10" fontId="93" fillId="8" borderId="0" xfId="9" applyNumberFormat="1" applyFont="1" applyFill="1" applyBorder="1" applyAlignment="1">
      <alignment horizontal="center" vertical="center"/>
    </xf>
    <xf numFmtId="0" fontId="93" fillId="8" borderId="2" xfId="9" applyFont="1" applyFill="1" applyBorder="1"/>
    <xf numFmtId="10" fontId="93" fillId="8" borderId="2" xfId="9" applyNumberFormat="1" applyFont="1" applyFill="1" applyBorder="1" applyAlignment="1">
      <alignment horizontal="center" vertical="center" wrapText="1"/>
    </xf>
    <xf numFmtId="0" fontId="119" fillId="8" borderId="0" xfId="9" applyFont="1" applyFill="1" applyBorder="1"/>
    <xf numFmtId="0" fontId="126" fillId="8" borderId="0" xfId="9" applyFont="1" applyFill="1" applyBorder="1" applyAlignment="1">
      <alignment horizontal="center" vertical="center"/>
    </xf>
    <xf numFmtId="0" fontId="114" fillId="12" borderId="21" xfId="9" applyNumberFormat="1" applyFont="1" applyFill="1" applyBorder="1" applyAlignment="1">
      <alignment horizontal="center" vertical="center" wrapText="1" readingOrder="1"/>
    </xf>
    <xf numFmtId="49" fontId="95" fillId="12" borderId="2" xfId="9" applyNumberFormat="1" applyFont="1" applyFill="1" applyBorder="1" applyAlignment="1">
      <alignment horizontal="center" vertical="center" wrapText="1" readingOrder="1"/>
    </xf>
    <xf numFmtId="0" fontId="119" fillId="12" borderId="0" xfId="9" applyFont="1" applyFill="1" applyBorder="1"/>
    <xf numFmtId="0" fontId="126" fillId="12" borderId="0" xfId="9" applyFont="1" applyFill="1" applyBorder="1" applyAlignment="1">
      <alignment horizontal="center" vertical="center"/>
    </xf>
    <xf numFmtId="39" fontId="95" fillId="19" borderId="2" xfId="9" applyNumberFormat="1" applyFont="1" applyFill="1" applyBorder="1" applyAlignment="1">
      <alignment horizontal="right" vertical="center" wrapText="1" readingOrder="1"/>
    </xf>
    <xf numFmtId="39" fontId="145" fillId="19" borderId="2" xfId="9" applyNumberFormat="1" applyFont="1" applyFill="1" applyBorder="1" applyAlignment="1">
      <alignment horizontal="right" vertical="center" wrapText="1" readingOrder="1"/>
    </xf>
    <xf numFmtId="39" fontId="108" fillId="5" borderId="2" xfId="9" applyNumberFormat="1" applyFont="1" applyFill="1" applyBorder="1" applyAlignment="1">
      <alignment horizontal="right" vertical="center"/>
    </xf>
    <xf numFmtId="39" fontId="108" fillId="13" borderId="2" xfId="9" applyNumberFormat="1" applyFont="1" applyFill="1" applyBorder="1" applyAlignment="1">
      <alignment horizontal="right" vertical="center"/>
    </xf>
    <xf numFmtId="0" fontId="93" fillId="3" borderId="2" xfId="9" applyFont="1" applyFill="1" applyBorder="1" applyAlignment="1">
      <alignment wrapText="1"/>
    </xf>
    <xf numFmtId="0" fontId="107" fillId="14" borderId="21" xfId="9" applyNumberFormat="1" applyFont="1" applyFill="1" applyBorder="1" applyAlignment="1">
      <alignment horizontal="center" vertical="center" wrapText="1" readingOrder="1"/>
    </xf>
    <xf numFmtId="49" fontId="86" fillId="14" borderId="2" xfId="9" applyNumberFormat="1" applyFont="1" applyFill="1" applyBorder="1" applyAlignment="1">
      <alignment horizontal="center" vertical="center" wrapText="1" readingOrder="1"/>
    </xf>
    <xf numFmtId="49" fontId="86" fillId="14" borderId="2" xfId="9" applyNumberFormat="1" applyFont="1" applyFill="1" applyBorder="1" applyAlignment="1">
      <alignment vertical="center" wrapText="1" readingOrder="1"/>
    </xf>
    <xf numFmtId="39" fontId="107" fillId="14" borderId="2" xfId="9" applyNumberFormat="1" applyFont="1" applyFill="1" applyBorder="1" applyAlignment="1">
      <alignment horizontal="right" vertical="center" wrapText="1" readingOrder="1"/>
    </xf>
    <xf numFmtId="39" fontId="86" fillId="20" borderId="2" xfId="9" applyNumberFormat="1" applyFont="1" applyFill="1" applyBorder="1" applyAlignment="1">
      <alignment horizontal="right" vertical="center" wrapText="1" readingOrder="1"/>
    </xf>
    <xf numFmtId="39" fontId="147" fillId="14" borderId="2" xfId="9" applyNumberFormat="1" applyFont="1" applyFill="1" applyBorder="1" applyAlignment="1">
      <alignment horizontal="right" vertical="center" wrapText="1" readingOrder="1"/>
    </xf>
    <xf numFmtId="39" fontId="147" fillId="14" borderId="2" xfId="9" applyNumberFormat="1" applyFont="1" applyFill="1" applyBorder="1" applyAlignment="1">
      <alignment horizontal="right" vertical="center"/>
    </xf>
    <xf numFmtId="39" fontId="147" fillId="14" borderId="4" xfId="9" applyNumberFormat="1" applyFont="1" applyFill="1" applyBorder="1" applyAlignment="1">
      <alignment horizontal="right" vertical="center"/>
    </xf>
    <xf numFmtId="10" fontId="147" fillId="14" borderId="2" xfId="9" applyNumberFormat="1" applyFont="1" applyFill="1" applyBorder="1" applyAlignment="1">
      <alignment horizontal="center" vertical="center"/>
    </xf>
    <xf numFmtId="10" fontId="102" fillId="14" borderId="0" xfId="9" applyNumberFormat="1" applyFont="1" applyFill="1" applyBorder="1" applyAlignment="1">
      <alignment horizontal="center" vertical="center"/>
    </xf>
    <xf numFmtId="0" fontId="102" fillId="14" borderId="2" xfId="9" applyFont="1" applyFill="1" applyBorder="1"/>
    <xf numFmtId="0" fontId="102" fillId="14" borderId="2" xfId="9" applyFont="1" applyFill="1" applyBorder="1" applyAlignment="1">
      <alignment horizontal="center" vertical="center" wrapText="1"/>
    </xf>
    <xf numFmtId="0" fontId="102" fillId="14" borderId="0" xfId="9" applyFont="1" applyFill="1" applyBorder="1"/>
    <xf numFmtId="0" fontId="138" fillId="14" borderId="0" xfId="9" applyFont="1" applyFill="1" applyBorder="1"/>
    <xf numFmtId="0" fontId="139" fillId="14" borderId="0" xfId="9" applyFont="1" applyFill="1" applyBorder="1" applyAlignment="1">
      <alignment horizontal="center" vertical="center"/>
    </xf>
    <xf numFmtId="0" fontId="93" fillId="11" borderId="0" xfId="9" applyFont="1" applyFill="1" applyBorder="1"/>
    <xf numFmtId="0" fontId="119" fillId="11" borderId="0" xfId="9" applyFont="1" applyFill="1" applyBorder="1"/>
    <xf numFmtId="0" fontId="126" fillId="11" borderId="0" xfId="9" applyFont="1" applyFill="1" applyBorder="1" applyAlignment="1">
      <alignment horizontal="center" vertical="center"/>
    </xf>
    <xf numFmtId="0" fontId="149" fillId="11" borderId="0" xfId="9" applyFont="1" applyFill="1" applyBorder="1"/>
    <xf numFmtId="39" fontId="133" fillId="3" borderId="2" xfId="9" applyNumberFormat="1" applyFont="1" applyFill="1" applyBorder="1" applyAlignment="1">
      <alignment horizontal="right" vertical="center"/>
    </xf>
    <xf numFmtId="0" fontId="149" fillId="3" borderId="2" xfId="9" applyFont="1" applyFill="1" applyBorder="1" applyAlignment="1">
      <alignment wrapText="1"/>
    </xf>
    <xf numFmtId="39" fontId="148" fillId="3" borderId="2" xfId="9" applyNumberFormat="1" applyFont="1" applyFill="1" applyBorder="1" applyAlignment="1">
      <alignment horizontal="right" vertical="center" wrapText="1" readingOrder="1"/>
    </xf>
    <xf numFmtId="0" fontId="150" fillId="11" borderId="0" xfId="9" applyFont="1" applyFill="1" applyBorder="1" applyAlignment="1">
      <alignment horizontal="center"/>
    </xf>
    <xf numFmtId="0" fontId="150" fillId="12" borderId="0" xfId="9" applyFont="1" applyFill="1" applyBorder="1" applyAlignment="1">
      <alignment horizontal="center" vertical="center"/>
    </xf>
    <xf numFmtId="164" fontId="153" fillId="0" borderId="2" xfId="112" applyFont="1" applyBorder="1"/>
    <xf numFmtId="164" fontId="93" fillId="3" borderId="2" xfId="112" applyFont="1" applyFill="1" applyBorder="1" applyAlignment="1">
      <alignment horizontal="center" vertical="center" wrapText="1"/>
    </xf>
    <xf numFmtId="0" fontId="93" fillId="3" borderId="2" xfId="9" applyFont="1" applyFill="1" applyBorder="1" applyAlignment="1">
      <alignment horizontal="center" vertical="center" wrapText="1"/>
    </xf>
    <xf numFmtId="10" fontId="149" fillId="3" borderId="2" xfId="9" applyNumberFormat="1" applyFont="1" applyFill="1" applyBorder="1" applyAlignment="1">
      <alignment horizontal="center" vertical="center" wrapText="1"/>
    </xf>
    <xf numFmtId="169" fontId="93" fillId="17" borderId="0" xfId="9" applyNumberFormat="1" applyFont="1" applyFill="1" applyBorder="1"/>
    <xf numFmtId="39" fontId="114" fillId="3" borderId="2" xfId="9" applyNumberFormat="1" applyFont="1" applyFill="1" applyBorder="1" applyAlignment="1">
      <alignment horizontal="center" vertical="center" wrapText="1" readingOrder="1"/>
    </xf>
    <xf numFmtId="39" fontId="108" fillId="3" borderId="2" xfId="9" applyNumberFormat="1" applyFont="1" applyFill="1" applyBorder="1" applyAlignment="1">
      <alignment vertical="center" wrapText="1" readingOrder="1"/>
    </xf>
    <xf numFmtId="169" fontId="93" fillId="12" borderId="0" xfId="9" applyNumberFormat="1" applyFont="1" applyFill="1" applyBorder="1"/>
    <xf numFmtId="0" fontId="86" fillId="14" borderId="2" xfId="9" applyNumberFormat="1" applyFont="1" applyFill="1" applyBorder="1" applyAlignment="1">
      <alignment horizontal="left" vertical="center" wrapText="1" readingOrder="1"/>
    </xf>
    <xf numFmtId="39" fontId="108" fillId="14" borderId="2" xfId="9" applyNumberFormat="1" applyFont="1" applyFill="1" applyBorder="1" applyAlignment="1">
      <alignment horizontal="right" vertical="center"/>
    </xf>
    <xf numFmtId="39" fontId="147" fillId="10" borderId="2" xfId="9" applyNumberFormat="1" applyFont="1" applyFill="1" applyBorder="1" applyAlignment="1">
      <alignment horizontal="right" vertical="center"/>
    </xf>
    <xf numFmtId="39" fontId="147" fillId="3" borderId="4" xfId="9" applyNumberFormat="1" applyFont="1" applyFill="1" applyBorder="1" applyAlignment="1">
      <alignment horizontal="right" vertical="center"/>
    </xf>
    <xf numFmtId="10" fontId="147" fillId="15" borderId="2" xfId="9" applyNumberFormat="1" applyFont="1" applyFill="1" applyBorder="1" applyAlignment="1">
      <alignment horizontal="center" vertical="center"/>
    </xf>
    <xf numFmtId="49" fontId="95" fillId="17" borderId="2" xfId="9" applyNumberFormat="1" applyFont="1" applyFill="1" applyBorder="1" applyAlignment="1">
      <alignment horizontal="center" vertical="center" wrapText="1" readingOrder="1"/>
    </xf>
    <xf numFmtId="39" fontId="93" fillId="11" borderId="2" xfId="9" applyNumberFormat="1" applyFont="1" applyFill="1" applyBorder="1" applyAlignment="1">
      <alignment horizontal="right" vertical="center"/>
    </xf>
    <xf numFmtId="39" fontId="93" fillId="11" borderId="2" xfId="9" applyNumberFormat="1" applyFont="1" applyFill="1" applyBorder="1" applyAlignment="1">
      <alignment horizontal="center" vertical="center" wrapText="1"/>
    </xf>
    <xf numFmtId="39" fontId="93" fillId="3" borderId="4" xfId="9" applyNumberFormat="1" applyFont="1" applyFill="1" applyBorder="1" applyAlignment="1">
      <alignment horizontal="right" vertical="center"/>
    </xf>
    <xf numFmtId="10" fontId="93" fillId="0" borderId="2" xfId="9" applyNumberFormat="1" applyFont="1" applyFill="1" applyBorder="1" applyAlignment="1">
      <alignment horizontal="center" vertical="center"/>
    </xf>
    <xf numFmtId="10" fontId="154" fillId="3" borderId="0" xfId="9" applyNumberFormat="1" applyFont="1" applyFill="1" applyBorder="1" applyAlignment="1">
      <alignment horizontal="center" vertical="center"/>
    </xf>
    <xf numFmtId="39" fontId="106" fillId="19" borderId="2" xfId="9" applyNumberFormat="1" applyFont="1" applyFill="1" applyBorder="1" applyAlignment="1">
      <alignment horizontal="right" vertical="center" wrapText="1" readingOrder="1"/>
    </xf>
    <xf numFmtId="0" fontId="114" fillId="14" borderId="21" xfId="9" applyNumberFormat="1" applyFont="1" applyFill="1" applyBorder="1" applyAlignment="1">
      <alignment horizontal="center" vertical="center" wrapText="1" readingOrder="1"/>
    </xf>
    <xf numFmtId="0" fontId="88" fillId="14" borderId="2" xfId="9" applyNumberFormat="1" applyFont="1" applyFill="1" applyBorder="1" applyAlignment="1">
      <alignment horizontal="left" vertical="center" wrapText="1" readingOrder="1"/>
    </xf>
    <xf numFmtId="39" fontId="88" fillId="14" borderId="2" xfId="9" applyNumberFormat="1" applyFont="1" applyFill="1" applyBorder="1" applyAlignment="1">
      <alignment horizontal="right" vertical="center" wrapText="1" readingOrder="1"/>
    </xf>
    <xf numFmtId="39" fontId="87" fillId="14" borderId="2" xfId="9" applyNumberFormat="1" applyFont="1" applyFill="1" applyBorder="1" applyAlignment="1">
      <alignment horizontal="right" vertical="center" wrapText="1" readingOrder="1"/>
    </xf>
    <xf numFmtId="39" fontId="80" fillId="5" borderId="2" xfId="9" applyNumberFormat="1" applyFont="1" applyFill="1" applyBorder="1" applyAlignment="1">
      <alignment horizontal="right"/>
    </xf>
    <xf numFmtId="39" fontId="139" fillId="14" borderId="2" xfId="9" applyNumberFormat="1" applyFont="1" applyFill="1" applyBorder="1" applyAlignment="1">
      <alignment horizontal="right"/>
    </xf>
    <xf numFmtId="39" fontId="106" fillId="14" borderId="2" xfId="9" applyNumberFormat="1" applyFont="1" applyFill="1" applyBorder="1" applyAlignment="1">
      <alignment horizontal="right" vertical="center" wrapText="1" readingOrder="1"/>
    </xf>
    <xf numFmtId="39" fontId="119" fillId="10" borderId="2" xfId="9" applyNumberFormat="1" applyFont="1" applyFill="1" applyBorder="1" applyAlignment="1">
      <alignment horizontal="right"/>
    </xf>
    <xf numFmtId="39" fontId="80" fillId="14" borderId="2" xfId="9" applyNumberFormat="1" applyFont="1" applyFill="1" applyBorder="1" applyAlignment="1">
      <alignment horizontal="center" vertical="center"/>
    </xf>
    <xf numFmtId="39" fontId="119" fillId="14" borderId="2" xfId="9" applyNumberFormat="1" applyFont="1" applyFill="1" applyBorder="1" applyAlignment="1">
      <alignment horizontal="right"/>
    </xf>
    <xf numFmtId="0" fontId="119" fillId="14" borderId="2" xfId="9" applyFont="1" applyFill="1" applyBorder="1" applyAlignment="1">
      <alignment horizontal="center" vertical="center" wrapText="1"/>
    </xf>
    <xf numFmtId="39" fontId="119" fillId="3" borderId="4" xfId="9" applyNumberFormat="1" applyFont="1" applyFill="1" applyBorder="1" applyAlignment="1">
      <alignment horizontal="right" vertical="center"/>
    </xf>
    <xf numFmtId="0" fontId="81" fillId="14" borderId="2" xfId="9" applyFont="1" applyFill="1" applyBorder="1"/>
    <xf numFmtId="39" fontId="119" fillId="14" borderId="2" xfId="9" applyNumberFormat="1" applyFont="1" applyFill="1" applyBorder="1" applyAlignment="1">
      <alignment horizontal="center" vertical="center" wrapText="1"/>
    </xf>
    <xf numFmtId="0" fontId="80" fillId="5" borderId="2" xfId="9" applyFont="1" applyFill="1" applyBorder="1" applyAlignment="1">
      <alignment horizontal="right"/>
    </xf>
    <xf numFmtId="0" fontId="139" fillId="14" borderId="2" xfId="9" applyFont="1" applyFill="1" applyBorder="1" applyAlignment="1">
      <alignment horizontal="right"/>
    </xf>
    <xf numFmtId="174" fontId="139" fillId="14" borderId="2" xfId="9" applyNumberFormat="1" applyFont="1" applyFill="1" applyBorder="1" applyAlignment="1">
      <alignment horizontal="right"/>
    </xf>
    <xf numFmtId="0" fontId="119" fillId="10" borderId="2" xfId="9" applyFont="1" applyFill="1" applyBorder="1" applyAlignment="1">
      <alignment horizontal="right"/>
    </xf>
    <xf numFmtId="0" fontId="80" fillId="14" borderId="2" xfId="9" applyFont="1" applyFill="1" applyBorder="1" applyAlignment="1">
      <alignment horizontal="center" vertical="center"/>
    </xf>
    <xf numFmtId="0" fontId="119" fillId="14" borderId="2" xfId="9" applyFont="1" applyFill="1" applyBorder="1" applyAlignment="1">
      <alignment horizontal="right"/>
    </xf>
    <xf numFmtId="0" fontId="119" fillId="14" borderId="2" xfId="9" applyFont="1" applyFill="1" applyBorder="1" applyAlignment="1">
      <alignment horizontal="center" vertical="center"/>
    </xf>
    <xf numFmtId="0" fontId="119" fillId="3" borderId="0" xfId="9" applyFont="1" applyFill="1" applyBorder="1" applyAlignment="1">
      <alignment horizontal="center" vertical="center"/>
    </xf>
    <xf numFmtId="39" fontId="93" fillId="20" borderId="2" xfId="9" applyNumberFormat="1" applyFont="1" applyFill="1" applyBorder="1" applyAlignment="1">
      <alignment horizontal="right" vertical="center"/>
    </xf>
    <xf numFmtId="39" fontId="93" fillId="20" borderId="2" xfId="9" applyNumberFormat="1" applyFont="1" applyFill="1" applyBorder="1" applyAlignment="1">
      <alignment horizontal="center" vertical="center" wrapText="1"/>
    </xf>
    <xf numFmtId="39" fontId="93" fillId="20" borderId="4" xfId="9" applyNumberFormat="1" applyFont="1" applyFill="1" applyBorder="1" applyAlignment="1">
      <alignment horizontal="right" vertical="center"/>
    </xf>
    <xf numFmtId="10" fontId="93" fillId="20" borderId="2" xfId="9" applyNumberFormat="1" applyFont="1" applyFill="1" applyBorder="1" applyAlignment="1">
      <alignment horizontal="center" vertical="center"/>
    </xf>
    <xf numFmtId="0" fontId="80" fillId="20" borderId="0" xfId="9" applyFont="1" applyFill="1" applyBorder="1" applyAlignment="1">
      <alignment horizontal="center" vertical="center"/>
    </xf>
    <xf numFmtId="0" fontId="81" fillId="20" borderId="2" xfId="9" applyFont="1" applyFill="1" applyBorder="1"/>
    <xf numFmtId="0" fontId="80" fillId="20" borderId="2" xfId="9" applyFont="1" applyFill="1" applyBorder="1" applyAlignment="1">
      <alignment horizontal="center" vertical="center" wrapText="1"/>
    </xf>
    <xf numFmtId="168" fontId="93" fillId="20" borderId="0" xfId="9" applyNumberFormat="1" applyFont="1" applyFill="1" applyBorder="1"/>
    <xf numFmtId="0" fontId="80" fillId="21" borderId="0" xfId="9" applyFont="1" applyFill="1" applyBorder="1"/>
    <xf numFmtId="0" fontId="126" fillId="21" borderId="0" xfId="9" applyFont="1" applyFill="1" applyBorder="1" applyAlignment="1">
      <alignment horizontal="center" vertical="center"/>
    </xf>
    <xf numFmtId="39" fontId="155" fillId="3" borderId="4" xfId="9" applyNumberFormat="1" applyFont="1" applyFill="1" applyBorder="1" applyAlignment="1">
      <alignment horizontal="right" vertical="center"/>
    </xf>
    <xf numFmtId="0" fontId="80" fillId="3" borderId="2" xfId="9" applyFont="1" applyFill="1" applyBorder="1" applyAlignment="1">
      <alignment horizontal="center" vertical="center"/>
    </xf>
    <xf numFmtId="0" fontId="81" fillId="3" borderId="2" xfId="9" applyFont="1" applyFill="1" applyBorder="1"/>
    <xf numFmtId="0" fontId="116" fillId="0" borderId="21" xfId="9" applyNumberFormat="1" applyFont="1" applyFill="1" applyBorder="1" applyAlignment="1">
      <alignment horizontal="center" vertical="center" wrapText="1" readingOrder="1"/>
    </xf>
    <xf numFmtId="49" fontId="116" fillId="0" borderId="2" xfId="9" applyNumberFormat="1" applyFont="1" applyFill="1" applyBorder="1" applyAlignment="1">
      <alignment horizontal="center" vertical="center" wrapText="1" readingOrder="1"/>
    </xf>
    <xf numFmtId="0" fontId="87" fillId="0" borderId="2" xfId="9" applyNumberFormat="1" applyFont="1" applyFill="1" applyBorder="1" applyAlignment="1">
      <alignment horizontal="left" vertical="center" wrapText="1" readingOrder="1"/>
    </xf>
    <xf numFmtId="39" fontId="114" fillId="0" borderId="2" xfId="9" applyNumberFormat="1" applyFont="1" applyFill="1" applyBorder="1" applyAlignment="1">
      <alignment horizontal="right" vertical="center" wrapText="1" readingOrder="1"/>
    </xf>
    <xf numFmtId="0" fontId="80" fillId="0" borderId="2" xfId="9" applyFont="1" applyFill="1" applyBorder="1" applyAlignment="1">
      <alignment horizontal="center" vertical="center"/>
    </xf>
    <xf numFmtId="0" fontId="80" fillId="21" borderId="2" xfId="9" applyFont="1" applyFill="1" applyBorder="1" applyAlignment="1">
      <alignment horizontal="center" vertical="center"/>
    </xf>
    <xf numFmtId="0" fontId="81" fillId="21" borderId="2" xfId="9" applyFont="1" applyFill="1" applyBorder="1"/>
    <xf numFmtId="0" fontId="93" fillId="21" borderId="0" xfId="9" applyFont="1" applyFill="1" applyBorder="1"/>
    <xf numFmtId="39" fontId="93" fillId="7" borderId="2" xfId="9" applyNumberFormat="1" applyFont="1" applyFill="1" applyBorder="1" applyAlignment="1">
      <alignment horizontal="right" vertical="center"/>
    </xf>
    <xf numFmtId="39" fontId="93" fillId="7" borderId="2" xfId="9" applyNumberFormat="1" applyFont="1" applyFill="1" applyBorder="1" applyAlignment="1">
      <alignment horizontal="center" vertical="center" wrapText="1"/>
    </xf>
    <xf numFmtId="39" fontId="93" fillId="7" borderId="4" xfId="9" applyNumberFormat="1" applyFont="1" applyFill="1" applyBorder="1" applyAlignment="1">
      <alignment horizontal="right" vertical="center"/>
    </xf>
    <xf numFmtId="10" fontId="93" fillId="3" borderId="2" xfId="9" applyNumberFormat="1" applyFont="1" applyFill="1" applyBorder="1" applyAlignment="1">
      <alignment horizontal="center" vertical="center"/>
    </xf>
    <xf numFmtId="39" fontId="93" fillId="21" borderId="2" xfId="9" applyNumberFormat="1" applyFont="1" applyFill="1" applyBorder="1" applyAlignment="1">
      <alignment horizontal="right" vertical="center"/>
    </xf>
    <xf numFmtId="39" fontId="93" fillId="21" borderId="2" xfId="9" applyNumberFormat="1" applyFont="1" applyFill="1" applyBorder="1" applyAlignment="1">
      <alignment horizontal="center" vertical="center" wrapText="1"/>
    </xf>
    <xf numFmtId="39" fontId="93" fillId="21" borderId="4" xfId="9" applyNumberFormat="1" applyFont="1" applyFill="1" applyBorder="1" applyAlignment="1">
      <alignment horizontal="right" vertical="center"/>
    </xf>
    <xf numFmtId="10" fontId="93" fillId="21" borderId="2" xfId="9" applyNumberFormat="1" applyFont="1" applyFill="1" applyBorder="1" applyAlignment="1">
      <alignment horizontal="center" vertical="center"/>
    </xf>
    <xf numFmtId="0" fontId="120" fillId="21" borderId="2" xfId="9" applyFont="1" applyFill="1" applyBorder="1" applyAlignment="1">
      <alignment horizontal="center" vertical="center" wrapText="1"/>
    </xf>
    <xf numFmtId="0" fontId="120" fillId="21" borderId="0" xfId="9" applyFont="1" applyFill="1" applyBorder="1"/>
    <xf numFmtId="0" fontId="156" fillId="0" borderId="21" xfId="9" applyNumberFormat="1" applyFont="1" applyFill="1" applyBorder="1" applyAlignment="1">
      <alignment horizontal="center" vertical="center" wrapText="1" readingOrder="1"/>
    </xf>
    <xf numFmtId="49" fontId="156" fillId="0" borderId="2" xfId="9" applyNumberFormat="1" applyFont="1" applyFill="1" applyBorder="1" applyAlignment="1">
      <alignment horizontal="center" vertical="center" wrapText="1" readingOrder="1"/>
    </xf>
    <xf numFmtId="0" fontId="120" fillId="0" borderId="4" xfId="9" applyFont="1" applyFill="1" applyBorder="1"/>
    <xf numFmtId="0" fontId="120" fillId="0" borderId="2" xfId="9" applyFont="1" applyFill="1" applyBorder="1" applyAlignment="1">
      <alignment horizontal="center" vertical="center"/>
    </xf>
    <xf numFmtId="0" fontId="120" fillId="3" borderId="0" xfId="9" applyFont="1" applyFill="1" applyBorder="1" applyAlignment="1">
      <alignment horizontal="center" vertical="center"/>
    </xf>
    <xf numFmtId="0" fontId="120" fillId="0" borderId="0" xfId="9" applyFont="1" applyFill="1" applyBorder="1"/>
    <xf numFmtId="10" fontId="80" fillId="0" borderId="18" xfId="9" applyNumberFormat="1" applyFont="1" applyFill="1" applyBorder="1" applyAlignment="1">
      <alignment horizontal="center" vertical="center" wrapText="1"/>
    </xf>
    <xf numFmtId="49" fontId="80" fillId="0" borderId="0" xfId="9" applyNumberFormat="1" applyFont="1" applyFill="1" applyBorder="1"/>
    <xf numFmtId="4" fontId="87" fillId="0" borderId="0" xfId="9" applyNumberFormat="1" applyFont="1" applyFill="1" applyBorder="1" applyAlignment="1" applyProtection="1">
      <alignment horizontal="center"/>
    </xf>
    <xf numFmtId="0" fontId="80" fillId="0" borderId="10" xfId="9" applyFont="1" applyFill="1" applyBorder="1"/>
    <xf numFmtId="0" fontId="120" fillId="0" borderId="0" xfId="9" applyFont="1" applyFill="1" applyBorder="1" applyAlignment="1">
      <alignment horizontal="center" vertical="center"/>
    </xf>
    <xf numFmtId="4" fontId="87" fillId="3" borderId="0" xfId="9" applyNumberFormat="1" applyFont="1" applyFill="1" applyBorder="1" applyAlignment="1" applyProtection="1">
      <alignment horizontal="center"/>
    </xf>
    <xf numFmtId="4" fontId="87" fillId="3" borderId="0" xfId="9" applyNumberFormat="1" applyFont="1" applyFill="1" applyBorder="1" applyAlignment="1" applyProtection="1">
      <alignment horizontal="left" vertical="center" wrapText="1"/>
    </xf>
    <xf numFmtId="0" fontId="80" fillId="0" borderId="5" xfId="9" applyFont="1" applyFill="1" applyBorder="1"/>
    <xf numFmtId="0" fontId="80" fillId="0" borderId="2" xfId="9" applyFont="1" applyFill="1" applyBorder="1"/>
    <xf numFmtId="0" fontId="80" fillId="0" borderId="4" xfId="9" applyFont="1" applyFill="1" applyBorder="1"/>
    <xf numFmtId="0" fontId="80" fillId="3" borderId="0" xfId="9" applyFont="1" applyFill="1" applyBorder="1" applyAlignment="1">
      <alignment horizontal="center" vertical="center" wrapText="1"/>
    </xf>
    <xf numFmtId="49" fontId="80" fillId="5" borderId="0" xfId="9" applyNumberFormat="1" applyFont="1" applyFill="1" applyBorder="1"/>
    <xf numFmtId="174" fontId="80" fillId="0" borderId="2" xfId="9" applyNumberFormat="1" applyFont="1" applyFill="1" applyBorder="1"/>
    <xf numFmtId="0" fontId="80" fillId="0" borderId="18" xfId="9" applyFont="1" applyFill="1" applyBorder="1" applyAlignment="1">
      <alignment horizontal="center" vertical="center" wrapText="1"/>
    </xf>
    <xf numFmtId="164" fontId="152" fillId="14" borderId="2" xfId="112" applyFont="1" applyFill="1" applyBorder="1" applyAlignment="1">
      <alignment horizontal="center" vertical="center"/>
    </xf>
    <xf numFmtId="164" fontId="152" fillId="14" borderId="0" xfId="112" applyFont="1" applyFill="1" applyBorder="1"/>
    <xf numFmtId="166" fontId="152" fillId="14" borderId="0" xfId="9" applyNumberFormat="1" applyFont="1" applyFill="1" applyBorder="1"/>
    <xf numFmtId="174" fontId="81" fillId="0" borderId="0" xfId="9" applyNumberFormat="1" applyFont="1" applyFill="1" applyBorder="1" applyAlignment="1"/>
    <xf numFmtId="39" fontId="71" fillId="5" borderId="2" xfId="9" applyNumberFormat="1" applyFont="1" applyFill="1" applyBorder="1" applyAlignment="1">
      <alignment horizontal="right" vertical="center" wrapText="1" readingOrder="1"/>
    </xf>
    <xf numFmtId="49" fontId="95" fillId="5" borderId="2" xfId="9" applyNumberFormat="1" applyFont="1" applyFill="1" applyBorder="1" applyAlignment="1">
      <alignment horizontal="center" vertical="center" wrapText="1" readingOrder="1"/>
    </xf>
    <xf numFmtId="0" fontId="106" fillId="5" borderId="2" xfId="9" applyNumberFormat="1" applyFont="1" applyFill="1" applyBorder="1" applyAlignment="1">
      <alignment horizontal="center" vertical="center" wrapText="1" readingOrder="1"/>
    </xf>
    <xf numFmtId="0" fontId="126" fillId="5" borderId="2" xfId="9" applyFont="1" applyFill="1" applyBorder="1" applyAlignment="1">
      <alignment horizontal="center" vertical="center" wrapText="1"/>
    </xf>
    <xf numFmtId="0" fontId="15" fillId="0" borderId="0" xfId="0" applyFont="1" applyAlignment="1">
      <alignment wrapText="1"/>
    </xf>
    <xf numFmtId="0" fontId="15" fillId="3" borderId="0" xfId="0" applyFont="1" applyFill="1" applyAlignment="1">
      <alignment wrapText="1"/>
    </xf>
    <xf numFmtId="49" fontId="95" fillId="30" borderId="2" xfId="9" applyNumberFormat="1" applyFont="1" applyFill="1" applyBorder="1" applyAlignment="1">
      <alignment horizontal="center" vertical="center" wrapText="1" readingOrder="1"/>
    </xf>
    <xf numFmtId="49" fontId="95" fillId="6" borderId="2" xfId="9" applyNumberFormat="1" applyFont="1" applyFill="1" applyBorder="1" applyAlignment="1">
      <alignment horizontal="center" vertical="center" wrapText="1" readingOrder="1"/>
    </xf>
    <xf numFmtId="0" fontId="0" fillId="0" borderId="0" xfId="0" applyBorder="1"/>
    <xf numFmtId="10" fontId="149" fillId="3" borderId="2" xfId="9" applyNumberFormat="1" applyFont="1" applyFill="1" applyBorder="1" applyAlignment="1">
      <alignment vertical="center" wrapText="1"/>
    </xf>
    <xf numFmtId="49" fontId="95" fillId="31" borderId="2" xfId="9" applyNumberFormat="1" applyFont="1" applyFill="1" applyBorder="1" applyAlignment="1">
      <alignment horizontal="center" vertical="center" wrapText="1" readingOrder="1"/>
    </xf>
    <xf numFmtId="49" fontId="95" fillId="16" borderId="2" xfId="9" applyNumberFormat="1" applyFont="1" applyFill="1" applyBorder="1" applyAlignment="1">
      <alignment horizontal="center" vertical="center" wrapText="1" readingOrder="1"/>
    </xf>
    <xf numFmtId="166" fontId="93" fillId="11" borderId="0" xfId="9" applyNumberFormat="1" applyFont="1" applyFill="1" applyBorder="1"/>
    <xf numFmtId="0" fontId="158" fillId="21" borderId="2" xfId="9" applyNumberFormat="1" applyFont="1" applyFill="1" applyBorder="1" applyAlignment="1">
      <alignment horizontal="left" vertical="center" wrapText="1" readingOrder="1"/>
    </xf>
    <xf numFmtId="39" fontId="108" fillId="21" borderId="2" xfId="9" applyNumberFormat="1" applyFont="1" applyFill="1" applyBorder="1" applyAlignment="1">
      <alignment horizontal="right" vertical="center" wrapText="1"/>
    </xf>
    <xf numFmtId="39" fontId="108" fillId="21" borderId="2" xfId="9" applyNumberFormat="1" applyFont="1" applyFill="1" applyBorder="1" applyAlignment="1">
      <alignment horizontal="right" vertical="center" wrapText="1" readingOrder="1"/>
    </xf>
    <xf numFmtId="39" fontId="108" fillId="13" borderId="2" xfId="9" applyNumberFormat="1" applyFont="1" applyFill="1" applyBorder="1" applyAlignment="1">
      <alignment horizontal="right" vertical="center" wrapText="1" readingOrder="1"/>
    </xf>
    <xf numFmtId="0" fontId="49" fillId="0" borderId="0" xfId="0" applyFont="1" applyAlignment="1">
      <alignment wrapText="1"/>
    </xf>
    <xf numFmtId="0" fontId="49" fillId="0" borderId="0" xfId="0" applyFont="1" applyAlignment="1">
      <alignment horizontal="center" vertical="center" wrapText="1"/>
    </xf>
    <xf numFmtId="44"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44" fontId="49" fillId="3" borderId="0" xfId="0" applyNumberFormat="1" applyFont="1" applyFill="1" applyAlignment="1">
      <alignment wrapText="1"/>
    </xf>
    <xf numFmtId="166" fontId="49" fillId="3" borderId="0" xfId="0" applyNumberFormat="1" applyFont="1" applyFill="1" applyAlignment="1">
      <alignment wrapText="1"/>
    </xf>
    <xf numFmtId="44" fontId="159" fillId="3" borderId="0" xfId="0" applyNumberFormat="1" applyFont="1" applyFill="1" applyAlignment="1">
      <alignment wrapText="1"/>
    </xf>
    <xf numFmtId="173" fontId="49" fillId="3" borderId="0" xfId="0" applyNumberFormat="1" applyFont="1" applyFill="1" applyAlignment="1">
      <alignment wrapText="1"/>
    </xf>
    <xf numFmtId="173" fontId="49" fillId="3" borderId="0" xfId="0" applyNumberFormat="1" applyFont="1" applyFill="1" applyAlignment="1">
      <alignment horizontal="center" vertical="center" wrapText="1"/>
    </xf>
    <xf numFmtId="44" fontId="49" fillId="3" borderId="0" xfId="0" applyNumberFormat="1" applyFont="1" applyFill="1" applyAlignment="1">
      <alignment horizontal="center" vertical="center" wrapText="1"/>
    </xf>
    <xf numFmtId="0" fontId="161" fillId="6" borderId="39" xfId="1" applyFont="1" applyFill="1" applyBorder="1" applyAlignment="1">
      <alignment horizontal="center" vertical="center" wrapText="1"/>
    </xf>
    <xf numFmtId="0" fontId="49" fillId="0" borderId="0" xfId="0" applyFont="1"/>
    <xf numFmtId="166" fontId="93" fillId="0" borderId="0" xfId="9" applyNumberFormat="1" applyFont="1" applyFill="1" applyBorder="1"/>
    <xf numFmtId="0" fontId="111" fillId="4" borderId="0" xfId="0" applyFont="1" applyFill="1" applyBorder="1" applyAlignment="1">
      <alignment horizontal="center" vertical="center" wrapText="1"/>
    </xf>
    <xf numFmtId="49" fontId="95" fillId="27" borderId="2" xfId="9" applyNumberFormat="1" applyFont="1" applyFill="1" applyBorder="1" applyAlignment="1">
      <alignment horizontal="center" vertical="center" wrapText="1" readingOrder="1"/>
    </xf>
    <xf numFmtId="49" fontId="95" fillId="19" borderId="2" xfId="9" applyNumberFormat="1" applyFont="1" applyFill="1" applyBorder="1" applyAlignment="1">
      <alignment horizontal="center" vertical="center" wrapText="1" readingOrder="1"/>
    </xf>
    <xf numFmtId="49" fontId="95" fillId="32" borderId="2" xfId="9" applyNumberFormat="1" applyFont="1" applyFill="1" applyBorder="1" applyAlignment="1">
      <alignment horizontal="center" vertical="center" wrapText="1" readingOrder="1"/>
    </xf>
    <xf numFmtId="49" fontId="95" fillId="11" borderId="2" xfId="9" applyNumberFormat="1" applyFont="1" applyFill="1" applyBorder="1" applyAlignment="1">
      <alignment horizontal="center" vertical="center" wrapText="1" readingOrder="1"/>
    </xf>
    <xf numFmtId="0" fontId="121" fillId="11" borderId="0" xfId="9" applyFont="1" applyFill="1" applyBorder="1"/>
    <xf numFmtId="0" fontId="121" fillId="12" borderId="0" xfId="9" applyFont="1" applyFill="1" applyBorder="1" applyAlignment="1">
      <alignment vertical="center"/>
    </xf>
    <xf numFmtId="0" fontId="121" fillId="12" borderId="0" xfId="9" applyFont="1" applyFill="1" applyBorder="1"/>
    <xf numFmtId="0" fontId="122" fillId="11" borderId="2" xfId="9" applyFont="1" applyFill="1" applyBorder="1"/>
    <xf numFmtId="0" fontId="126" fillId="11" borderId="2" xfId="9" applyFont="1" applyFill="1" applyBorder="1" applyAlignment="1">
      <alignment horizontal="center" vertical="center"/>
    </xf>
    <xf numFmtId="169" fontId="150" fillId="11" borderId="2" xfId="117" applyFont="1" applyFill="1" applyBorder="1"/>
    <xf numFmtId="0" fontId="150" fillId="11" borderId="2" xfId="9" applyFont="1" applyFill="1" applyBorder="1" applyAlignment="1">
      <alignment horizontal="center" vertical="center"/>
    </xf>
    <xf numFmtId="0" fontId="163" fillId="11" borderId="0" xfId="9" applyFont="1" applyFill="1" applyBorder="1"/>
    <xf numFmtId="174" fontId="93" fillId="17" borderId="0" xfId="9" applyNumberFormat="1" applyFont="1" applyFill="1" applyBorder="1"/>
    <xf numFmtId="49" fontId="95" fillId="34" borderId="2" xfId="9" applyNumberFormat="1" applyFont="1" applyFill="1" applyBorder="1" applyAlignment="1">
      <alignment horizontal="center" vertical="center" wrapText="1" readingOrder="1"/>
    </xf>
    <xf numFmtId="49" fontId="95" fillId="34" borderId="2" xfId="9" applyNumberFormat="1" applyFont="1" applyFill="1" applyBorder="1" applyAlignment="1">
      <alignment vertical="center" wrapText="1" readingOrder="1"/>
    </xf>
    <xf numFmtId="0" fontId="110" fillId="34" borderId="2" xfId="9" applyNumberFormat="1" applyFont="1" applyFill="1" applyBorder="1" applyAlignment="1">
      <alignment horizontal="left" vertical="center" wrapText="1" readingOrder="1"/>
    </xf>
    <xf numFmtId="39" fontId="114" fillId="34" borderId="2" xfId="9" applyNumberFormat="1" applyFont="1" applyFill="1" applyBorder="1" applyAlignment="1">
      <alignment horizontal="right" vertical="center" wrapText="1" readingOrder="1"/>
    </xf>
    <xf numFmtId="39" fontId="71" fillId="34" borderId="2" xfId="9" applyNumberFormat="1" applyFont="1" applyFill="1" applyBorder="1" applyAlignment="1">
      <alignment horizontal="right" vertical="center" wrapText="1" readingOrder="1"/>
    </xf>
    <xf numFmtId="39" fontId="95" fillId="34" borderId="2" xfId="9" applyNumberFormat="1" applyFont="1" applyFill="1" applyBorder="1" applyAlignment="1">
      <alignment horizontal="right" vertical="center" wrapText="1" readingOrder="1"/>
    </xf>
    <xf numFmtId="39" fontId="108" fillId="34" borderId="2" xfId="9" applyNumberFormat="1" applyFont="1" applyFill="1" applyBorder="1" applyAlignment="1">
      <alignment horizontal="right" vertical="center" wrapText="1" readingOrder="1"/>
    </xf>
    <xf numFmtId="39" fontId="108" fillId="34" borderId="2" xfId="9" applyNumberFormat="1" applyFont="1" applyFill="1" applyBorder="1" applyAlignment="1">
      <alignment horizontal="right" vertical="center"/>
    </xf>
    <xf numFmtId="39" fontId="108" fillId="34" borderId="2" xfId="9" applyNumberFormat="1" applyFont="1" applyFill="1" applyBorder="1" applyAlignment="1">
      <alignment horizontal="center" vertical="center" wrapText="1"/>
    </xf>
    <xf numFmtId="39" fontId="108" fillId="34" borderId="4" xfId="9" applyNumberFormat="1" applyFont="1" applyFill="1" applyBorder="1" applyAlignment="1">
      <alignment horizontal="right" vertical="center"/>
    </xf>
    <xf numFmtId="10" fontId="108" fillId="34" borderId="2" xfId="9" applyNumberFormat="1" applyFont="1" applyFill="1" applyBorder="1" applyAlignment="1">
      <alignment horizontal="center" vertical="center"/>
    </xf>
    <xf numFmtId="10" fontId="93" fillId="34" borderId="0" xfId="9" applyNumberFormat="1" applyFont="1" applyFill="1" applyBorder="1" applyAlignment="1">
      <alignment horizontal="center" vertical="center"/>
    </xf>
    <xf numFmtId="0" fontId="93" fillId="34" borderId="2" xfId="9" applyFont="1" applyFill="1" applyBorder="1"/>
    <xf numFmtId="10" fontId="93" fillId="34" borderId="2" xfId="9" applyNumberFormat="1" applyFont="1" applyFill="1" applyBorder="1" applyAlignment="1">
      <alignment horizontal="center" vertical="center" wrapText="1"/>
    </xf>
    <xf numFmtId="0" fontId="114" fillId="34" borderId="21" xfId="9" applyNumberFormat="1" applyFont="1" applyFill="1" applyBorder="1" applyAlignment="1">
      <alignment horizontal="center" vertical="center" wrapText="1" readingOrder="1"/>
    </xf>
    <xf numFmtId="39" fontId="148" fillId="34" borderId="2" xfId="9" applyNumberFormat="1" applyFont="1" applyFill="1" applyBorder="1" applyAlignment="1">
      <alignment horizontal="right" vertical="center" wrapText="1" readingOrder="1"/>
    </xf>
    <xf numFmtId="39" fontId="148" fillId="34" borderId="4" xfId="9" applyNumberFormat="1" applyFont="1" applyFill="1" applyBorder="1" applyAlignment="1">
      <alignment horizontal="right" vertical="center" wrapText="1" readingOrder="1"/>
    </xf>
    <xf numFmtId="0" fontId="93" fillId="34" borderId="2" xfId="9" applyFont="1" applyFill="1" applyBorder="1" applyAlignment="1">
      <alignment wrapText="1"/>
    </xf>
    <xf numFmtId="39" fontId="113" fillId="34" borderId="2" xfId="9" applyNumberFormat="1" applyFont="1" applyFill="1" applyBorder="1" applyAlignment="1">
      <alignment horizontal="right" vertical="center"/>
    </xf>
    <xf numFmtId="10" fontId="149" fillId="34" borderId="2" xfId="9" applyNumberFormat="1" applyFont="1" applyFill="1" applyBorder="1" applyAlignment="1">
      <alignment horizontal="center" vertical="center" wrapText="1"/>
    </xf>
    <xf numFmtId="49" fontId="110" fillId="34" borderId="2" xfId="9" applyNumberFormat="1" applyFont="1" applyFill="1" applyBorder="1" applyAlignment="1">
      <alignment horizontal="center" vertical="center" wrapText="1" readingOrder="1"/>
    </xf>
    <xf numFmtId="0" fontId="110" fillId="4" borderId="2" xfId="9" applyNumberFormat="1" applyFont="1" applyFill="1" applyBorder="1" applyAlignment="1">
      <alignment horizontal="left" vertical="center" wrapText="1" readingOrder="1"/>
    </xf>
    <xf numFmtId="39" fontId="114" fillId="34" borderId="2" xfId="9" applyNumberFormat="1" applyFont="1" applyFill="1" applyBorder="1" applyAlignment="1">
      <alignment horizontal="center" vertical="center" wrapText="1" readingOrder="1"/>
    </xf>
    <xf numFmtId="39" fontId="108" fillId="34" borderId="2" xfId="9" applyNumberFormat="1" applyFont="1" applyFill="1" applyBorder="1" applyAlignment="1">
      <alignment vertical="center" wrapText="1" readingOrder="1"/>
    </xf>
    <xf numFmtId="0" fontId="95" fillId="34" borderId="2" xfId="9" applyNumberFormat="1" applyFont="1" applyFill="1" applyBorder="1" applyAlignment="1">
      <alignment horizontal="left" vertical="center" wrapText="1" readingOrder="1"/>
    </xf>
    <xf numFmtId="49" fontId="95" fillId="31" borderId="2" xfId="9" applyNumberFormat="1" applyFont="1" applyFill="1" applyBorder="1" applyAlignment="1">
      <alignment vertical="center" wrapText="1" readingOrder="1"/>
    </xf>
    <xf numFmtId="0" fontId="110" fillId="31" borderId="2" xfId="9" applyNumberFormat="1" applyFont="1" applyFill="1" applyBorder="1" applyAlignment="1">
      <alignment horizontal="left" vertical="center" wrapText="1" readingOrder="1"/>
    </xf>
    <xf numFmtId="39" fontId="114" fillId="31" borderId="2" xfId="9" applyNumberFormat="1" applyFont="1" applyFill="1" applyBorder="1" applyAlignment="1">
      <alignment horizontal="right" vertical="center" wrapText="1" readingOrder="1"/>
    </xf>
    <xf numFmtId="39" fontId="71" fillId="31" borderId="2" xfId="9" applyNumberFormat="1" applyFont="1" applyFill="1" applyBorder="1" applyAlignment="1">
      <alignment horizontal="right" vertical="center" wrapText="1" readingOrder="1"/>
    </xf>
    <xf numFmtId="39" fontId="108" fillId="31" borderId="2" xfId="9" applyNumberFormat="1" applyFont="1" applyFill="1" applyBorder="1" applyAlignment="1">
      <alignment horizontal="right" vertical="center"/>
    </xf>
    <xf numFmtId="39" fontId="108" fillId="31" borderId="2" xfId="9" applyNumberFormat="1" applyFont="1" applyFill="1" applyBorder="1" applyAlignment="1">
      <alignment horizontal="center" vertical="center" wrapText="1"/>
    </xf>
    <xf numFmtId="39" fontId="108" fillId="31" borderId="4" xfId="9" applyNumberFormat="1" applyFont="1" applyFill="1" applyBorder="1" applyAlignment="1">
      <alignment horizontal="right" vertical="center"/>
    </xf>
    <xf numFmtId="10" fontId="108" fillId="31" borderId="2" xfId="9" applyNumberFormat="1" applyFont="1" applyFill="1" applyBorder="1" applyAlignment="1">
      <alignment horizontal="center" vertical="center"/>
    </xf>
    <xf numFmtId="10" fontId="93" fillId="31" borderId="0" xfId="9" applyNumberFormat="1" applyFont="1" applyFill="1" applyBorder="1" applyAlignment="1">
      <alignment horizontal="center" vertical="center"/>
    </xf>
    <xf numFmtId="0" fontId="93" fillId="31" borderId="2" xfId="9" applyFont="1" applyFill="1" applyBorder="1"/>
    <xf numFmtId="0" fontId="86" fillId="35" borderId="2" xfId="9" applyNumberFormat="1" applyFont="1" applyFill="1" applyBorder="1" applyAlignment="1">
      <alignment horizontal="left" vertical="center" wrapText="1" readingOrder="1"/>
    </xf>
    <xf numFmtId="39" fontId="114" fillId="35" borderId="2" xfId="9" applyNumberFormat="1" applyFont="1" applyFill="1" applyBorder="1" applyAlignment="1">
      <alignment horizontal="right" vertical="center" wrapText="1" readingOrder="1"/>
    </xf>
    <xf numFmtId="39" fontId="95" fillId="35" borderId="2" xfId="9" applyNumberFormat="1" applyFont="1" applyFill="1" applyBorder="1" applyAlignment="1">
      <alignment horizontal="right" vertical="center"/>
    </xf>
    <xf numFmtId="39" fontId="95" fillId="35" borderId="2" xfId="9" applyNumberFormat="1" applyFont="1" applyFill="1" applyBorder="1" applyAlignment="1">
      <alignment horizontal="center" vertical="center" wrapText="1"/>
    </xf>
    <xf numFmtId="39" fontId="95" fillId="35" borderId="4" xfId="9" applyNumberFormat="1" applyFont="1" applyFill="1" applyBorder="1" applyAlignment="1">
      <alignment horizontal="right" vertical="center"/>
    </xf>
    <xf numFmtId="10" fontId="95" fillId="35" borderId="2" xfId="9" applyNumberFormat="1" applyFont="1" applyFill="1" applyBorder="1" applyAlignment="1">
      <alignment horizontal="center" vertical="center"/>
    </xf>
    <xf numFmtId="10" fontId="93" fillId="35" borderId="0" xfId="9" applyNumberFormat="1" applyFont="1" applyFill="1" applyBorder="1" applyAlignment="1">
      <alignment horizontal="center" vertical="center"/>
    </xf>
    <xf numFmtId="176" fontId="140" fillId="35" borderId="2" xfId="9" applyNumberFormat="1" applyFont="1" applyFill="1" applyBorder="1" applyAlignment="1">
      <alignment vertical="center" wrapText="1" readingOrder="1"/>
    </xf>
    <xf numFmtId="39" fontId="164" fillId="35" borderId="2" xfId="9" applyNumberFormat="1" applyFont="1" applyFill="1" applyBorder="1" applyAlignment="1">
      <alignment horizontal="right" vertical="center" wrapText="1" readingOrder="1"/>
    </xf>
    <xf numFmtId="49" fontId="86" fillId="35" borderId="2" xfId="9" applyNumberFormat="1" applyFont="1" applyFill="1" applyBorder="1" applyAlignment="1">
      <alignment horizontal="center" vertical="center" wrapText="1" readingOrder="1"/>
    </xf>
    <xf numFmtId="174" fontId="71" fillId="34" borderId="2" xfId="9" applyNumberFormat="1" applyFont="1" applyFill="1" applyBorder="1" applyAlignment="1">
      <alignment horizontal="right" vertical="center" wrapText="1" readingOrder="1"/>
    </xf>
    <xf numFmtId="39" fontId="105" fillId="34" borderId="2" xfId="9" applyNumberFormat="1" applyFont="1" applyFill="1" applyBorder="1" applyAlignment="1">
      <alignment horizontal="right" vertical="center" wrapText="1" readingOrder="1"/>
    </xf>
    <xf numFmtId="9" fontId="71" fillId="34" borderId="2" xfId="149" applyFont="1" applyFill="1" applyBorder="1" applyAlignment="1">
      <alignment horizontal="right" vertical="center" wrapText="1" readingOrder="1"/>
    </xf>
    <xf numFmtId="9" fontId="108" fillId="34" borderId="2" xfId="149" applyFont="1" applyFill="1" applyBorder="1" applyAlignment="1">
      <alignment horizontal="center" vertical="center"/>
    </xf>
    <xf numFmtId="39" fontId="108" fillId="30" borderId="2" xfId="9" applyNumberFormat="1" applyFont="1" applyFill="1" applyBorder="1" applyAlignment="1">
      <alignment horizontal="right" vertical="center"/>
    </xf>
    <xf numFmtId="49" fontId="95" fillId="29" borderId="2" xfId="9" applyNumberFormat="1" applyFont="1" applyFill="1" applyBorder="1" applyAlignment="1">
      <alignment horizontal="center" vertical="center" wrapText="1" readingOrder="1"/>
    </xf>
    <xf numFmtId="49" fontId="95" fillId="29" borderId="2" xfId="9" applyNumberFormat="1" applyFont="1" applyFill="1" applyBorder="1" applyAlignment="1">
      <alignment vertical="center" wrapText="1" readingOrder="1"/>
    </xf>
    <xf numFmtId="0" fontId="110" fillId="29" borderId="2" xfId="9" applyNumberFormat="1" applyFont="1" applyFill="1" applyBorder="1" applyAlignment="1">
      <alignment horizontal="left" vertical="center" wrapText="1" readingOrder="1"/>
    </xf>
    <xf numFmtId="39" fontId="114" fillId="29" borderId="2" xfId="9" applyNumberFormat="1" applyFont="1" applyFill="1" applyBorder="1" applyAlignment="1">
      <alignment horizontal="right" vertical="center" wrapText="1" readingOrder="1"/>
    </xf>
    <xf numFmtId="39" fontId="71" fillId="29" borderId="2" xfId="9" applyNumberFormat="1" applyFont="1" applyFill="1" applyBorder="1" applyAlignment="1">
      <alignment horizontal="right" vertical="center" wrapText="1" readingOrder="1"/>
    </xf>
    <xf numFmtId="39" fontId="148" fillId="29" borderId="2" xfId="9" applyNumberFormat="1" applyFont="1" applyFill="1" applyBorder="1" applyAlignment="1">
      <alignment horizontal="right" vertical="center" wrapText="1" readingOrder="1"/>
    </xf>
    <xf numFmtId="10" fontId="93" fillId="29" borderId="0" xfId="9" applyNumberFormat="1" applyFont="1" applyFill="1" applyBorder="1" applyAlignment="1">
      <alignment horizontal="center" vertical="center"/>
    </xf>
    <xf numFmtId="0" fontId="93" fillId="29" borderId="2" xfId="9" applyFont="1" applyFill="1" applyBorder="1" applyAlignment="1">
      <alignment wrapText="1"/>
    </xf>
    <xf numFmtId="10" fontId="93" fillId="29" borderId="2" xfId="9" applyNumberFormat="1" applyFont="1" applyFill="1" applyBorder="1" applyAlignment="1">
      <alignment horizontal="center" vertical="center" wrapText="1"/>
    </xf>
    <xf numFmtId="39" fontId="105" fillId="29" borderId="2" xfId="9" applyNumberFormat="1" applyFont="1" applyFill="1" applyBorder="1" applyAlignment="1">
      <alignment horizontal="right" vertical="center" wrapText="1" readingOrder="1"/>
    </xf>
    <xf numFmtId="39" fontId="108" fillId="29" borderId="2" xfId="9" applyNumberFormat="1" applyFont="1" applyFill="1" applyBorder="1" applyAlignment="1">
      <alignment horizontal="right" vertical="center"/>
    </xf>
    <xf numFmtId="39" fontId="108" fillId="29" borderId="2" xfId="9" applyNumberFormat="1" applyFont="1" applyFill="1" applyBorder="1" applyAlignment="1">
      <alignment horizontal="center" vertical="center" wrapText="1"/>
    </xf>
    <xf numFmtId="39" fontId="108" fillId="29" borderId="4" xfId="9" applyNumberFormat="1" applyFont="1" applyFill="1" applyBorder="1" applyAlignment="1">
      <alignment horizontal="right" vertical="center"/>
    </xf>
    <xf numFmtId="10" fontId="108" fillId="29" borderId="2" xfId="9" applyNumberFormat="1" applyFont="1" applyFill="1" applyBorder="1" applyAlignment="1">
      <alignment horizontal="center" vertical="center"/>
    </xf>
    <xf numFmtId="0" fontId="93" fillId="29" borderId="2" xfId="9" applyFont="1" applyFill="1" applyBorder="1"/>
    <xf numFmtId="49" fontId="90" fillId="29" borderId="2" xfId="9" applyNumberFormat="1" applyFont="1" applyFill="1" applyBorder="1" applyAlignment="1">
      <alignment horizontal="center" vertical="center" wrapText="1" readingOrder="1"/>
    </xf>
    <xf numFmtId="0" fontId="90" fillId="29" borderId="2" xfId="9" applyNumberFormat="1" applyFont="1" applyFill="1" applyBorder="1" applyAlignment="1">
      <alignment horizontal="left" vertical="center" wrapText="1" readingOrder="1"/>
    </xf>
    <xf numFmtId="39" fontId="95" fillId="29" borderId="2" xfId="9" applyNumberFormat="1" applyFont="1" applyFill="1" applyBorder="1" applyAlignment="1">
      <alignment horizontal="right" vertical="center" wrapText="1" readingOrder="1"/>
    </xf>
    <xf numFmtId="39" fontId="95" fillId="29" borderId="2" xfId="9" applyNumberFormat="1" applyFont="1" applyFill="1" applyBorder="1" applyAlignment="1">
      <alignment horizontal="right" vertical="center"/>
    </xf>
    <xf numFmtId="39" fontId="106" fillId="29" borderId="2" xfId="9" applyNumberFormat="1" applyFont="1" applyFill="1" applyBorder="1" applyAlignment="1">
      <alignment horizontal="right" vertical="center"/>
    </xf>
    <xf numFmtId="39" fontId="106" fillId="29" borderId="2" xfId="9" applyNumberFormat="1" applyFont="1" applyFill="1" applyBorder="1" applyAlignment="1">
      <alignment horizontal="right" vertical="center" wrapText="1" readingOrder="1"/>
    </xf>
    <xf numFmtId="0" fontId="106" fillId="29" borderId="2" xfId="9" applyNumberFormat="1" applyFont="1" applyFill="1" applyBorder="1" applyAlignment="1">
      <alignment horizontal="right" vertical="center" wrapText="1" readingOrder="1"/>
    </xf>
    <xf numFmtId="39" fontId="95" fillId="29" borderId="2" xfId="9" applyNumberFormat="1" applyFont="1" applyFill="1" applyBorder="1" applyAlignment="1">
      <alignment horizontal="center" vertical="center" wrapText="1"/>
    </xf>
    <xf numFmtId="39" fontId="95" fillId="29" borderId="4" xfId="9" applyNumberFormat="1" applyFont="1" applyFill="1" applyBorder="1" applyAlignment="1">
      <alignment horizontal="right" vertical="center"/>
    </xf>
    <xf numFmtId="10" fontId="95" fillId="29" borderId="2" xfId="9" applyNumberFormat="1" applyFont="1" applyFill="1" applyBorder="1" applyAlignment="1">
      <alignment horizontal="center" vertical="center"/>
    </xf>
    <xf numFmtId="176" fontId="142" fillId="29" borderId="2" xfId="9" applyNumberFormat="1" applyFont="1" applyFill="1" applyBorder="1" applyAlignment="1">
      <alignment horizontal="right" vertical="center" wrapText="1" readingOrder="1"/>
    </xf>
    <xf numFmtId="49" fontId="86" fillId="8" borderId="2" xfId="9" applyNumberFormat="1" applyFont="1" applyFill="1" applyBorder="1" applyAlignment="1">
      <alignment horizontal="center" vertical="center" wrapText="1" readingOrder="1"/>
    </xf>
    <xf numFmtId="49" fontId="86" fillId="8" borderId="2" xfId="9" applyNumberFormat="1" applyFont="1" applyFill="1" applyBorder="1" applyAlignment="1">
      <alignment vertical="center" wrapText="1" readingOrder="1"/>
    </xf>
    <xf numFmtId="39" fontId="107" fillId="8" borderId="2" xfId="9" applyNumberFormat="1" applyFont="1" applyFill="1" applyBorder="1" applyAlignment="1">
      <alignment horizontal="right" vertical="center" wrapText="1" readingOrder="1"/>
    </xf>
    <xf numFmtId="39" fontId="164" fillId="8" borderId="2" xfId="9" applyNumberFormat="1" applyFont="1" applyFill="1" applyBorder="1" applyAlignment="1">
      <alignment horizontal="right" vertical="center" wrapText="1" readingOrder="1"/>
    </xf>
    <xf numFmtId="10" fontId="102" fillId="8" borderId="0" xfId="9" applyNumberFormat="1" applyFont="1" applyFill="1" applyBorder="1" applyAlignment="1">
      <alignment horizontal="center" vertical="center"/>
    </xf>
    <xf numFmtId="0" fontId="102" fillId="8" borderId="2" xfId="9" applyFont="1" applyFill="1" applyBorder="1" applyAlignment="1">
      <alignment wrapText="1"/>
    </xf>
    <xf numFmtId="10" fontId="102" fillId="8" borderId="2" xfId="9" applyNumberFormat="1" applyFont="1" applyFill="1" applyBorder="1" applyAlignment="1">
      <alignment horizontal="center" vertical="center" wrapText="1"/>
    </xf>
    <xf numFmtId="39" fontId="108" fillId="5" borderId="2" xfId="9" applyNumberFormat="1" applyFont="1" applyFill="1" applyBorder="1" applyAlignment="1">
      <alignment horizontal="right" vertical="center" wrapText="1" readingOrder="1"/>
    </xf>
    <xf numFmtId="39" fontId="148" fillId="7" borderId="2" xfId="9" applyNumberFormat="1" applyFont="1" applyFill="1" applyBorder="1" applyAlignment="1">
      <alignment horizontal="right" vertical="center" wrapText="1" readingOrder="1"/>
    </xf>
    <xf numFmtId="49" fontId="165" fillId="7" borderId="16" xfId="1" applyNumberFormat="1" applyFont="1" applyFill="1" applyBorder="1" applyAlignment="1">
      <alignment horizontal="center" vertical="center" wrapText="1"/>
    </xf>
    <xf numFmtId="0" fontId="165" fillId="7" borderId="16" xfId="1" applyFont="1" applyFill="1" applyBorder="1" applyAlignment="1">
      <alignment horizontal="center" vertical="center" wrapText="1"/>
    </xf>
    <xf numFmtId="0" fontId="166" fillId="7" borderId="16" xfId="1" applyFont="1" applyFill="1" applyBorder="1" applyAlignment="1">
      <alignment horizontal="center" vertical="center" wrapText="1"/>
    </xf>
    <xf numFmtId="39" fontId="148" fillId="19" borderId="2" xfId="9" applyNumberFormat="1" applyFont="1" applyFill="1" applyBorder="1" applyAlignment="1">
      <alignment horizontal="right" vertical="center" wrapText="1" readingOrder="1"/>
    </xf>
    <xf numFmtId="39" fontId="105" fillId="19" borderId="2" xfId="9" applyNumberFormat="1" applyFont="1" applyFill="1" applyBorder="1" applyAlignment="1">
      <alignment horizontal="right" vertical="center" wrapText="1" readingOrder="1"/>
    </xf>
    <xf numFmtId="39" fontId="108" fillId="27" borderId="2" xfId="9" applyNumberFormat="1" applyFont="1" applyFill="1" applyBorder="1" applyAlignment="1">
      <alignment horizontal="right" vertical="center" wrapText="1" readingOrder="1"/>
    </xf>
    <xf numFmtId="0" fontId="168" fillId="3" borderId="0" xfId="0" applyFont="1" applyFill="1" applyAlignment="1">
      <alignment horizontal="center" vertical="center" wrapText="1"/>
    </xf>
    <xf numFmtId="0" fontId="105" fillId="7" borderId="2" xfId="0" applyFont="1" applyFill="1" applyBorder="1" applyAlignment="1">
      <alignment horizontal="center" vertical="center" wrapText="1"/>
    </xf>
    <xf numFmtId="0" fontId="105" fillId="7" borderId="18" xfId="0" applyFont="1" applyFill="1" applyBorder="1" applyAlignment="1">
      <alignment horizontal="center" vertical="center" wrapText="1"/>
    </xf>
    <xf numFmtId="0" fontId="105" fillId="7" borderId="5" xfId="0" applyFont="1" applyFill="1" applyBorder="1" applyAlignment="1">
      <alignment horizontal="center" vertical="center" wrapText="1"/>
    </xf>
    <xf numFmtId="0" fontId="105" fillId="7" borderId="2" xfId="0" applyFont="1" applyFill="1" applyBorder="1" applyAlignment="1">
      <alignment horizontal="left" vertical="center" wrapText="1"/>
    </xf>
    <xf numFmtId="0" fontId="105" fillId="7" borderId="14" xfId="0" applyFont="1" applyFill="1" applyBorder="1" applyAlignment="1">
      <alignment horizontal="center" vertical="center" wrapText="1"/>
    </xf>
    <xf numFmtId="0" fontId="105" fillId="7" borderId="18" xfId="0" applyFont="1" applyFill="1" applyBorder="1" applyAlignment="1">
      <alignment horizontal="left" vertical="center" wrapText="1"/>
    </xf>
    <xf numFmtId="0" fontId="105" fillId="7" borderId="2" xfId="0" applyFont="1" applyFill="1" applyBorder="1" applyAlignment="1">
      <alignment vertical="center" wrapText="1"/>
    </xf>
    <xf numFmtId="0" fontId="148" fillId="7" borderId="2" xfId="0" applyFont="1" applyFill="1" applyBorder="1" applyAlignment="1">
      <alignment horizontal="center" vertical="center" wrapText="1"/>
    </xf>
    <xf numFmtId="0" fontId="71" fillId="7" borderId="2" xfId="0" applyFont="1" applyFill="1" applyBorder="1" applyAlignment="1">
      <alignment horizontal="left" vertical="center" wrapText="1"/>
    </xf>
    <xf numFmtId="14" fontId="71" fillId="7" borderId="18" xfId="0" applyNumberFormat="1" applyFont="1" applyFill="1" applyBorder="1" applyAlignment="1">
      <alignment horizontal="center" vertical="center" wrapText="1"/>
    </xf>
    <xf numFmtId="0" fontId="41" fillId="0" borderId="2" xfId="0" applyFont="1" applyBorder="1" applyAlignment="1">
      <alignment horizontal="center" vertical="center" wrapText="1"/>
    </xf>
    <xf numFmtId="0" fontId="108" fillId="7" borderId="2" xfId="0" applyFont="1" applyFill="1" applyBorder="1" applyAlignment="1">
      <alignment horizontal="center" vertical="center" wrapText="1"/>
    </xf>
    <xf numFmtId="0" fontId="70" fillId="7" borderId="2" xfId="0" applyFont="1" applyFill="1" applyBorder="1" applyAlignment="1">
      <alignment horizontal="left" vertical="center" wrapText="1"/>
    </xf>
    <xf numFmtId="14" fontId="70" fillId="7" borderId="2" xfId="0" applyNumberFormat="1" applyFont="1" applyFill="1" applyBorder="1" applyAlignment="1">
      <alignment horizontal="center" vertical="center" wrapText="1"/>
    </xf>
    <xf numFmtId="0" fontId="70" fillId="7" borderId="2" xfId="0" applyFont="1" applyFill="1" applyBorder="1" applyAlignment="1">
      <alignment horizontal="center" vertical="center" wrapText="1"/>
    </xf>
    <xf numFmtId="15" fontId="70" fillId="7" borderId="2" xfId="0" applyNumberFormat="1" applyFont="1" applyFill="1" applyBorder="1" applyAlignment="1">
      <alignment horizontal="center" vertical="center" wrapText="1"/>
    </xf>
    <xf numFmtId="0" fontId="105" fillId="7" borderId="2" xfId="0" applyFont="1" applyFill="1" applyBorder="1" applyAlignment="1">
      <alignment horizontal="justify" vertical="center" wrapText="1"/>
    </xf>
    <xf numFmtId="14" fontId="70" fillId="7" borderId="2" xfId="0" applyNumberFormat="1" applyFont="1" applyFill="1" applyBorder="1" applyAlignment="1">
      <alignment horizontal="left" vertical="center" wrapText="1"/>
    </xf>
    <xf numFmtId="0" fontId="171" fillId="0" borderId="0" xfId="0" applyFont="1" applyFill="1"/>
    <xf numFmtId="39" fontId="172" fillId="29" borderId="2" xfId="9" applyNumberFormat="1" applyFont="1" applyFill="1" applyBorder="1" applyAlignment="1">
      <alignment horizontal="right" vertical="center"/>
    </xf>
    <xf numFmtId="0" fontId="173" fillId="3" borderId="2" xfId="9" applyNumberFormat="1" applyFont="1" applyFill="1" applyBorder="1" applyAlignment="1">
      <alignment horizontal="left" vertical="center" wrapText="1" readingOrder="1"/>
    </xf>
    <xf numFmtId="49" fontId="116" fillId="3" borderId="2" xfId="9" applyNumberFormat="1" applyFont="1" applyFill="1" applyBorder="1" applyAlignment="1">
      <alignment vertical="center" wrapText="1" readingOrder="1"/>
    </xf>
    <xf numFmtId="49" fontId="116" fillId="3" borderId="2" xfId="9" applyNumberFormat="1" applyFont="1" applyFill="1" applyBorder="1" applyAlignment="1">
      <alignment horizontal="center" vertical="center" wrapText="1" readingOrder="1"/>
    </xf>
    <xf numFmtId="39" fontId="108" fillId="0" borderId="2" xfId="9" applyNumberFormat="1" applyFont="1" applyFill="1" applyBorder="1" applyAlignment="1">
      <alignment horizontal="right" vertical="center" wrapText="1" readingOrder="1"/>
    </xf>
    <xf numFmtId="39" fontId="71" fillId="0" borderId="2" xfId="9" applyNumberFormat="1" applyFont="1" applyFill="1" applyBorder="1" applyAlignment="1">
      <alignment horizontal="right" vertical="center" wrapText="1"/>
    </xf>
    <xf numFmtId="0" fontId="171" fillId="4" borderId="0" xfId="0" applyFont="1" applyFill="1"/>
    <xf numFmtId="0" fontId="168" fillId="3" borderId="0" xfId="0" applyFont="1" applyFill="1" applyBorder="1" applyAlignment="1">
      <alignment horizontal="center" vertical="center" wrapText="1"/>
    </xf>
    <xf numFmtId="0" fontId="137" fillId="3" borderId="39" xfId="1" applyFont="1" applyFill="1" applyBorder="1" applyAlignment="1">
      <alignment horizontal="center" vertical="center" wrapText="1"/>
    </xf>
    <xf numFmtId="0" fontId="169" fillId="3" borderId="0" xfId="0" applyFont="1" applyFill="1" applyAlignment="1">
      <alignment horizontal="center" vertical="center"/>
    </xf>
    <xf numFmtId="0" fontId="108" fillId="7" borderId="2" xfId="0" applyFont="1" applyFill="1" applyBorder="1" applyAlignment="1">
      <alignment horizontal="center" vertical="center"/>
    </xf>
    <xf numFmtId="0" fontId="70" fillId="7" borderId="2" xfId="0" applyFont="1" applyFill="1" applyBorder="1" applyAlignment="1">
      <alignment horizontal="left" vertical="center"/>
    </xf>
    <xf numFmtId="14" fontId="70" fillId="7" borderId="2" xfId="0" applyNumberFormat="1" applyFont="1" applyFill="1" applyBorder="1" applyAlignment="1">
      <alignment horizontal="center" vertical="center"/>
    </xf>
    <xf numFmtId="164" fontId="153" fillId="3" borderId="2" xfId="112" applyFont="1" applyFill="1" applyBorder="1"/>
    <xf numFmtId="164" fontId="153" fillId="3" borderId="2" xfId="112" applyFont="1" applyFill="1" applyBorder="1" applyAlignment="1">
      <alignment horizontal="center" vertical="center"/>
    </xf>
    <xf numFmtId="173" fontId="93" fillId="31" borderId="2" xfId="9" applyNumberFormat="1" applyFont="1" applyFill="1" applyBorder="1"/>
    <xf numFmtId="166" fontId="109" fillId="10" borderId="0" xfId="9" applyNumberFormat="1" applyFont="1" applyFill="1" applyBorder="1"/>
    <xf numFmtId="166" fontId="93" fillId="8" borderId="0" xfId="9" applyNumberFormat="1" applyFont="1" applyFill="1" applyBorder="1"/>
    <xf numFmtId="166" fontId="93" fillId="17" borderId="0" xfId="9" applyNumberFormat="1" applyFont="1" applyFill="1" applyBorder="1"/>
    <xf numFmtId="174" fontId="93" fillId="11" borderId="0" xfId="9" applyNumberFormat="1" applyFont="1" applyFill="1" applyBorder="1"/>
    <xf numFmtId="174" fontId="93" fillId="8" borderId="0" xfId="9" applyNumberFormat="1" applyFont="1" applyFill="1" applyBorder="1"/>
    <xf numFmtId="0" fontId="108" fillId="36" borderId="2" xfId="0" applyFont="1" applyFill="1" applyBorder="1" applyAlignment="1">
      <alignment horizontal="center" vertical="center" wrapText="1"/>
    </xf>
    <xf numFmtId="0" fontId="70" fillId="36" borderId="2" xfId="0" applyFont="1" applyFill="1" applyBorder="1" applyAlignment="1">
      <alignment horizontal="left" vertical="center" wrapText="1"/>
    </xf>
    <xf numFmtId="0" fontId="70" fillId="36" borderId="2" xfId="0" applyFont="1" applyFill="1" applyBorder="1" applyAlignment="1">
      <alignment horizontal="center" vertical="center" wrapText="1"/>
    </xf>
    <xf numFmtId="15" fontId="70" fillId="36" borderId="2" xfId="0" applyNumberFormat="1" applyFont="1" applyFill="1" applyBorder="1" applyAlignment="1">
      <alignment horizontal="center" vertical="center" wrapText="1"/>
    </xf>
    <xf numFmtId="0" fontId="148" fillId="7" borderId="5" xfId="0" applyFont="1" applyFill="1" applyBorder="1" applyAlignment="1">
      <alignment horizontal="center" vertical="center" wrapText="1"/>
    </xf>
    <xf numFmtId="49" fontId="116" fillId="5" borderId="2" xfId="9" applyNumberFormat="1" applyFont="1" applyFill="1" applyBorder="1" applyAlignment="1">
      <alignment horizontal="center" vertical="center" wrapText="1" readingOrder="1"/>
    </xf>
    <xf numFmtId="49" fontId="70" fillId="7" borderId="2" xfId="0" applyNumberFormat="1" applyFont="1" applyFill="1" applyBorder="1" applyAlignment="1">
      <alignment horizontal="center" vertical="center" wrapText="1"/>
    </xf>
    <xf numFmtId="166" fontId="151" fillId="14" borderId="2" xfId="9" applyNumberFormat="1" applyFont="1" applyFill="1" applyBorder="1" applyAlignment="1">
      <alignment horizontal="center" vertical="center"/>
    </xf>
    <xf numFmtId="49" fontId="105" fillId="7" borderId="2" xfId="0" applyNumberFormat="1" applyFont="1" applyFill="1" applyBorder="1" applyAlignment="1">
      <alignment horizontal="center" vertical="center" wrapText="1"/>
    </xf>
    <xf numFmtId="39" fontId="133" fillId="5" borderId="2" xfId="9" applyNumberFormat="1" applyFont="1" applyFill="1" applyBorder="1" applyAlignment="1">
      <alignment horizontal="right" vertical="center"/>
    </xf>
    <xf numFmtId="49" fontId="0" fillId="7" borderId="2" xfId="0" applyNumberFormat="1" applyFill="1" applyBorder="1"/>
    <xf numFmtId="49" fontId="118" fillId="34" borderId="2" xfId="9" applyNumberFormat="1" applyFont="1" applyFill="1" applyBorder="1" applyAlignment="1">
      <alignment horizontal="center" vertical="center" wrapText="1" readingOrder="1"/>
    </xf>
    <xf numFmtId="49" fontId="118" fillId="34" borderId="2" xfId="9" applyNumberFormat="1" applyFont="1" applyFill="1" applyBorder="1" applyAlignment="1">
      <alignment vertical="center" wrapText="1" readingOrder="1"/>
    </xf>
    <xf numFmtId="0" fontId="180" fillId="34" borderId="2" xfId="9" applyNumberFormat="1" applyFont="1" applyFill="1" applyBorder="1" applyAlignment="1">
      <alignment horizontal="left" vertical="center" wrapText="1" readingOrder="1"/>
    </xf>
    <xf numFmtId="39" fontId="108" fillId="37" borderId="2" xfId="9" applyNumberFormat="1" applyFont="1" applyFill="1" applyBorder="1" applyAlignment="1">
      <alignment horizontal="right" vertical="center"/>
    </xf>
    <xf numFmtId="0" fontId="0" fillId="0" borderId="0" xfId="0" applyAlignment="1"/>
    <xf numFmtId="0" fontId="45" fillId="7" borderId="2" xfId="0" applyFont="1" applyFill="1" applyBorder="1" applyAlignment="1">
      <alignment horizontal="center" vertical="center" wrapText="1"/>
    </xf>
    <xf numFmtId="39" fontId="133" fillId="7" borderId="2" xfId="9" applyNumberFormat="1" applyFont="1" applyFill="1" applyBorder="1" applyAlignment="1">
      <alignment horizontal="right" vertical="center" wrapText="1" readingOrder="1"/>
    </xf>
    <xf numFmtId="166" fontId="151" fillId="14" borderId="2" xfId="9" applyNumberFormat="1" applyFont="1" applyFill="1" applyBorder="1" applyAlignment="1">
      <alignment vertical="center"/>
    </xf>
    <xf numFmtId="0" fontId="126" fillId="11" borderId="2" xfId="9" applyFont="1" applyFill="1" applyBorder="1" applyAlignment="1">
      <alignment vertical="center"/>
    </xf>
    <xf numFmtId="169" fontId="162" fillId="33" borderId="2" xfId="117" applyFont="1" applyFill="1" applyBorder="1" applyAlignment="1">
      <alignment horizontal="center" vertical="center"/>
    </xf>
    <xf numFmtId="169" fontId="93" fillId="17" borderId="2" xfId="9" applyNumberFormat="1" applyFont="1" applyFill="1" applyBorder="1" applyAlignment="1">
      <alignment horizontal="center" vertical="center"/>
    </xf>
    <xf numFmtId="169" fontId="163" fillId="11" borderId="2" xfId="117" applyFont="1" applyFill="1" applyBorder="1"/>
    <xf numFmtId="39" fontId="117" fillId="34" borderId="2" xfId="9" applyNumberFormat="1" applyFont="1" applyFill="1" applyBorder="1" applyAlignment="1">
      <alignment horizontal="right" vertical="center" wrapText="1" readingOrder="1"/>
    </xf>
    <xf numFmtId="0" fontId="105" fillId="4" borderId="0" xfId="0" applyFont="1" applyFill="1" applyBorder="1" applyAlignment="1">
      <alignment horizontal="center" vertical="center" wrapText="1"/>
    </xf>
    <xf numFmtId="165" fontId="134" fillId="0" borderId="0" xfId="186" applyFont="1" applyBorder="1" applyAlignment="1">
      <alignment horizontal="right" vertical="center" wrapText="1"/>
    </xf>
    <xf numFmtId="0" fontId="48" fillId="0" borderId="0" xfId="186" applyNumberFormat="1" applyFont="1" applyAlignment="1">
      <alignment horizontal="left" wrapText="1"/>
    </xf>
    <xf numFmtId="0" fontId="43" fillId="0" borderId="2" xfId="186" applyNumberFormat="1" applyFont="1" applyBorder="1" applyAlignment="1">
      <alignment horizontal="center" vertical="center" wrapText="1"/>
    </xf>
    <xf numFmtId="165" fontId="134" fillId="0" borderId="0" xfId="186" applyFont="1" applyFill="1" applyAlignment="1">
      <alignment horizontal="right" vertical="center" wrapText="1"/>
    </xf>
    <xf numFmtId="170" fontId="57" fillId="0" borderId="2" xfId="187" applyNumberFormat="1" applyFont="1" applyBorder="1" applyAlignment="1">
      <alignment horizontal="left" wrapText="1"/>
    </xf>
    <xf numFmtId="170" fontId="58" fillId="0" borderId="2" xfId="187" applyNumberFormat="1" applyFont="1" applyBorder="1" applyAlignment="1">
      <alignment wrapText="1"/>
    </xf>
    <xf numFmtId="170" fontId="57" fillId="3" borderId="2" xfId="187" applyNumberFormat="1" applyFont="1" applyFill="1" applyBorder="1" applyAlignment="1">
      <alignment horizontal="left" wrapText="1"/>
    </xf>
    <xf numFmtId="170" fontId="58" fillId="3" borderId="2" xfId="187" applyNumberFormat="1" applyFont="1" applyFill="1" applyBorder="1" applyAlignment="1">
      <alignment wrapText="1"/>
    </xf>
    <xf numFmtId="0" fontId="48" fillId="3" borderId="2" xfId="186" applyNumberFormat="1" applyFont="1" applyFill="1" applyBorder="1" applyAlignment="1">
      <alignment horizontal="left" wrapText="1"/>
    </xf>
    <xf numFmtId="165" fontId="134" fillId="3" borderId="0" xfId="186" applyFont="1" applyFill="1" applyBorder="1" applyAlignment="1">
      <alignment horizontal="right" vertical="center" wrapText="1"/>
    </xf>
    <xf numFmtId="0" fontId="48" fillId="3" borderId="0" xfId="186" applyNumberFormat="1" applyFont="1" applyFill="1" applyAlignment="1">
      <alignment horizontal="left" wrapText="1"/>
    </xf>
    <xf numFmtId="166" fontId="48" fillId="3" borderId="0" xfId="186" applyNumberFormat="1" applyFont="1" applyFill="1" applyAlignment="1">
      <alignment horizontal="left" wrapText="1"/>
    </xf>
    <xf numFmtId="44" fontId="135" fillId="3" borderId="0" xfId="188" applyFont="1" applyFill="1" applyAlignment="1">
      <alignment horizontal="right" vertical="center" wrapText="1"/>
    </xf>
    <xf numFmtId="44" fontId="64" fillId="3" borderId="0" xfId="188" applyFont="1" applyFill="1" applyAlignment="1">
      <alignment horizontal="right" vertical="center" wrapText="1"/>
    </xf>
    <xf numFmtId="44" fontId="160" fillId="3" borderId="0" xfId="188" applyFont="1" applyFill="1" applyAlignment="1">
      <alignment horizontal="right" vertical="center" wrapText="1"/>
    </xf>
    <xf numFmtId="44" fontId="65" fillId="3" borderId="0" xfId="188" applyFont="1" applyFill="1" applyAlignment="1">
      <alignment horizontal="right" vertical="center" wrapText="1"/>
    </xf>
    <xf numFmtId="41" fontId="166" fillId="7" borderId="16" xfId="189" applyFont="1" applyFill="1" applyBorder="1" applyAlignment="1">
      <alignment horizontal="center" vertical="center" wrapText="1"/>
    </xf>
    <xf numFmtId="0" fontId="136" fillId="0" borderId="2" xfId="0" applyFont="1" applyFill="1" applyBorder="1" applyAlignment="1">
      <alignment horizontal="center" vertical="center" wrapText="1"/>
    </xf>
    <xf numFmtId="0" fontId="105" fillId="0" borderId="18" xfId="0" applyFont="1" applyFill="1" applyBorder="1" applyAlignment="1">
      <alignment horizontal="center" vertical="center" wrapText="1"/>
    </xf>
    <xf numFmtId="0" fontId="105" fillId="0" borderId="18" xfId="0" applyFont="1" applyFill="1" applyBorder="1" applyAlignment="1">
      <alignment horizontal="left" vertical="center" wrapText="1"/>
    </xf>
    <xf numFmtId="172" fontId="137" fillId="0" borderId="18" xfId="186" applyNumberFormat="1" applyFont="1" applyFill="1" applyBorder="1" applyAlignment="1">
      <alignment horizontal="right" vertical="center" wrapText="1"/>
    </xf>
    <xf numFmtId="44" fontId="137" fillId="0" borderId="18" xfId="188" applyNumberFormat="1" applyFont="1" applyFill="1" applyBorder="1" applyAlignment="1">
      <alignment horizontal="center" vertical="center" wrapText="1"/>
    </xf>
    <xf numFmtId="0" fontId="108" fillId="0" borderId="2" xfId="0" applyFont="1" applyFill="1" applyBorder="1" applyAlignment="1">
      <alignment horizontal="center" vertical="center" wrapText="1"/>
    </xf>
    <xf numFmtId="0" fontId="69" fillId="0" borderId="2" xfId="0" applyFont="1" applyFill="1" applyBorder="1" applyAlignment="1">
      <alignment horizontal="center" vertical="center" wrapText="1"/>
    </xf>
    <xf numFmtId="14" fontId="70" fillId="0" borderId="2" xfId="0" applyNumberFormat="1" applyFont="1" applyFill="1" applyBorder="1" applyAlignment="1">
      <alignment horizontal="center" vertical="center" wrapText="1"/>
    </xf>
    <xf numFmtId="0" fontId="70"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15" fontId="70" fillId="0" borderId="2" xfId="0" applyNumberFormat="1" applyFont="1" applyFill="1" applyBorder="1" applyAlignment="1">
      <alignment horizontal="center" vertical="center" wrapText="1"/>
    </xf>
    <xf numFmtId="0" fontId="72" fillId="0" borderId="2" xfId="0" applyFont="1" applyFill="1" applyBorder="1" applyAlignment="1">
      <alignment horizontal="center" vertical="center" wrapText="1"/>
    </xf>
    <xf numFmtId="0" fontId="136" fillId="0" borderId="17" xfId="0" applyFont="1" applyFill="1" applyBorder="1" applyAlignment="1">
      <alignment horizontal="center" vertical="center" wrapText="1"/>
    </xf>
    <xf numFmtId="0" fontId="105" fillId="0" borderId="2" xfId="0" applyFont="1" applyFill="1" applyBorder="1" applyAlignment="1">
      <alignment horizontal="center" vertical="center" wrapText="1"/>
    </xf>
    <xf numFmtId="0" fontId="146"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14" fontId="72" fillId="0" borderId="2" xfId="0" applyNumberFormat="1" applyFont="1" applyFill="1" applyBorder="1" applyAlignment="1">
      <alignment horizontal="center" vertical="center" wrapText="1"/>
    </xf>
    <xf numFmtId="0" fontId="72" fillId="0" borderId="2" xfId="0" applyFont="1" applyFill="1" applyBorder="1" applyAlignment="1">
      <alignment horizontal="left" vertical="center" wrapText="1"/>
    </xf>
    <xf numFmtId="15" fontId="72" fillId="0" borderId="2" xfId="0" applyNumberFormat="1" applyFont="1" applyFill="1" applyBorder="1" applyAlignment="1">
      <alignment horizontal="center" vertical="center" wrapText="1"/>
    </xf>
    <xf numFmtId="0" fontId="167" fillId="0" borderId="2" xfId="0" applyFont="1" applyFill="1" applyBorder="1" applyAlignment="1">
      <alignment horizontal="center" vertical="center" wrapText="1"/>
    </xf>
    <xf numFmtId="0" fontId="167" fillId="0" borderId="18" xfId="0" applyFont="1" applyFill="1" applyBorder="1" applyAlignment="1">
      <alignment horizontal="center" vertical="center" wrapText="1"/>
    </xf>
    <xf numFmtId="0" fontId="167" fillId="0" borderId="5" xfId="0" applyFont="1" applyFill="1" applyBorder="1" applyAlignment="1">
      <alignment horizontal="center" vertical="center" wrapText="1"/>
    </xf>
    <xf numFmtId="0" fontId="167" fillId="0" borderId="2" xfId="0" applyFont="1" applyFill="1" applyBorder="1" applyAlignment="1">
      <alignment horizontal="left" vertical="center" wrapText="1"/>
    </xf>
    <xf numFmtId="0" fontId="167" fillId="0" borderId="14" xfId="0" applyFont="1" applyFill="1" applyBorder="1" applyAlignment="1">
      <alignment horizontal="center" vertical="center" wrapText="1"/>
    </xf>
    <xf numFmtId="172" fontId="174" fillId="0" borderId="18" xfId="186" applyNumberFormat="1" applyFont="1" applyFill="1" applyBorder="1" applyAlignment="1">
      <alignment horizontal="right" vertical="center" wrapText="1"/>
    </xf>
    <xf numFmtId="44" fontId="174" fillId="0" borderId="18" xfId="188" applyNumberFormat="1" applyFont="1" applyFill="1" applyBorder="1" applyAlignment="1">
      <alignment horizontal="center" vertical="center" wrapText="1"/>
    </xf>
    <xf numFmtId="0" fontId="167" fillId="0" borderId="18" xfId="0" applyFont="1" applyFill="1" applyBorder="1" applyAlignment="1">
      <alignment horizontal="left" vertical="center" wrapText="1"/>
    </xf>
    <xf numFmtId="171" fontId="72" fillId="0" borderId="2" xfId="7" applyNumberFormat="1" applyFont="1" applyFill="1" applyBorder="1" applyAlignment="1">
      <alignment horizontal="center" vertical="center" wrapText="1"/>
    </xf>
    <xf numFmtId="172" fontId="167" fillId="0" borderId="18" xfId="186" applyNumberFormat="1" applyFont="1" applyFill="1" applyBorder="1" applyAlignment="1">
      <alignment horizontal="left" vertical="center" wrapText="1"/>
    </xf>
    <xf numFmtId="0" fontId="0" fillId="0" borderId="2" xfId="0" applyFill="1" applyBorder="1" applyAlignment="1">
      <alignment wrapText="1"/>
    </xf>
    <xf numFmtId="0" fontId="70" fillId="0" borderId="2" xfId="7" applyNumberFormat="1" applyFont="1" applyFill="1" applyBorder="1" applyAlignment="1">
      <alignment horizontal="center" vertical="center" wrapText="1"/>
    </xf>
    <xf numFmtId="0" fontId="164" fillId="0" borderId="18" xfId="0" applyFont="1" applyFill="1" applyBorder="1" applyAlignment="1">
      <alignment horizontal="center" vertical="center" wrapText="1"/>
    </xf>
    <xf numFmtId="172" fontId="164" fillId="0" borderId="18" xfId="186" applyNumberFormat="1" applyFont="1" applyFill="1" applyBorder="1" applyAlignment="1">
      <alignment horizontal="left" vertical="center" wrapText="1"/>
    </xf>
    <xf numFmtId="0" fontId="0" fillId="0" borderId="2" xfId="0" applyFill="1" applyBorder="1"/>
    <xf numFmtId="0" fontId="175" fillId="0" borderId="2" xfId="0" applyFont="1" applyFill="1" applyBorder="1" applyAlignment="1">
      <alignment horizontal="center" vertical="center" wrapText="1"/>
    </xf>
    <xf numFmtId="0" fontId="176" fillId="0" borderId="2" xfId="0" applyFont="1" applyFill="1" applyBorder="1" applyAlignment="1">
      <alignment horizontal="left" vertical="center" wrapText="1"/>
    </xf>
    <xf numFmtId="0" fontId="179" fillId="0" borderId="18" xfId="0" applyFont="1" applyFill="1" applyBorder="1" applyAlignment="1">
      <alignment horizontal="center" vertical="center" wrapText="1"/>
    </xf>
    <xf numFmtId="172" fontId="179" fillId="0" borderId="18" xfId="186" applyNumberFormat="1" applyFont="1" applyFill="1" applyBorder="1" applyAlignment="1">
      <alignment horizontal="left" vertical="center" wrapText="1"/>
    </xf>
    <xf numFmtId="0" fontId="136" fillId="0" borderId="0" xfId="0" applyFont="1" applyFill="1" applyAlignment="1">
      <alignment horizontal="center" vertical="center" wrapText="1"/>
    </xf>
    <xf numFmtId="0" fontId="49" fillId="0" borderId="0" xfId="0" applyFont="1" applyFill="1"/>
    <xf numFmtId="0" fontId="105" fillId="0" borderId="0" xfId="0" applyFont="1" applyFill="1" applyBorder="1" applyAlignment="1">
      <alignment horizontal="center" vertical="center" wrapText="1"/>
    </xf>
    <xf numFmtId="0" fontId="183" fillId="0" borderId="2" xfId="0" applyFont="1" applyFill="1" applyBorder="1" applyAlignment="1">
      <alignment horizontal="center" vertical="center" wrapText="1"/>
    </xf>
    <xf numFmtId="0" fontId="183" fillId="0" borderId="17" xfId="0" applyFont="1" applyFill="1" applyBorder="1" applyAlignment="1">
      <alignment horizontal="center" vertical="center" wrapText="1"/>
    </xf>
    <xf numFmtId="172" fontId="137" fillId="7" borderId="18" xfId="186" applyNumberFormat="1" applyFont="1" applyFill="1" applyBorder="1" applyAlignment="1">
      <alignment horizontal="right" vertical="center" wrapText="1"/>
    </xf>
    <xf numFmtId="44" fontId="137" fillId="7" borderId="18" xfId="188" applyNumberFormat="1" applyFont="1" applyFill="1" applyBorder="1" applyAlignment="1">
      <alignment horizontal="center" vertical="center" wrapText="1"/>
    </xf>
    <xf numFmtId="44" fontId="137" fillId="7" borderId="18" xfId="188" applyFont="1" applyFill="1" applyBorder="1" applyAlignment="1">
      <alignment horizontal="center" vertical="center" wrapText="1"/>
    </xf>
    <xf numFmtId="172" fontId="137" fillId="7" borderId="2" xfId="186" applyNumberFormat="1" applyFont="1" applyFill="1" applyBorder="1" applyAlignment="1">
      <alignment horizontal="right" vertical="center" wrapText="1"/>
    </xf>
    <xf numFmtId="0" fontId="70" fillId="7" borderId="2" xfId="0" applyFont="1" applyFill="1" applyBorder="1" applyAlignment="1">
      <alignment horizontal="center" vertical="center"/>
    </xf>
    <xf numFmtId="15" fontId="70" fillId="7" borderId="2" xfId="0" applyNumberFormat="1" applyFont="1" applyFill="1" applyBorder="1" applyAlignment="1">
      <alignment horizontal="center" vertical="center"/>
    </xf>
    <xf numFmtId="169" fontId="186" fillId="0" borderId="2" xfId="117" applyFont="1" applyFill="1" applyBorder="1" applyAlignment="1">
      <alignment horizontal="center" vertical="center" wrapText="1"/>
    </xf>
    <xf numFmtId="171" fontId="136" fillId="0" borderId="2" xfId="117" applyNumberFormat="1" applyFont="1" applyFill="1" applyBorder="1" applyAlignment="1">
      <alignment horizontal="center" vertical="center" wrapText="1"/>
    </xf>
    <xf numFmtId="169" fontId="187" fillId="0" borderId="2" xfId="117" applyFont="1" applyFill="1" applyBorder="1" applyAlignment="1">
      <alignment horizontal="center" vertical="center" wrapText="1"/>
    </xf>
    <xf numFmtId="171" fontId="183" fillId="0" borderId="2" xfId="117" applyNumberFormat="1" applyFont="1" applyFill="1" applyBorder="1" applyAlignment="1">
      <alignment horizontal="center" vertical="center" wrapText="1"/>
    </xf>
    <xf numFmtId="44" fontId="136" fillId="0" borderId="2" xfId="7" applyFont="1" applyFill="1" applyBorder="1" applyAlignment="1">
      <alignment horizontal="center" vertical="center" wrapText="1"/>
    </xf>
    <xf numFmtId="171" fontId="136" fillId="0" borderId="2" xfId="7" applyNumberFormat="1" applyFont="1" applyFill="1" applyBorder="1" applyAlignment="1">
      <alignment horizontal="center" vertical="center" wrapText="1"/>
    </xf>
    <xf numFmtId="169" fontId="186" fillId="7" borderId="2" xfId="117" applyFont="1" applyFill="1" applyBorder="1" applyAlignment="1">
      <alignment horizontal="center" vertical="center" wrapText="1"/>
    </xf>
    <xf numFmtId="171" fontId="136" fillId="7" borderId="2" xfId="117" applyNumberFormat="1" applyFont="1" applyFill="1" applyBorder="1" applyAlignment="1">
      <alignment horizontal="center" vertical="center" wrapText="1"/>
    </xf>
    <xf numFmtId="171" fontId="186" fillId="7" borderId="2" xfId="117" applyNumberFormat="1" applyFont="1" applyFill="1" applyBorder="1" applyAlignment="1">
      <alignment horizontal="center" vertical="center" wrapText="1"/>
    </xf>
    <xf numFmtId="169" fontId="186" fillId="7" borderId="2" xfId="117" applyFont="1" applyFill="1" applyBorder="1" applyAlignment="1">
      <alignment horizontal="center" vertical="center"/>
    </xf>
    <xf numFmtId="0" fontId="188" fillId="0" borderId="2" xfId="0" applyFont="1" applyFill="1" applyBorder="1" applyAlignment="1">
      <alignment wrapText="1"/>
    </xf>
    <xf numFmtId="171" fontId="186" fillId="7" borderId="2" xfId="117" applyNumberFormat="1" applyFont="1" applyFill="1" applyBorder="1" applyAlignment="1">
      <alignment horizontal="center" vertical="center"/>
    </xf>
    <xf numFmtId="171" fontId="186" fillId="0" borderId="2" xfId="117" applyNumberFormat="1" applyFont="1" applyFill="1" applyBorder="1" applyAlignment="1">
      <alignment horizontal="center" vertical="center" wrapText="1"/>
    </xf>
    <xf numFmtId="0" fontId="188" fillId="0" borderId="2" xfId="0" applyFont="1" applyFill="1" applyBorder="1"/>
    <xf numFmtId="0" fontId="189" fillId="0" borderId="0" xfId="0" applyFont="1" applyFill="1"/>
    <xf numFmtId="0" fontId="188" fillId="0" borderId="0" xfId="0" applyFont="1" applyFill="1"/>
    <xf numFmtId="0" fontId="190" fillId="0" borderId="0" xfId="0" applyFont="1" applyFill="1"/>
    <xf numFmtId="172" fontId="105" fillId="7" borderId="18" xfId="186" applyNumberFormat="1" applyFont="1" applyFill="1" applyBorder="1" applyAlignment="1">
      <alignment horizontal="left" vertical="center" wrapText="1"/>
    </xf>
    <xf numFmtId="172" fontId="105" fillId="7" borderId="2" xfId="186" applyNumberFormat="1" applyFont="1" applyFill="1" applyBorder="1" applyAlignment="1">
      <alignment horizontal="left" vertical="center" wrapText="1"/>
    </xf>
    <xf numFmtId="0" fontId="71" fillId="7" borderId="18" xfId="0" applyFont="1" applyFill="1" applyBorder="1" applyAlignment="1">
      <alignment horizontal="center" vertical="center" wrapText="1"/>
    </xf>
    <xf numFmtId="169" fontId="186" fillId="36" borderId="2" xfId="117" applyFont="1" applyFill="1" applyBorder="1" applyAlignment="1">
      <alignment horizontal="center" vertical="center"/>
    </xf>
    <xf numFmtId="171" fontId="186" fillId="36" borderId="2" xfId="117" applyNumberFormat="1" applyFont="1" applyFill="1" applyBorder="1" applyAlignment="1">
      <alignment horizontal="center" vertical="center"/>
    </xf>
    <xf numFmtId="0" fontId="167" fillId="36" borderId="18" xfId="0" applyFont="1" applyFill="1" applyBorder="1" applyAlignment="1">
      <alignment horizontal="center" vertical="center" wrapText="1"/>
    </xf>
    <xf numFmtId="172" fontId="174" fillId="36" borderId="18" xfId="186" applyNumberFormat="1" applyFont="1" applyFill="1" applyBorder="1" applyAlignment="1">
      <alignment horizontal="right" vertical="center" wrapText="1"/>
    </xf>
    <xf numFmtId="44" fontId="174" fillId="36" borderId="18" xfId="188" applyNumberFormat="1" applyFont="1" applyFill="1" applyBorder="1" applyAlignment="1">
      <alignment horizontal="center" vertical="center" wrapText="1"/>
    </xf>
    <xf numFmtId="0" fontId="176" fillId="0" borderId="2" xfId="0" applyFont="1" applyFill="1" applyBorder="1" applyAlignment="1">
      <alignment horizontal="center" vertical="center" wrapText="1"/>
    </xf>
    <xf numFmtId="0" fontId="105" fillId="36" borderId="2"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105" fillId="36" borderId="14" xfId="0" applyFont="1" applyFill="1" applyBorder="1" applyAlignment="1">
      <alignment horizontal="center" vertical="center" wrapText="1"/>
    </xf>
    <xf numFmtId="172" fontId="137" fillId="36" borderId="18" xfId="186" applyNumberFormat="1" applyFont="1" applyFill="1" applyBorder="1" applyAlignment="1">
      <alignment horizontal="right" vertical="center" wrapText="1"/>
    </xf>
    <xf numFmtId="44" fontId="137" fillId="36" borderId="18" xfId="188" applyNumberFormat="1" applyFont="1" applyFill="1" applyBorder="1" applyAlignment="1">
      <alignment horizontal="center" vertical="center" wrapText="1"/>
    </xf>
    <xf numFmtId="14" fontId="71" fillId="36" borderId="18" xfId="0" applyNumberFormat="1" applyFont="1" applyFill="1" applyBorder="1" applyAlignment="1">
      <alignment horizontal="center" vertical="center" wrapText="1"/>
    </xf>
    <xf numFmtId="0" fontId="148" fillId="36" borderId="2" xfId="0" applyFont="1" applyFill="1" applyBorder="1" applyAlignment="1">
      <alignment horizontal="center" vertical="center" wrapText="1"/>
    </xf>
    <xf numFmtId="0" fontId="71" fillId="36" borderId="2" xfId="0" applyFont="1" applyFill="1" applyBorder="1" applyAlignment="1">
      <alignment horizontal="left" vertical="center" wrapText="1"/>
    </xf>
    <xf numFmtId="0" fontId="105" fillId="36" borderId="18" xfId="0" applyFont="1" applyFill="1" applyBorder="1" applyAlignment="1">
      <alignment horizontal="left" vertical="center" wrapText="1"/>
    </xf>
    <xf numFmtId="169" fontId="186" fillId="36" borderId="2" xfId="117" applyFont="1" applyFill="1" applyBorder="1" applyAlignment="1">
      <alignment horizontal="center" vertical="center" wrapText="1"/>
    </xf>
    <xf numFmtId="171" fontId="136" fillId="36" borderId="2" xfId="117" applyNumberFormat="1" applyFont="1" applyFill="1" applyBorder="1" applyAlignment="1">
      <alignment horizontal="center" vertical="center" wrapText="1"/>
    </xf>
    <xf numFmtId="171" fontId="186" fillId="36" borderId="2" xfId="117" applyNumberFormat="1" applyFont="1" applyFill="1" applyBorder="1" applyAlignment="1">
      <alignment horizontal="center" vertical="center" wrapText="1"/>
    </xf>
    <xf numFmtId="0" fontId="185" fillId="7" borderId="2" xfId="0" applyFont="1" applyFill="1" applyBorder="1" applyAlignment="1">
      <alignment horizontal="center" vertical="center" wrapText="1"/>
    </xf>
    <xf numFmtId="0" fontId="185" fillId="7" borderId="2" xfId="0" applyFont="1" applyFill="1" applyBorder="1" applyAlignment="1">
      <alignment horizontal="left" vertical="center" wrapText="1"/>
    </xf>
    <xf numFmtId="44" fontId="137" fillId="7" borderId="2" xfId="188" applyNumberFormat="1" applyFont="1" applyFill="1" applyBorder="1" applyAlignment="1">
      <alignment horizontal="center" vertical="center" wrapText="1"/>
    </xf>
    <xf numFmtId="0" fontId="184" fillId="3" borderId="2" xfId="0" applyFont="1" applyFill="1" applyBorder="1" applyAlignment="1">
      <alignment horizontal="center" vertical="center" wrapText="1"/>
    </xf>
    <xf numFmtId="0" fontId="105" fillId="7" borderId="4" xfId="0" applyFont="1" applyFill="1" applyBorder="1" applyAlignment="1">
      <alignment horizontal="center" vertical="center" wrapText="1"/>
    </xf>
    <xf numFmtId="14" fontId="71" fillId="7" borderId="2" xfId="0" applyNumberFormat="1" applyFont="1" applyFill="1" applyBorder="1" applyAlignment="1">
      <alignment horizontal="center" vertical="center" wrapText="1"/>
    </xf>
    <xf numFmtId="172" fontId="105" fillId="7" borderId="0" xfId="186" applyNumberFormat="1" applyFont="1" applyFill="1" applyBorder="1" applyAlignment="1">
      <alignment horizontal="left" vertical="center" wrapText="1"/>
    </xf>
    <xf numFmtId="0" fontId="71" fillId="7" borderId="2" xfId="0" applyFont="1" applyFill="1" applyBorder="1" applyAlignment="1">
      <alignment horizontal="center" vertical="center" wrapText="1"/>
    </xf>
    <xf numFmtId="0" fontId="105" fillId="3" borderId="18" xfId="0" applyFont="1" applyFill="1" applyBorder="1" applyAlignment="1">
      <alignment horizontal="center" vertical="center" wrapText="1"/>
    </xf>
    <xf numFmtId="0" fontId="167" fillId="3" borderId="2" xfId="0" applyFont="1" applyFill="1" applyBorder="1" applyAlignment="1">
      <alignment horizontal="center" vertical="center" wrapText="1"/>
    </xf>
    <xf numFmtId="0" fontId="167" fillId="3" borderId="18" xfId="0" applyFont="1" applyFill="1" applyBorder="1" applyAlignment="1">
      <alignment horizontal="center" vertical="center" wrapText="1"/>
    </xf>
    <xf numFmtId="0" fontId="167" fillId="3" borderId="5" xfId="0" applyFont="1" applyFill="1" applyBorder="1" applyAlignment="1">
      <alignment horizontal="center" vertical="center" wrapText="1"/>
    </xf>
    <xf numFmtId="0" fontId="167" fillId="3" borderId="2" xfId="0" applyFont="1" applyFill="1" applyBorder="1" applyAlignment="1">
      <alignment horizontal="left" vertical="center" wrapText="1"/>
    </xf>
    <xf numFmtId="0" fontId="167" fillId="3" borderId="14" xfId="0" applyFont="1" applyFill="1" applyBorder="1" applyAlignment="1">
      <alignment horizontal="center" vertical="center" wrapText="1"/>
    </xf>
    <xf numFmtId="172" fontId="174" fillId="3" borderId="18" xfId="186" applyNumberFormat="1" applyFont="1" applyFill="1" applyBorder="1" applyAlignment="1">
      <alignment horizontal="right" vertical="center" wrapText="1"/>
    </xf>
    <xf numFmtId="44" fontId="174" fillId="3" borderId="18" xfId="188" applyNumberFormat="1" applyFont="1" applyFill="1" applyBorder="1" applyAlignment="1">
      <alignment horizontal="center" vertical="center" wrapText="1"/>
    </xf>
    <xf numFmtId="0" fontId="167" fillId="36" borderId="2" xfId="0" applyFont="1" applyFill="1" applyBorder="1" applyAlignment="1">
      <alignment horizontal="center" vertical="center" wrapText="1"/>
    </xf>
    <xf numFmtId="0" fontId="167" fillId="36" borderId="5" xfId="0" applyFont="1" applyFill="1" applyBorder="1" applyAlignment="1">
      <alignment horizontal="center" vertical="center" wrapText="1"/>
    </xf>
    <xf numFmtId="0" fontId="167" fillId="36" borderId="2" xfId="0" applyFont="1" applyFill="1" applyBorder="1" applyAlignment="1">
      <alignment horizontal="left" vertical="center" wrapText="1"/>
    </xf>
    <xf numFmtId="0" fontId="167" fillId="36" borderId="14" xfId="0" applyFont="1" applyFill="1" applyBorder="1" applyAlignment="1">
      <alignment horizontal="center" vertical="center" wrapText="1"/>
    </xf>
    <xf numFmtId="172" fontId="167" fillId="36" borderId="18" xfId="186" applyNumberFormat="1" applyFont="1" applyFill="1" applyBorder="1" applyAlignment="1">
      <alignment horizontal="left" vertical="center" wrapText="1"/>
    </xf>
    <xf numFmtId="172" fontId="105" fillId="36" borderId="18" xfId="186" applyNumberFormat="1" applyFont="1" applyFill="1" applyBorder="1" applyAlignment="1">
      <alignment horizontal="left" vertical="center" wrapText="1"/>
    </xf>
    <xf numFmtId="0" fontId="175" fillId="3" borderId="2" xfId="0" applyFont="1" applyFill="1" applyBorder="1" applyAlignment="1">
      <alignment horizontal="center" vertical="center" wrapText="1"/>
    </xf>
    <xf numFmtId="0" fontId="176" fillId="3" borderId="2" xfId="0" applyFont="1" applyFill="1" applyBorder="1" applyAlignment="1">
      <alignment horizontal="left" vertical="center" wrapText="1"/>
    </xf>
    <xf numFmtId="0" fontId="167" fillId="3" borderId="18" xfId="0" applyFont="1" applyFill="1" applyBorder="1" applyAlignment="1">
      <alignment horizontal="left" vertical="center" wrapText="1"/>
    </xf>
    <xf numFmtId="172" fontId="167" fillId="3" borderId="18" xfId="186" applyNumberFormat="1" applyFont="1" applyFill="1" applyBorder="1" applyAlignment="1">
      <alignment horizontal="left" vertical="center" wrapText="1"/>
    </xf>
    <xf numFmtId="49" fontId="70" fillId="7" borderId="2" xfId="0" applyNumberFormat="1" applyFont="1" applyFill="1" applyBorder="1" applyAlignment="1">
      <alignment horizontal="center" vertical="center"/>
    </xf>
    <xf numFmtId="44" fontId="136" fillId="7" borderId="2" xfId="117" applyNumberFormat="1" applyFont="1" applyFill="1" applyBorder="1" applyAlignment="1">
      <alignment horizontal="center" vertical="center" wrapText="1"/>
    </xf>
    <xf numFmtId="169" fontId="162" fillId="11" borderId="2" xfId="117" applyFont="1" applyFill="1" applyBorder="1"/>
    <xf numFmtId="0" fontId="105" fillId="7" borderId="17" xfId="0" applyFont="1" applyFill="1" applyBorder="1" applyAlignment="1">
      <alignment horizontal="center" vertical="center" wrapText="1"/>
    </xf>
    <xf numFmtId="14" fontId="71" fillId="7" borderId="17" xfId="0" applyNumberFormat="1" applyFont="1" applyFill="1" applyBorder="1" applyAlignment="1">
      <alignment horizontal="center" vertical="center" wrapText="1"/>
    </xf>
    <xf numFmtId="0" fontId="148" fillId="7" borderId="17" xfId="0" applyFont="1" applyFill="1" applyBorder="1" applyAlignment="1">
      <alignment horizontal="center" vertical="center" wrapText="1"/>
    </xf>
    <xf numFmtId="0" fontId="71" fillId="7" borderId="17" xfId="0" applyFont="1" applyFill="1" applyBorder="1" applyAlignment="1">
      <alignment horizontal="left" vertical="center" wrapText="1"/>
    </xf>
    <xf numFmtId="0" fontId="71" fillId="7" borderId="19" xfId="0" applyFont="1" applyFill="1" applyBorder="1" applyAlignment="1">
      <alignment horizontal="center" vertical="center" wrapText="1"/>
    </xf>
    <xf numFmtId="0" fontId="105" fillId="7" borderId="19" xfId="0" applyFont="1" applyFill="1" applyBorder="1" applyAlignment="1">
      <alignment horizontal="center" vertical="center" wrapText="1"/>
    </xf>
    <xf numFmtId="0" fontId="105" fillId="7" borderId="19" xfId="0" applyFont="1" applyFill="1" applyBorder="1" applyAlignment="1">
      <alignment horizontal="left" vertical="center" wrapText="1"/>
    </xf>
    <xf numFmtId="49" fontId="95" fillId="3" borderId="2" xfId="9" applyNumberFormat="1" applyFont="1" applyFill="1" applyBorder="1" applyAlignment="1">
      <alignment horizontal="center" vertical="center" wrapText="1" readingOrder="1"/>
    </xf>
    <xf numFmtId="0" fontId="80" fillId="0" borderId="0" xfId="9" applyFont="1" applyFill="1" applyBorder="1" applyAlignment="1">
      <alignment horizontal="center"/>
    </xf>
    <xf numFmtId="0" fontId="86" fillId="8" borderId="17" xfId="9" applyNumberFormat="1" applyFont="1" applyFill="1" applyBorder="1" applyAlignment="1">
      <alignment horizontal="center" vertical="center" wrapText="1" readingOrder="1"/>
    </xf>
    <xf numFmtId="39" fontId="107" fillId="14" borderId="2" xfId="9" applyNumberFormat="1" applyFont="1" applyFill="1" applyBorder="1" applyAlignment="1">
      <alignment horizontal="center" vertical="center" wrapText="1" readingOrder="1"/>
    </xf>
    <xf numFmtId="39" fontId="126" fillId="5" borderId="2" xfId="9" applyNumberFormat="1" applyFont="1" applyFill="1" applyBorder="1" applyAlignment="1">
      <alignment horizontal="center" vertical="center" wrapText="1"/>
    </xf>
    <xf numFmtId="166" fontId="93" fillId="3" borderId="0" xfId="9" applyNumberFormat="1" applyFont="1" applyFill="1" applyBorder="1"/>
    <xf numFmtId="174" fontId="93" fillId="12" borderId="0" xfId="9" applyNumberFormat="1" applyFont="1" applyFill="1" applyBorder="1"/>
    <xf numFmtId="174" fontId="150" fillId="12" borderId="0" xfId="9" applyNumberFormat="1" applyFont="1" applyFill="1" applyBorder="1" applyAlignment="1">
      <alignment horizontal="center" vertical="center"/>
    </xf>
    <xf numFmtId="174" fontId="93" fillId="12" borderId="0" xfId="9" applyNumberFormat="1" applyFont="1" applyFill="1" applyBorder="1" applyAlignment="1">
      <alignment horizontal="center" vertical="center"/>
    </xf>
    <xf numFmtId="170" fontId="93" fillId="0" borderId="0" xfId="190" applyNumberFormat="1" applyFont="1" applyFill="1" applyBorder="1" applyAlignment="1">
      <alignment horizontal="center" vertical="center"/>
    </xf>
    <xf numFmtId="170" fontId="121" fillId="13" borderId="0" xfId="190" applyNumberFormat="1" applyFont="1" applyFill="1" applyBorder="1" applyAlignment="1">
      <alignment horizontal="center" vertical="center"/>
    </xf>
    <xf numFmtId="173" fontId="85" fillId="8" borderId="0" xfId="190" applyNumberFormat="1" applyFont="1" applyFill="1" applyBorder="1" applyAlignment="1">
      <alignment horizontal="center" vertical="center" wrapText="1" readingOrder="1"/>
    </xf>
    <xf numFmtId="170" fontId="131" fillId="5" borderId="0" xfId="190" applyNumberFormat="1" applyFont="1" applyFill="1" applyBorder="1" applyAlignment="1">
      <alignment horizontal="center" vertical="center"/>
    </xf>
    <xf numFmtId="0" fontId="78" fillId="8" borderId="17" xfId="191" applyFont="1" applyFill="1" applyBorder="1" applyAlignment="1">
      <alignment horizontal="center" vertical="center" wrapText="1"/>
    </xf>
    <xf numFmtId="0" fontId="78" fillId="8" borderId="2" xfId="191" applyFont="1" applyFill="1" applyBorder="1" applyAlignment="1">
      <alignment horizontal="center" vertical="center" wrapText="1"/>
    </xf>
    <xf numFmtId="0" fontId="96" fillId="3" borderId="17" xfId="191" applyFont="1" applyFill="1" applyBorder="1" applyAlignment="1">
      <alignment horizontal="center" vertical="center" wrapText="1"/>
    </xf>
    <xf numFmtId="0" fontId="103" fillId="3" borderId="17" xfId="191" applyFont="1" applyFill="1" applyBorder="1" applyAlignment="1">
      <alignment horizontal="center" vertical="center" wrapText="1"/>
    </xf>
    <xf numFmtId="0" fontId="103" fillId="3" borderId="2" xfId="191" applyFont="1" applyFill="1" applyBorder="1" applyAlignment="1">
      <alignment horizontal="center" vertical="center" wrapText="1"/>
    </xf>
    <xf numFmtId="0" fontId="78" fillId="3" borderId="13" xfId="191" applyFont="1" applyFill="1" applyBorder="1" applyAlignment="1">
      <alignment horizontal="center" vertical="center" wrapText="1"/>
    </xf>
    <xf numFmtId="0" fontId="96" fillId="3" borderId="0" xfId="191" applyFont="1" applyFill="1" applyBorder="1" applyAlignment="1">
      <alignment horizontal="center" vertical="center" wrapText="1"/>
    </xf>
    <xf numFmtId="170" fontId="93" fillId="3" borderId="2" xfId="190" applyNumberFormat="1" applyFont="1" applyFill="1" applyBorder="1" applyAlignment="1">
      <alignment horizontal="center" vertical="center" wrapText="1"/>
    </xf>
    <xf numFmtId="170" fontId="93" fillId="3" borderId="18" xfId="190" applyNumberFormat="1" applyFont="1" applyFill="1" applyBorder="1" applyAlignment="1">
      <alignment horizontal="center" vertical="center" wrapText="1"/>
    </xf>
    <xf numFmtId="10" fontId="86" fillId="10" borderId="2" xfId="192" applyNumberFormat="1" applyFont="1" applyFill="1" applyBorder="1" applyAlignment="1">
      <alignment horizontal="center" vertical="center"/>
    </xf>
    <xf numFmtId="10" fontId="89" fillId="10" borderId="2" xfId="192" applyNumberFormat="1" applyFont="1" applyFill="1" applyBorder="1" applyAlignment="1">
      <alignment horizontal="center" vertical="center" wrapText="1"/>
    </xf>
    <xf numFmtId="170" fontId="94" fillId="10" borderId="2" xfId="190" applyNumberFormat="1" applyFont="1" applyFill="1" applyBorder="1" applyAlignment="1">
      <alignment horizontal="center" vertical="center"/>
    </xf>
    <xf numFmtId="170" fontId="94" fillId="10" borderId="18" xfId="190" applyNumberFormat="1" applyFont="1" applyFill="1" applyBorder="1" applyAlignment="1">
      <alignment horizontal="center" vertical="center"/>
    </xf>
    <xf numFmtId="10" fontId="95" fillId="35" borderId="2" xfId="192" applyNumberFormat="1" applyFont="1" applyFill="1" applyBorder="1" applyAlignment="1">
      <alignment horizontal="center" vertical="center"/>
    </xf>
    <xf numFmtId="10" fontId="121" fillId="35" borderId="2" xfId="192" applyNumberFormat="1" applyFont="1" applyFill="1" applyBorder="1" applyAlignment="1">
      <alignment horizontal="center" vertical="center" wrapText="1"/>
    </xf>
    <xf numFmtId="170" fontId="122" fillId="35" borderId="2" xfId="190" applyNumberFormat="1" applyFont="1" applyFill="1" applyBorder="1" applyAlignment="1">
      <alignment horizontal="center" vertical="center"/>
    </xf>
    <xf numFmtId="170" fontId="141" fillId="35" borderId="18" xfId="190" applyNumberFormat="1" applyFont="1" applyFill="1" applyBorder="1" applyAlignment="1">
      <alignment horizontal="center" vertical="center"/>
    </xf>
    <xf numFmtId="10" fontId="95" fillId="29" borderId="2" xfId="192" applyNumberFormat="1" applyFont="1" applyFill="1" applyBorder="1" applyAlignment="1">
      <alignment horizontal="center" vertical="center"/>
    </xf>
    <xf numFmtId="10" fontId="93" fillId="29" borderId="0" xfId="192" applyNumberFormat="1" applyFont="1" applyFill="1" applyBorder="1" applyAlignment="1">
      <alignment horizontal="center" vertical="center"/>
    </xf>
    <xf numFmtId="10" fontId="157" fillId="29" borderId="2" xfId="192" applyNumberFormat="1" applyFont="1" applyFill="1" applyBorder="1" applyAlignment="1">
      <alignment horizontal="center" vertical="center" wrapText="1"/>
    </xf>
    <xf numFmtId="170" fontId="122" fillId="29" borderId="2" xfId="190" applyNumberFormat="1" applyFont="1" applyFill="1" applyBorder="1" applyAlignment="1">
      <alignment horizontal="center" vertical="center"/>
    </xf>
    <xf numFmtId="170" fontId="141" fillId="29" borderId="18" xfId="190" applyNumberFormat="1" applyFont="1" applyFill="1" applyBorder="1" applyAlignment="1">
      <alignment horizontal="center" vertical="center"/>
    </xf>
    <xf numFmtId="170" fontId="141" fillId="29" borderId="2" xfId="190" applyNumberFormat="1" applyFont="1" applyFill="1" applyBorder="1" applyAlignment="1">
      <alignment horizontal="center" vertical="center"/>
    </xf>
    <xf numFmtId="170" fontId="122" fillId="15" borderId="2" xfId="190" applyNumberFormat="1" applyFont="1" applyFill="1" applyBorder="1" applyAlignment="1">
      <alignment horizontal="center" vertical="center"/>
    </xf>
    <xf numFmtId="170" fontId="122" fillId="3" borderId="2" xfId="190" applyNumberFormat="1" applyFont="1" applyFill="1" applyBorder="1" applyAlignment="1">
      <alignment horizontal="center" vertical="center"/>
    </xf>
    <xf numFmtId="0" fontId="104" fillId="10" borderId="21" xfId="191" applyNumberFormat="1" applyFont="1" applyFill="1" applyBorder="1" applyAlignment="1">
      <alignment horizontal="center" vertical="center" wrapText="1" readingOrder="1"/>
    </xf>
    <xf numFmtId="10" fontId="104" fillId="10" borderId="2" xfId="192" applyNumberFormat="1" applyFont="1" applyFill="1" applyBorder="1" applyAlignment="1">
      <alignment horizontal="center" vertical="center"/>
    </xf>
    <xf numFmtId="170" fontId="109" fillId="10" borderId="2" xfId="190" applyNumberFormat="1" applyFont="1" applyFill="1" applyBorder="1" applyAlignment="1">
      <alignment horizontal="center" vertical="center"/>
    </xf>
    <xf numFmtId="10" fontId="108" fillId="3" borderId="2" xfId="192" applyNumberFormat="1" applyFont="1" applyFill="1" applyBorder="1" applyAlignment="1">
      <alignment horizontal="center" vertical="center"/>
    </xf>
    <xf numFmtId="170" fontId="141" fillId="3" borderId="18" xfId="190" applyNumberFormat="1" applyFont="1" applyFill="1" applyBorder="1" applyAlignment="1">
      <alignment horizontal="center" vertical="center"/>
    </xf>
    <xf numFmtId="10" fontId="108" fillId="8" borderId="2" xfId="192" applyNumberFormat="1" applyFont="1" applyFill="1" applyBorder="1" applyAlignment="1">
      <alignment horizontal="center" vertical="center"/>
    </xf>
    <xf numFmtId="170" fontId="93" fillId="8" borderId="2" xfId="190" applyNumberFormat="1" applyFont="1" applyFill="1" applyBorder="1" applyAlignment="1">
      <alignment horizontal="center" vertical="center"/>
    </xf>
    <xf numFmtId="10" fontId="108" fillId="29" borderId="2" xfId="192" applyNumberFormat="1" applyFont="1" applyFill="1" applyBorder="1" applyAlignment="1">
      <alignment horizontal="center" vertical="center"/>
    </xf>
    <xf numFmtId="10" fontId="108" fillId="31" borderId="2" xfId="192" applyNumberFormat="1" applyFont="1" applyFill="1" applyBorder="1" applyAlignment="1">
      <alignment horizontal="center" vertical="center"/>
    </xf>
    <xf numFmtId="44" fontId="146" fillId="7" borderId="2" xfId="193" applyFont="1" applyFill="1" applyBorder="1" applyAlignment="1">
      <alignment horizontal="right" vertical="center" wrapText="1"/>
    </xf>
    <xf numFmtId="170" fontId="93" fillId="3" borderId="2" xfId="190" applyNumberFormat="1" applyFont="1" applyFill="1" applyBorder="1" applyAlignment="1">
      <alignment horizontal="center" vertical="center"/>
    </xf>
    <xf numFmtId="10" fontId="108" fillId="34" borderId="2" xfId="192" applyNumberFormat="1" applyFont="1" applyFill="1" applyBorder="1" applyAlignment="1">
      <alignment horizontal="center" vertical="center"/>
    </xf>
    <xf numFmtId="39" fontId="71" fillId="38" borderId="2" xfId="9" applyNumberFormat="1" applyFont="1" applyFill="1" applyBorder="1" applyAlignment="1">
      <alignment horizontal="right" vertical="center" wrapText="1" readingOrder="1"/>
    </xf>
    <xf numFmtId="168" fontId="93" fillId="3" borderId="2" xfId="190" applyFont="1" applyFill="1" applyBorder="1" applyAlignment="1">
      <alignment horizontal="center" vertical="center" wrapText="1"/>
    </xf>
    <xf numFmtId="10" fontId="147" fillId="14" borderId="2" xfId="192" applyNumberFormat="1" applyFont="1" applyFill="1" applyBorder="1" applyAlignment="1">
      <alignment horizontal="center" vertical="center"/>
    </xf>
    <xf numFmtId="170" fontId="102" fillId="14" borderId="2" xfId="190" applyNumberFormat="1" applyFont="1" applyFill="1" applyBorder="1" applyAlignment="1">
      <alignment horizontal="center" vertical="center"/>
    </xf>
    <xf numFmtId="170" fontId="102" fillId="8" borderId="2" xfId="190" applyNumberFormat="1" applyFont="1" applyFill="1" applyBorder="1" applyAlignment="1">
      <alignment horizontal="center" vertical="center"/>
    </xf>
    <xf numFmtId="170" fontId="94" fillId="8" borderId="18" xfId="190" applyNumberFormat="1" applyFont="1" applyFill="1" applyBorder="1" applyAlignment="1">
      <alignment horizontal="center" vertical="center"/>
    </xf>
    <xf numFmtId="170" fontId="93" fillId="34" borderId="2" xfId="190" applyNumberFormat="1" applyFont="1" applyFill="1" applyBorder="1" applyAlignment="1">
      <alignment horizontal="center" vertical="center"/>
    </xf>
    <xf numFmtId="170" fontId="122" fillId="3" borderId="18" xfId="190" applyNumberFormat="1" applyFont="1" applyFill="1" applyBorder="1" applyAlignment="1">
      <alignment horizontal="center" vertical="center"/>
    </xf>
    <xf numFmtId="170" fontId="152" fillId="3" borderId="18" xfId="190" applyNumberFormat="1" applyFont="1" applyFill="1" applyBorder="1" applyAlignment="1">
      <alignment horizontal="center" vertical="center"/>
    </xf>
    <xf numFmtId="10" fontId="93" fillId="3" borderId="2" xfId="192" applyNumberFormat="1" applyFont="1" applyFill="1" applyBorder="1" applyAlignment="1">
      <alignment horizontal="center" vertical="center"/>
    </xf>
    <xf numFmtId="170" fontId="94" fillId="14" borderId="2" xfId="190" applyNumberFormat="1" applyFont="1" applyFill="1" applyBorder="1" applyAlignment="1">
      <alignment horizontal="center" vertical="center"/>
    </xf>
    <xf numFmtId="170" fontId="122" fillId="14" borderId="2" xfId="190" applyNumberFormat="1" applyFont="1" applyFill="1" applyBorder="1" applyAlignment="1">
      <alignment horizontal="center" vertical="center"/>
    </xf>
    <xf numFmtId="10" fontId="93" fillId="20" borderId="2" xfId="192" applyNumberFormat="1" applyFont="1" applyFill="1" applyBorder="1" applyAlignment="1">
      <alignment horizontal="center" vertical="center"/>
    </xf>
    <xf numFmtId="170" fontId="122" fillId="20" borderId="2" xfId="190" applyNumberFormat="1" applyFont="1" applyFill="1" applyBorder="1" applyAlignment="1">
      <alignment horizontal="center" vertical="center"/>
    </xf>
    <xf numFmtId="170" fontId="122" fillId="0" borderId="2" xfId="190" applyNumberFormat="1" applyFont="1" applyFill="1" applyBorder="1" applyAlignment="1">
      <alignment horizontal="center" vertical="center"/>
    </xf>
    <xf numFmtId="170" fontId="122" fillId="21" borderId="2" xfId="190" applyNumberFormat="1" applyFont="1" applyFill="1" applyBorder="1" applyAlignment="1">
      <alignment horizontal="center" vertical="center"/>
    </xf>
    <xf numFmtId="10" fontId="93" fillId="13" borderId="2" xfId="192" applyNumberFormat="1" applyFont="1" applyFill="1" applyBorder="1" applyAlignment="1">
      <alignment horizontal="center" vertical="center"/>
    </xf>
    <xf numFmtId="170" fontId="93" fillId="0" borderId="2" xfId="190" applyNumberFormat="1" applyFont="1" applyFill="1" applyBorder="1" applyAlignment="1">
      <alignment horizontal="center" vertical="center"/>
    </xf>
    <xf numFmtId="0" fontId="96" fillId="5" borderId="2" xfId="191" applyFont="1" applyFill="1" applyBorder="1" applyAlignment="1">
      <alignment horizontal="center" vertical="center" wrapText="1"/>
    </xf>
    <xf numFmtId="0" fontId="123" fillId="5" borderId="8" xfId="191" applyFont="1" applyFill="1" applyBorder="1" applyAlignment="1">
      <alignment horizontal="center" vertical="center" wrapText="1"/>
    </xf>
    <xf numFmtId="0" fontId="123" fillId="5" borderId="17" xfId="191" applyFont="1" applyFill="1" applyBorder="1" applyAlignment="1">
      <alignment horizontal="center" vertical="center" wrapText="1"/>
    </xf>
    <xf numFmtId="10" fontId="124" fillId="28" borderId="2" xfId="192" applyNumberFormat="1" applyFont="1" applyFill="1" applyBorder="1" applyAlignment="1">
      <alignment horizontal="center" vertical="center"/>
    </xf>
    <xf numFmtId="10" fontId="108" fillId="28" borderId="5" xfId="192" applyNumberFormat="1" applyFont="1" applyFill="1" applyBorder="1" applyAlignment="1">
      <alignment horizontal="center" vertical="center"/>
    </xf>
    <xf numFmtId="10" fontId="108" fillId="28" borderId="2" xfId="192" applyNumberFormat="1" applyFont="1" applyFill="1" applyBorder="1" applyAlignment="1">
      <alignment horizontal="center" vertical="center"/>
    </xf>
    <xf numFmtId="0" fontId="123" fillId="3" borderId="0" xfId="191" applyFont="1" applyFill="1" applyBorder="1" applyAlignment="1">
      <alignment horizontal="center" vertical="center" wrapText="1"/>
    </xf>
    <xf numFmtId="10" fontId="108" fillId="3" borderId="0" xfId="192" applyNumberFormat="1" applyFont="1" applyFill="1" applyBorder="1" applyAlignment="1">
      <alignment horizontal="center" vertical="center"/>
    </xf>
    <xf numFmtId="0" fontId="167" fillId="5" borderId="2" xfId="0" applyFont="1" applyFill="1" applyBorder="1" applyAlignment="1">
      <alignment horizontal="center" vertical="center" wrapText="1"/>
    </xf>
    <xf numFmtId="44" fontId="174" fillId="3" borderId="18" xfId="188" applyFont="1" applyFill="1" applyBorder="1" applyAlignment="1">
      <alignment horizontal="center" vertical="center" wrapText="1"/>
    </xf>
    <xf numFmtId="39" fontId="71" fillId="7" borderId="2" xfId="9" applyNumberFormat="1" applyFont="1" applyFill="1" applyBorder="1" applyAlignment="1">
      <alignment horizontal="right" vertical="center" wrapText="1" readingOrder="1"/>
    </xf>
    <xf numFmtId="168" fontId="40" fillId="3" borderId="0" xfId="187" applyFont="1" applyFill="1" applyBorder="1" applyAlignment="1">
      <alignment horizontal="center" wrapText="1"/>
    </xf>
    <xf numFmtId="168" fontId="40" fillId="3" borderId="0" xfId="187" applyFont="1" applyFill="1" applyBorder="1" applyAlignment="1">
      <alignment horizontal="center" vertical="center" wrapText="1"/>
    </xf>
    <xf numFmtId="169" fontId="196" fillId="0" borderId="2" xfId="117" applyFont="1" applyFill="1" applyBorder="1" applyAlignment="1">
      <alignment horizontal="center" vertical="center" wrapText="1"/>
    </xf>
    <xf numFmtId="171" fontId="197" fillId="0" borderId="2" xfId="117" applyNumberFormat="1" applyFont="1" applyFill="1" applyBorder="1" applyAlignment="1">
      <alignment horizontal="center" vertical="center" wrapText="1"/>
    </xf>
    <xf numFmtId="174" fontId="151" fillId="3" borderId="0" xfId="9" applyNumberFormat="1" applyFont="1" applyFill="1" applyBorder="1"/>
    <xf numFmtId="164" fontId="152" fillId="3" borderId="0" xfId="112" applyFont="1" applyFill="1" applyBorder="1"/>
    <xf numFmtId="39" fontId="147" fillId="4" borderId="2" xfId="9" applyNumberFormat="1" applyFont="1" applyFill="1" applyBorder="1" applyAlignment="1">
      <alignment horizontal="right" vertical="center"/>
    </xf>
    <xf numFmtId="166" fontId="163" fillId="11" borderId="0" xfId="9" applyNumberFormat="1" applyFont="1" applyFill="1" applyBorder="1"/>
    <xf numFmtId="170" fontId="93" fillId="39" borderId="2" xfId="190" applyNumberFormat="1" applyFont="1" applyFill="1" applyBorder="1" applyAlignment="1">
      <alignment horizontal="center" vertical="center"/>
    </xf>
    <xf numFmtId="170" fontId="141" fillId="39" borderId="18" xfId="190" applyNumberFormat="1" applyFont="1" applyFill="1" applyBorder="1" applyAlignment="1">
      <alignment horizontal="center" vertical="center"/>
    </xf>
    <xf numFmtId="166" fontId="93" fillId="39" borderId="0" xfId="9" applyNumberFormat="1" applyFont="1" applyFill="1" applyBorder="1"/>
    <xf numFmtId="166" fontId="163" fillId="40" borderId="0" xfId="9" applyNumberFormat="1" applyFont="1" applyFill="1" applyBorder="1"/>
    <xf numFmtId="0" fontId="167" fillId="5" borderId="2" xfId="0" applyFont="1" applyFill="1" applyBorder="1" applyAlignment="1">
      <alignment horizontal="left" vertical="center" wrapText="1"/>
    </xf>
    <xf numFmtId="0" fontId="105" fillId="3" borderId="0" xfId="0" applyFont="1" applyFill="1" applyBorder="1" applyAlignment="1">
      <alignment horizontal="center" vertical="center" wrapText="1"/>
    </xf>
    <xf numFmtId="0" fontId="70" fillId="3" borderId="0" xfId="0" applyFont="1" applyFill="1" applyBorder="1" applyAlignment="1">
      <alignment horizontal="left" vertical="center"/>
    </xf>
    <xf numFmtId="14" fontId="70" fillId="3" borderId="0" xfId="0" applyNumberFormat="1" applyFont="1" applyFill="1" applyBorder="1" applyAlignment="1">
      <alignment horizontal="center" vertical="center"/>
    </xf>
    <xf numFmtId="0" fontId="70" fillId="3" borderId="0" xfId="0" applyFont="1" applyFill="1" applyBorder="1" applyAlignment="1">
      <alignment horizontal="left" vertical="center" wrapText="1"/>
    </xf>
    <xf numFmtId="0" fontId="70" fillId="3" borderId="0" xfId="0" applyFont="1" applyFill="1" applyBorder="1" applyAlignment="1">
      <alignment horizontal="center" vertical="center" wrapText="1"/>
    </xf>
    <xf numFmtId="169" fontId="186" fillId="3" borderId="0" xfId="117" applyFont="1" applyFill="1" applyBorder="1" applyAlignment="1">
      <alignment horizontal="center" vertical="center"/>
    </xf>
    <xf numFmtId="171" fontId="136" fillId="3" borderId="0" xfId="117" applyNumberFormat="1" applyFont="1" applyFill="1" applyBorder="1" applyAlignment="1">
      <alignment horizontal="center" vertical="center" wrapText="1"/>
    </xf>
    <xf numFmtId="49" fontId="70" fillId="3" borderId="0" xfId="0" applyNumberFormat="1" applyFont="1" applyFill="1" applyBorder="1" applyAlignment="1">
      <alignment horizontal="center" vertical="center"/>
    </xf>
    <xf numFmtId="0" fontId="136" fillId="11" borderId="2" xfId="0" applyFont="1" applyFill="1" applyBorder="1" applyAlignment="1">
      <alignment horizontal="center" vertical="center" wrapText="1"/>
    </xf>
    <xf numFmtId="39" fontId="195" fillId="7" borderId="2" xfId="9" applyNumberFormat="1" applyFont="1" applyFill="1" applyBorder="1" applyAlignment="1">
      <alignment horizontal="right" vertical="center" wrapText="1" readingOrder="1"/>
    </xf>
    <xf numFmtId="0" fontId="167" fillId="5" borderId="18" xfId="0" applyFont="1" applyFill="1" applyBorder="1" applyAlignment="1">
      <alignment horizontal="center" vertical="center" wrapText="1"/>
    </xf>
    <xf numFmtId="0" fontId="167" fillId="5" borderId="5" xfId="0" applyFont="1" applyFill="1" applyBorder="1" applyAlignment="1">
      <alignment horizontal="center" vertical="center" wrapText="1"/>
    </xf>
    <xf numFmtId="0" fontId="167" fillId="5" borderId="14" xfId="0" applyFont="1" applyFill="1" applyBorder="1" applyAlignment="1">
      <alignment horizontal="center" vertical="center" wrapText="1"/>
    </xf>
    <xf numFmtId="172" fontId="174" fillId="5" borderId="18" xfId="186" applyNumberFormat="1" applyFont="1" applyFill="1" applyBorder="1" applyAlignment="1">
      <alignment horizontal="right" vertical="center" wrapText="1"/>
    </xf>
    <xf numFmtId="0" fontId="167" fillId="5" borderId="18" xfId="0" applyFont="1" applyFill="1" applyBorder="1" applyAlignment="1">
      <alignment horizontal="left" vertical="center" wrapText="1"/>
    </xf>
    <xf numFmtId="14" fontId="176" fillId="3" borderId="2" xfId="0" applyNumberFormat="1" applyFont="1" applyFill="1" applyBorder="1" applyAlignment="1">
      <alignment horizontal="center" vertical="center" wrapText="1"/>
    </xf>
    <xf numFmtId="0" fontId="176" fillId="3" borderId="2" xfId="0" applyFont="1" applyFill="1" applyBorder="1" applyAlignment="1">
      <alignment horizontal="center" vertical="center" wrapText="1"/>
    </xf>
    <xf numFmtId="0" fontId="198" fillId="3" borderId="2" xfId="0" applyFont="1" applyFill="1" applyBorder="1" applyAlignment="1">
      <alignment horizontal="center" vertical="center" wrapText="1"/>
    </xf>
    <xf numFmtId="172" fontId="174" fillId="3" borderId="2" xfId="186" applyNumberFormat="1" applyFont="1" applyFill="1" applyBorder="1" applyAlignment="1">
      <alignment horizontal="right" vertical="center" wrapText="1"/>
    </xf>
    <xf numFmtId="172" fontId="167" fillId="3" borderId="2" xfId="186" applyNumberFormat="1" applyFont="1" applyFill="1" applyBorder="1" applyAlignment="1">
      <alignment horizontal="left" vertical="center" wrapText="1"/>
    </xf>
    <xf numFmtId="49" fontId="114" fillId="3" borderId="2" xfId="9" applyNumberFormat="1" applyFont="1" applyFill="1" applyBorder="1" applyAlignment="1">
      <alignment horizontal="center" vertical="center" wrapText="1" readingOrder="1"/>
    </xf>
    <xf numFmtId="49" fontId="114" fillId="31" borderId="2" xfId="9" applyNumberFormat="1" applyFont="1" applyFill="1" applyBorder="1" applyAlignment="1">
      <alignment horizontal="center" vertical="center" wrapText="1" readingOrder="1"/>
    </xf>
    <xf numFmtId="49" fontId="114" fillId="3" borderId="2" xfId="9" applyNumberFormat="1" applyFont="1" applyFill="1" applyBorder="1" applyAlignment="1">
      <alignment vertical="center" wrapText="1" readingOrder="1"/>
    </xf>
    <xf numFmtId="0" fontId="199" fillId="3" borderId="2" xfId="9" applyNumberFormat="1" applyFont="1" applyFill="1" applyBorder="1" applyAlignment="1">
      <alignment horizontal="left" vertical="center" wrapText="1" readingOrder="1"/>
    </xf>
    <xf numFmtId="172" fontId="174" fillId="5" borderId="2" xfId="186" applyNumberFormat="1" applyFont="1" applyFill="1" applyBorder="1" applyAlignment="1">
      <alignment horizontal="right" vertical="center" wrapText="1"/>
    </xf>
    <xf numFmtId="0" fontId="136" fillId="3" borderId="2" xfId="0" applyFont="1" applyFill="1" applyBorder="1" applyAlignment="1">
      <alignment horizontal="center" vertical="center" wrapText="1"/>
    </xf>
    <xf numFmtId="14" fontId="105" fillId="7" borderId="18" xfId="0" applyNumberFormat="1" applyFont="1" applyFill="1" applyBorder="1" applyAlignment="1">
      <alignment horizontal="center" vertical="center" wrapText="1"/>
    </xf>
    <xf numFmtId="44" fontId="174" fillId="5" borderId="18" xfId="188" applyNumberFormat="1" applyFont="1" applyFill="1" applyBorder="1" applyAlignment="1">
      <alignment horizontal="center" vertical="center" wrapText="1"/>
    </xf>
    <xf numFmtId="2" fontId="105" fillId="7" borderId="2" xfId="0" applyNumberFormat="1" applyFont="1" applyFill="1" applyBorder="1" applyAlignment="1">
      <alignment horizontal="center" vertical="center" wrapText="1"/>
    </xf>
    <xf numFmtId="14" fontId="70" fillId="36" borderId="2" xfId="0" applyNumberFormat="1" applyFont="1" applyFill="1" applyBorder="1" applyAlignment="1">
      <alignment horizontal="center" vertical="center" wrapText="1"/>
    </xf>
    <xf numFmtId="0" fontId="185" fillId="7" borderId="14" xfId="0" applyFont="1" applyFill="1" applyBorder="1" applyAlignment="1">
      <alignment horizontal="center" vertical="center" wrapText="1"/>
    </xf>
    <xf numFmtId="0" fontId="148" fillId="7" borderId="2" xfId="0" applyFont="1" applyFill="1" applyBorder="1" applyAlignment="1">
      <alignment horizontal="left" vertical="center" wrapText="1"/>
    </xf>
    <xf numFmtId="0" fontId="185" fillId="7" borderId="18" xfId="0" applyFont="1" applyFill="1" applyBorder="1" applyAlignment="1">
      <alignment horizontal="center" vertical="center" wrapText="1"/>
    </xf>
    <xf numFmtId="0" fontId="185" fillId="7" borderId="18" xfId="0" applyFont="1" applyFill="1" applyBorder="1" applyAlignment="1">
      <alignment horizontal="left" vertical="center" wrapText="1"/>
    </xf>
    <xf numFmtId="49" fontId="74" fillId="3" borderId="2" xfId="0" applyNumberFormat="1" applyFont="1" applyFill="1" applyBorder="1"/>
    <xf numFmtId="14" fontId="176" fillId="3" borderId="18" xfId="0" applyNumberFormat="1" applyFont="1" applyFill="1" applyBorder="1" applyAlignment="1">
      <alignment horizontal="center" vertical="center" wrapText="1"/>
    </xf>
    <xf numFmtId="0" fontId="176" fillId="3" borderId="18" xfId="0" applyFont="1" applyFill="1" applyBorder="1" applyAlignment="1">
      <alignment horizontal="center" vertical="center" wrapText="1"/>
    </xf>
    <xf numFmtId="39" fontId="146" fillId="3" borderId="2" xfId="9" applyNumberFormat="1" applyFont="1" applyFill="1" applyBorder="1" applyAlignment="1">
      <alignment horizontal="right" vertical="center"/>
    </xf>
    <xf numFmtId="39" fontId="71" fillId="41" borderId="2" xfId="9" applyNumberFormat="1" applyFont="1" applyFill="1" applyBorder="1" applyAlignment="1">
      <alignment horizontal="right" vertical="center" wrapText="1" readingOrder="1"/>
    </xf>
    <xf numFmtId="39" fontId="71" fillId="36" borderId="2" xfId="9" applyNumberFormat="1" applyFont="1" applyFill="1" applyBorder="1" applyAlignment="1">
      <alignment horizontal="right" vertical="center" wrapText="1" readingOrder="1"/>
    </xf>
    <xf numFmtId="39" fontId="108" fillId="36" borderId="2" xfId="9" applyNumberFormat="1" applyFont="1" applyFill="1" applyBorder="1" applyAlignment="1">
      <alignment horizontal="right" vertical="center"/>
    </xf>
    <xf numFmtId="170" fontId="141" fillId="34" borderId="18" xfId="190" applyNumberFormat="1" applyFont="1" applyFill="1" applyBorder="1" applyAlignment="1">
      <alignment horizontal="center" vertical="center"/>
    </xf>
    <xf numFmtId="0" fontId="1" fillId="0" borderId="0" xfId="197"/>
    <xf numFmtId="173" fontId="200" fillId="3" borderId="2" xfId="197" applyNumberFormat="1" applyFont="1" applyFill="1" applyBorder="1" applyAlignment="1">
      <alignment horizontal="right" vertical="center"/>
    </xf>
    <xf numFmtId="173" fontId="201" fillId="3" borderId="2" xfId="197" applyNumberFormat="1" applyFont="1" applyFill="1" applyBorder="1"/>
    <xf numFmtId="0" fontId="173" fillId="5" borderId="2" xfId="197" applyFont="1" applyFill="1" applyBorder="1" applyAlignment="1">
      <alignment horizontal="center" vertical="center" wrapText="1"/>
    </xf>
    <xf numFmtId="173" fontId="51" fillId="0" borderId="2" xfId="197" applyNumberFormat="1" applyFont="1" applyBorder="1" applyAlignment="1">
      <alignment horizontal="right" vertical="center"/>
    </xf>
    <xf numFmtId="173" fontId="193" fillId="0" borderId="2" xfId="197" applyNumberFormat="1" applyFont="1" applyBorder="1"/>
    <xf numFmtId="173" fontId="193" fillId="34" borderId="2" xfId="197" applyNumberFormat="1" applyFont="1" applyFill="1" applyBorder="1"/>
    <xf numFmtId="0" fontId="194" fillId="5" borderId="2" xfId="197" applyFont="1" applyFill="1" applyBorder="1" applyAlignment="1">
      <alignment horizontal="center" vertical="center" wrapText="1"/>
    </xf>
    <xf numFmtId="0" fontId="180" fillId="3" borderId="2" xfId="197" applyFont="1" applyFill="1" applyBorder="1" applyAlignment="1">
      <alignment horizontal="center" vertical="center" wrapText="1"/>
    </xf>
    <xf numFmtId="44" fontId="186" fillId="7" borderId="2" xfId="117" applyNumberFormat="1" applyFont="1" applyFill="1" applyBorder="1" applyAlignment="1">
      <alignment horizontal="center" vertical="center"/>
    </xf>
    <xf numFmtId="0" fontId="105" fillId="36" borderId="5" xfId="0" applyFont="1" applyFill="1" applyBorder="1" applyAlignment="1">
      <alignment horizontal="center" vertical="center" wrapText="1"/>
    </xf>
    <xf numFmtId="0" fontId="105" fillId="36" borderId="2" xfId="0" applyFont="1" applyFill="1" applyBorder="1" applyAlignment="1">
      <alignment horizontal="left" vertical="center" wrapText="1"/>
    </xf>
    <xf numFmtId="0" fontId="69" fillId="36" borderId="2" xfId="0" applyFont="1" applyFill="1" applyBorder="1" applyAlignment="1">
      <alignment horizontal="center" vertical="center" wrapText="1"/>
    </xf>
    <xf numFmtId="0" fontId="51" fillId="0" borderId="2" xfId="197" applyFont="1" applyBorder="1" applyAlignment="1">
      <alignment horizontal="center" vertical="center"/>
    </xf>
    <xf numFmtId="0" fontId="200" fillId="0" borderId="2" xfId="197" applyFont="1" applyBorder="1" applyAlignment="1">
      <alignment horizontal="center" vertical="center"/>
    </xf>
    <xf numFmtId="0" fontId="180" fillId="3" borderId="4" xfId="197" applyFont="1" applyFill="1" applyBorder="1" applyAlignment="1">
      <alignment horizontal="center" vertical="center" wrapText="1"/>
    </xf>
    <xf numFmtId="0" fontId="180" fillId="3" borderId="20" xfId="197" applyFont="1" applyFill="1" applyBorder="1" applyAlignment="1">
      <alignment horizontal="center" vertical="center" wrapText="1"/>
    </xf>
    <xf numFmtId="0" fontId="180" fillId="3" borderId="5" xfId="197" applyFont="1" applyFill="1" applyBorder="1" applyAlignment="1">
      <alignment horizontal="center" vertical="center" wrapText="1"/>
    </xf>
    <xf numFmtId="0" fontId="173" fillId="3" borderId="4" xfId="9" applyNumberFormat="1" applyFont="1" applyFill="1" applyBorder="1" applyAlignment="1">
      <alignment horizontal="left" vertical="center" wrapText="1" readingOrder="1"/>
    </xf>
    <xf numFmtId="0" fontId="173" fillId="3" borderId="20" xfId="9" applyNumberFormat="1" applyFont="1" applyFill="1" applyBorder="1" applyAlignment="1">
      <alignment horizontal="left" vertical="center" wrapText="1" readingOrder="1"/>
    </xf>
    <xf numFmtId="0" fontId="173" fillId="3" borderId="5" xfId="9" applyNumberFormat="1" applyFont="1" applyFill="1" applyBorder="1" applyAlignment="1">
      <alignment horizontal="left" vertical="center" wrapText="1" readingOrder="1"/>
    </xf>
    <xf numFmtId="39" fontId="122" fillId="5" borderId="2" xfId="9" applyNumberFormat="1" applyFont="1" applyFill="1" applyBorder="1" applyAlignment="1">
      <alignment horizontal="center" vertical="center"/>
    </xf>
    <xf numFmtId="9" fontId="121" fillId="3" borderId="4" xfId="192" applyFont="1" applyFill="1" applyBorder="1" applyAlignment="1">
      <alignment horizontal="center" vertical="center"/>
    </xf>
    <xf numFmtId="9" fontId="121" fillId="3" borderId="20" xfId="192" applyFont="1" applyFill="1" applyBorder="1" applyAlignment="1">
      <alignment horizontal="center" vertical="center"/>
    </xf>
    <xf numFmtId="9" fontId="121" fillId="3" borderId="5" xfId="192" applyFont="1" applyFill="1" applyBorder="1" applyAlignment="1">
      <alignment horizontal="center" vertical="center"/>
    </xf>
    <xf numFmtId="0" fontId="125" fillId="3" borderId="0" xfId="191" applyFont="1" applyFill="1" applyBorder="1" applyAlignment="1">
      <alignment horizontal="center" vertical="center" wrapText="1"/>
    </xf>
    <xf numFmtId="174" fontId="122" fillId="3" borderId="2" xfId="9" applyNumberFormat="1" applyFont="1" applyFill="1" applyBorder="1" applyAlignment="1">
      <alignment horizontal="center" vertical="center" wrapText="1"/>
    </xf>
    <xf numFmtId="0" fontId="122" fillId="3" borderId="2" xfId="9" applyFont="1" applyFill="1" applyBorder="1" applyAlignment="1">
      <alignment horizontal="center" vertical="center" wrapText="1"/>
    </xf>
    <xf numFmtId="174" fontId="122" fillId="3" borderId="4" xfId="9" applyNumberFormat="1" applyFont="1" applyFill="1" applyBorder="1" applyAlignment="1">
      <alignment horizontal="center" wrapText="1"/>
    </xf>
    <xf numFmtId="0" fontId="122" fillId="3" borderId="5" xfId="9" applyFont="1" applyFill="1" applyBorder="1" applyAlignment="1">
      <alignment horizontal="center" wrapText="1"/>
    </xf>
    <xf numFmtId="0" fontId="95" fillId="3" borderId="4" xfId="9" applyNumberFormat="1" applyFont="1" applyFill="1" applyBorder="1" applyAlignment="1">
      <alignment horizontal="center" vertical="center" wrapText="1" readingOrder="1"/>
    </xf>
    <xf numFmtId="0" fontId="95" fillId="3" borderId="20" xfId="9" applyNumberFormat="1" applyFont="1" applyFill="1" applyBorder="1" applyAlignment="1">
      <alignment horizontal="center" vertical="center" wrapText="1" readingOrder="1"/>
    </xf>
    <xf numFmtId="0" fontId="71" fillId="21" borderId="4" xfId="9" applyNumberFormat="1" applyFont="1" applyFill="1" applyBorder="1" applyAlignment="1">
      <alignment horizontal="center" vertical="center" wrapText="1" readingOrder="1"/>
    </xf>
    <xf numFmtId="0" fontId="71" fillId="21" borderId="20" xfId="9" applyNumberFormat="1" applyFont="1" applyFill="1" applyBorder="1" applyAlignment="1">
      <alignment horizontal="center" vertical="center" wrapText="1" readingOrder="1"/>
    </xf>
    <xf numFmtId="0" fontId="71" fillId="21" borderId="5" xfId="9" applyNumberFormat="1" applyFont="1" applyFill="1" applyBorder="1" applyAlignment="1">
      <alignment horizontal="center" vertical="center" wrapText="1" readingOrder="1"/>
    </xf>
    <xf numFmtId="0" fontId="121" fillId="5" borderId="2" xfId="9" applyFont="1" applyFill="1" applyBorder="1" applyAlignment="1">
      <alignment horizontal="center" vertical="center"/>
    </xf>
    <xf numFmtId="39" fontId="126" fillId="5" borderId="2" xfId="9" applyNumberFormat="1" applyFont="1" applyFill="1" applyBorder="1" applyAlignment="1">
      <alignment horizontal="center" vertical="center" wrapText="1"/>
    </xf>
    <xf numFmtId="0" fontId="122" fillId="5" borderId="2" xfId="9" applyFont="1" applyFill="1" applyBorder="1" applyAlignment="1">
      <alignment horizontal="center" vertical="center" wrapText="1"/>
    </xf>
    <xf numFmtId="39" fontId="122" fillId="5" borderId="2" xfId="9" applyNumberFormat="1" applyFont="1" applyFill="1" applyBorder="1" applyAlignment="1">
      <alignment horizontal="center" vertical="center" wrapText="1"/>
    </xf>
    <xf numFmtId="0" fontId="78" fillId="8" borderId="0" xfId="191" applyFont="1" applyFill="1" applyBorder="1" applyAlignment="1">
      <alignment horizontal="center" vertical="center" wrapText="1"/>
    </xf>
    <xf numFmtId="0" fontId="78" fillId="8" borderId="13" xfId="191" applyFont="1" applyFill="1" applyBorder="1" applyAlignment="1">
      <alignment horizontal="center" vertical="center" wrapText="1"/>
    </xf>
    <xf numFmtId="170" fontId="93" fillId="5" borderId="2" xfId="190" applyNumberFormat="1" applyFont="1" applyFill="1" applyBorder="1" applyAlignment="1">
      <alignment horizontal="center" vertical="center" wrapText="1"/>
    </xf>
    <xf numFmtId="164" fontId="151" fillId="14" borderId="17" xfId="112" applyFont="1" applyFill="1" applyBorder="1" applyAlignment="1">
      <alignment horizontal="center" vertical="center"/>
    </xf>
    <xf numFmtId="164" fontId="151" fillId="14" borderId="18" xfId="112" applyFont="1" applyFill="1" applyBorder="1" applyAlignment="1">
      <alignment horizontal="center" vertical="center"/>
    </xf>
    <xf numFmtId="166" fontId="151" fillId="14" borderId="17" xfId="9" applyNumberFormat="1" applyFont="1" applyFill="1" applyBorder="1" applyAlignment="1">
      <alignment horizontal="center" vertical="center"/>
    </xf>
    <xf numFmtId="166" fontId="151" fillId="14" borderId="18" xfId="9" applyNumberFormat="1" applyFont="1" applyFill="1" applyBorder="1" applyAlignment="1">
      <alignment horizontal="center" vertical="center"/>
    </xf>
    <xf numFmtId="49" fontId="107" fillId="14" borderId="6" xfId="9" applyNumberFormat="1" applyFont="1" applyFill="1" applyBorder="1" applyAlignment="1">
      <alignment horizontal="center" vertical="center" wrapText="1" readingOrder="1"/>
    </xf>
    <xf numFmtId="49" fontId="107" fillId="14" borderId="7" xfId="9" applyNumberFormat="1" applyFont="1" applyFill="1" applyBorder="1" applyAlignment="1">
      <alignment horizontal="center" vertical="center" wrapText="1" readingOrder="1"/>
    </xf>
    <xf numFmtId="49" fontId="107" fillId="14" borderId="8" xfId="9" applyNumberFormat="1" applyFont="1" applyFill="1" applyBorder="1" applyAlignment="1">
      <alignment horizontal="center" vertical="center" wrapText="1" readingOrder="1"/>
    </xf>
    <xf numFmtId="49" fontId="107" fillId="14" borderId="9" xfId="9" applyNumberFormat="1" applyFont="1" applyFill="1" applyBorder="1" applyAlignment="1">
      <alignment horizontal="center" vertical="center" wrapText="1" readingOrder="1"/>
    </xf>
    <xf numFmtId="49" fontId="107" fillId="14" borderId="0" xfId="9" applyNumberFormat="1" applyFont="1" applyFill="1" applyBorder="1" applyAlignment="1">
      <alignment horizontal="center" vertical="center" wrapText="1" readingOrder="1"/>
    </xf>
    <xf numFmtId="49" fontId="107" fillId="14" borderId="10" xfId="9" applyNumberFormat="1" applyFont="1" applyFill="1" applyBorder="1" applyAlignment="1">
      <alignment horizontal="center" vertical="center" wrapText="1" readingOrder="1"/>
    </xf>
    <xf numFmtId="49" fontId="107" fillId="14" borderId="12" xfId="9" applyNumberFormat="1" applyFont="1" applyFill="1" applyBorder="1" applyAlignment="1">
      <alignment horizontal="center" vertical="center" wrapText="1" readingOrder="1"/>
    </xf>
    <xf numFmtId="49" fontId="107" fillId="14" borderId="13" xfId="9" applyNumberFormat="1" applyFont="1" applyFill="1" applyBorder="1" applyAlignment="1">
      <alignment horizontal="center" vertical="center" wrapText="1" readingOrder="1"/>
    </xf>
    <xf numFmtId="49" fontId="107" fillId="14" borderId="14" xfId="9" applyNumberFormat="1" applyFont="1" applyFill="1" applyBorder="1" applyAlignment="1">
      <alignment horizontal="center" vertical="center" wrapText="1" readingOrder="1"/>
    </xf>
    <xf numFmtId="39" fontId="107" fillId="14" borderId="2" xfId="9" applyNumberFormat="1" applyFont="1" applyFill="1" applyBorder="1" applyAlignment="1">
      <alignment horizontal="center" vertical="center" wrapText="1" readingOrder="1"/>
    </xf>
    <xf numFmtId="0" fontId="80" fillId="0" borderId="0" xfId="9" applyFont="1" applyFill="1" applyBorder="1" applyAlignment="1">
      <alignment horizontal="center"/>
    </xf>
    <xf numFmtId="0" fontId="81" fillId="0" borderId="0" xfId="9" applyFont="1" applyFill="1" applyBorder="1" applyAlignment="1">
      <alignment horizontal="center"/>
    </xf>
    <xf numFmtId="49" fontId="122" fillId="0" borderId="0" xfId="190" applyNumberFormat="1" applyFont="1" applyFill="1" applyBorder="1" applyAlignment="1">
      <alignment horizontal="center"/>
    </xf>
    <xf numFmtId="0" fontId="86" fillId="8" borderId="2" xfId="9" applyNumberFormat="1" applyFont="1" applyFill="1" applyBorder="1" applyAlignment="1">
      <alignment horizontal="center" vertical="center" wrapText="1" readingOrder="1"/>
    </xf>
    <xf numFmtId="0" fontId="86" fillId="8" borderId="17" xfId="9" applyNumberFormat="1" applyFont="1" applyFill="1" applyBorder="1" applyAlignment="1">
      <alignment horizontal="center" vertical="center" wrapText="1" readingOrder="1"/>
    </xf>
    <xf numFmtId="0" fontId="90" fillId="5" borderId="12" xfId="9" applyNumberFormat="1" applyFont="1" applyFill="1" applyBorder="1" applyAlignment="1">
      <alignment horizontal="center" vertical="center" wrapText="1" readingOrder="1"/>
    </xf>
    <xf numFmtId="0" fontId="90" fillId="5" borderId="13" xfId="9" applyNumberFormat="1" applyFont="1" applyFill="1" applyBorder="1" applyAlignment="1">
      <alignment horizontal="center" vertical="center" wrapText="1" readingOrder="1"/>
    </xf>
    <xf numFmtId="0" fontId="153" fillId="0" borderId="0" xfId="0" applyFont="1" applyAlignment="1">
      <alignment horizontal="center" wrapText="1"/>
    </xf>
    <xf numFmtId="0" fontId="153" fillId="0" borderId="0" xfId="0" applyFont="1" applyAlignment="1">
      <alignment horizontal="center"/>
    </xf>
    <xf numFmtId="0" fontId="52" fillId="3" borderId="2" xfId="0" applyFont="1" applyFill="1" applyBorder="1" applyAlignment="1">
      <alignment horizontal="center" vertical="center" wrapText="1"/>
    </xf>
    <xf numFmtId="0" fontId="52" fillId="5" borderId="4" xfId="0" applyFont="1" applyFill="1" applyBorder="1" applyAlignment="1">
      <alignment horizontal="left" vertical="center" wrapText="1"/>
    </xf>
    <xf numFmtId="0" fontId="52" fillId="5" borderId="5" xfId="0" applyFont="1" applyFill="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71" fontId="60" fillId="3" borderId="4" xfId="0" applyNumberFormat="1" applyFont="1" applyFill="1" applyBorder="1" applyAlignment="1">
      <alignment horizontal="right" vertical="center" wrapText="1"/>
    </xf>
    <xf numFmtId="171" fontId="60" fillId="3" borderId="5" xfId="0" applyNumberFormat="1" applyFont="1" applyFill="1" applyBorder="1" applyAlignment="1">
      <alignment horizontal="right" vertical="center" wrapText="1"/>
    </xf>
    <xf numFmtId="172" fontId="61" fillId="3" borderId="2" xfId="0" applyNumberFormat="1" applyFont="1" applyFill="1" applyBorder="1" applyAlignment="1">
      <alignment horizontal="right" vertical="center" wrapText="1"/>
    </xf>
    <xf numFmtId="168" fontId="61" fillId="3" borderId="2" xfId="187" applyFont="1" applyFill="1" applyBorder="1" applyAlignment="1">
      <alignment horizontal="right" vertical="center" wrapText="1"/>
    </xf>
    <xf numFmtId="14" fontId="60" fillId="5" borderId="4" xfId="0" applyNumberFormat="1" applyFont="1" applyFill="1" applyBorder="1" applyAlignment="1">
      <alignment horizontal="right" vertical="center" wrapText="1"/>
    </xf>
    <xf numFmtId="14" fontId="60" fillId="5" borderId="5" xfId="0" applyNumberFormat="1" applyFont="1" applyFill="1" applyBorder="1" applyAlignment="1">
      <alignment horizontal="right" vertical="center" wrapText="1"/>
    </xf>
    <xf numFmtId="0" fontId="51" fillId="3" borderId="15" xfId="0" applyFont="1" applyFill="1" applyBorder="1" applyAlignment="1">
      <alignment horizontal="left" vertical="center" wrapText="1"/>
    </xf>
    <xf numFmtId="168" fontId="40" fillId="3" borderId="0" xfId="187" applyFont="1" applyFill="1" applyBorder="1" applyAlignment="1">
      <alignment horizontal="center" wrapText="1"/>
    </xf>
    <xf numFmtId="168" fontId="40" fillId="3" borderId="0" xfId="187" applyFont="1" applyFill="1" applyBorder="1" applyAlignment="1">
      <alignment horizontal="center" vertical="center" wrapText="1"/>
    </xf>
    <xf numFmtId="0" fontId="41" fillId="0" borderId="0" xfId="0" applyFont="1" applyAlignment="1">
      <alignment horizontal="center" wrapText="1"/>
    </xf>
    <xf numFmtId="0" fontId="41" fillId="0" borderId="0" xfId="0" applyFont="1" applyAlignment="1">
      <alignment horizontal="center"/>
    </xf>
    <xf numFmtId="0" fontId="49" fillId="5" borderId="0" xfId="0" applyFont="1" applyFill="1" applyBorder="1" applyAlignment="1">
      <alignment horizontal="center" vertical="center" wrapText="1"/>
    </xf>
    <xf numFmtId="0" fontId="51" fillId="0" borderId="0" xfId="0" applyFont="1" applyBorder="1" applyAlignment="1">
      <alignment horizontal="left" vertical="center" wrapText="1"/>
    </xf>
    <xf numFmtId="0" fontId="52" fillId="0" borderId="2" xfId="0" applyFont="1" applyBorder="1" applyAlignment="1">
      <alignment horizontal="center" vertical="center" wrapText="1"/>
    </xf>
    <xf numFmtId="0" fontId="53" fillId="0" borderId="2" xfId="0" applyFont="1" applyFill="1" applyBorder="1" applyAlignment="1">
      <alignment horizontal="center" vertical="center" wrapText="1"/>
    </xf>
    <xf numFmtId="0" fontId="52" fillId="0" borderId="2" xfId="0" quotePrefix="1" applyFont="1" applyBorder="1" applyAlignment="1">
      <alignment horizontal="center" vertical="center" wrapText="1"/>
    </xf>
    <xf numFmtId="0" fontId="52" fillId="0" borderId="0" xfId="0" quotePrefix="1" applyFont="1" applyAlignment="1">
      <alignment horizontal="center" vertical="center" wrapText="1"/>
    </xf>
  </cellXfs>
  <cellStyles count="19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8"/>
    <cellStyle name="Millares [0] 2 3 2 2 4 3 4 2 2 2 2 2 2 2 2 2 3" xfId="165"/>
    <cellStyle name="Millares [0] 2 3 2 2 4 3 4 2 2 2 2 2 2 2 2 2 3 2" xfId="175"/>
    <cellStyle name="Millares [0] 2 3 2 2 4 3 4 2 2 2 2 2 2 2 2 2 3 2 2" xfId="186"/>
    <cellStyle name="Millares [0] 2 3 2 2 4 3 4 2 3" xfId="16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8"/>
    <cellStyle name="Millares [0] 3 2 2 2 4 3 4 2 2 2 2 2 2 2 2 2 2 2" xfId="178"/>
    <cellStyle name="Millares [0] 3 2 2 2 4 3 4 2 2 2 2 2 2 2 2 2 2 2 2" xfId="189"/>
    <cellStyle name="Millares [0] 4" xfId="132"/>
    <cellStyle name="Millares 2" xfId="153"/>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6"/>
    <cellStyle name="Moneda [0] 2 2 2 2 2 4 3 4 2 2 2 2 2 2 2 2 2 2 2" xfId="176"/>
    <cellStyle name="Moneda [0] 2 2 2 2 2 4 3 4 2 2 2 2 2 2 2 2 2 2 2 2" xfId="187"/>
    <cellStyle name="Moneda [0] 2 2 3" xfId="88"/>
    <cellStyle name="Moneda [0] 2 2 3 2" xfId="108"/>
    <cellStyle name="Moneda [0] 2 2 3 2 2" xfId="141"/>
    <cellStyle name="Moneda [0] 2 2 3 2 2 2" xfId="154"/>
    <cellStyle name="Moneda [0] 2 2 3 2 2 3" xfId="179"/>
    <cellStyle name="Moneda [0] 2 2 3 2 2 3 2" xfId="190"/>
    <cellStyle name="Moneda [0] 2 3" xfId="112"/>
    <cellStyle name="Moneda [0] 3" xfId="185"/>
    <cellStyle name="Moneda [0] 4" xfId="196"/>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9"/>
    <cellStyle name="Moneda 2 2 2 2 2 4 3 4 2 2 2 2 2 2 2 2 2 3" xfId="167"/>
    <cellStyle name="Moneda 2 2 2 2 2 4 3 4 2 2 2 2 2 2 2 2 2 3 2" xfId="177"/>
    <cellStyle name="Moneda 2 2 2 2 2 4 3 4 2 2 2 2 2 2 2 2 2 3 2 2" xfId="188"/>
    <cellStyle name="Moneda 2 2 2 2 2 4 3 4 2 3" xfId="161"/>
    <cellStyle name="Moneda 2 2 3" xfId="91"/>
    <cellStyle name="Moneda 2 2 3 2" xfId="111"/>
    <cellStyle name="Moneda 2 2 3 2 2" xfId="144"/>
    <cellStyle name="Moneda 2 2 3 2 2 2" xfId="157"/>
    <cellStyle name="Moneda 2 2 3 2 2 3" xfId="182"/>
    <cellStyle name="Moneda 2 2 3 2 2 3 2" xfId="193"/>
    <cellStyle name="Moneda 3" xfId="127"/>
    <cellStyle name="Moneda 4" xfId="151"/>
    <cellStyle name="Moneda 5" xfId="171"/>
    <cellStyle name="Moneda 5 2" xfId="174"/>
    <cellStyle name="Moneda 6" xfId="184"/>
    <cellStyle name="Moneda 7" xfId="195"/>
    <cellStyle name="Nivel 1,2.3,5,6,9" xfId="162"/>
    <cellStyle name="Nivel 4" xfId="163"/>
    <cellStyle name="Nivel 7" xfId="164"/>
    <cellStyle name="Normal" xfId="0" builtinId="0"/>
    <cellStyle name="Normal 10" xfId="194"/>
    <cellStyle name="Normal 2" xfId="9"/>
    <cellStyle name="Normal 3" xfId="10"/>
    <cellStyle name="Normal 3 2" xfId="87"/>
    <cellStyle name="Normal 3 3" xfId="90"/>
    <cellStyle name="Normal 3 3 2" xfId="109"/>
    <cellStyle name="Normal 3 3 2 2" xfId="142"/>
    <cellStyle name="Normal 3 3 2 2 2" xfId="155"/>
    <cellStyle name="Normal 3 3 2 2 3" xfId="180"/>
    <cellStyle name="Normal 3 3 2 2 3 2" xfId="191"/>
    <cellStyle name="Normal 4" xfId="42"/>
    <cellStyle name="Normal 4 2" xfId="170"/>
    <cellStyle name="Normal 4 2 2" xfId="173"/>
    <cellStyle name="Normal 5" xfId="126"/>
    <cellStyle name="Normal 6" xfId="150"/>
    <cellStyle name="Normal 7" xfId="152"/>
    <cellStyle name="Normal 8" xfId="169"/>
    <cellStyle name="Normal 8 2" xfId="172"/>
    <cellStyle name="Normal 8 2 2" xfId="197"/>
    <cellStyle name="Normal 9" xfId="183"/>
    <cellStyle name="Porcentaje" xfId="149" builtinId="5"/>
    <cellStyle name="Porcentaje 2" xfId="11"/>
    <cellStyle name="Porcentaje 2 2" xfId="89"/>
    <cellStyle name="Porcentaje 2 2 2" xfId="110"/>
    <cellStyle name="Porcentaje 2 2 2 2" xfId="143"/>
    <cellStyle name="Porcentaje 2 2 2 2 2" xfId="156"/>
    <cellStyle name="Porcentaje 2 2 2 2 3" xfId="181"/>
    <cellStyle name="Porcentaje 2 2 2 2 3 2" xfId="192"/>
    <cellStyle name="Porcentaje 3" xfId="43"/>
  </cellStyles>
  <dxfs count="0"/>
  <tableStyles count="0" defaultTableStyle="TableStyleMedium2" defaultPivotStyle="PivotStyleLight16"/>
  <colors>
    <mruColors>
      <color rgb="FFCC99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zoomScale="130" zoomScaleNormal="130" workbookViewId="0">
      <selection activeCell="A13" sqref="A13:K16"/>
    </sheetView>
  </sheetViews>
  <sheetFormatPr baseColWidth="10" defaultColWidth="11" defaultRowHeight="15" x14ac:dyDescent="0.25"/>
  <cols>
    <col min="1" max="1" width="5.1796875" style="972" customWidth="1"/>
    <col min="2" max="2" width="4.453125" style="972" customWidth="1"/>
    <col min="3" max="4" width="4.81640625" style="972" customWidth="1"/>
    <col min="5" max="5" width="3.1796875" style="972" customWidth="1"/>
    <col min="6" max="6" width="5" style="972" customWidth="1"/>
    <col min="7" max="8" width="2.90625" style="972" customWidth="1"/>
    <col min="9" max="9" width="16.7265625" style="972" customWidth="1"/>
    <col min="10" max="10" width="10.08984375" style="972" customWidth="1"/>
    <col min="11" max="11" width="9" style="972" customWidth="1"/>
    <col min="12" max="12" width="13.7265625" style="972" customWidth="1"/>
    <col min="13" max="13" width="14.81640625" style="972" customWidth="1"/>
    <col min="14" max="14" width="16.08984375" style="972" customWidth="1"/>
    <col min="15" max="16384" width="11" style="972"/>
  </cols>
  <sheetData>
    <row r="1" spans="1:11" ht="60" x14ac:dyDescent="0.25">
      <c r="A1" s="979" t="s">
        <v>693</v>
      </c>
      <c r="B1" s="979" t="s">
        <v>694</v>
      </c>
      <c r="C1" s="979" t="s">
        <v>695</v>
      </c>
      <c r="D1" s="979" t="s">
        <v>696</v>
      </c>
      <c r="E1" s="979" t="s">
        <v>697</v>
      </c>
      <c r="F1" s="979" t="s">
        <v>698</v>
      </c>
      <c r="G1" s="979" t="s">
        <v>699</v>
      </c>
      <c r="H1" s="979" t="s">
        <v>699</v>
      </c>
      <c r="I1" s="979" t="s">
        <v>699</v>
      </c>
      <c r="J1" s="979" t="s">
        <v>700</v>
      </c>
      <c r="K1" s="979" t="s">
        <v>701</v>
      </c>
    </row>
    <row r="2" spans="1:11" ht="25.5" x14ac:dyDescent="0.25">
      <c r="A2" s="684" t="s">
        <v>169</v>
      </c>
      <c r="B2" s="684" t="s">
        <v>169</v>
      </c>
      <c r="C2" s="684" t="s">
        <v>169</v>
      </c>
      <c r="D2" s="684" t="s">
        <v>203</v>
      </c>
      <c r="E2" s="684" t="s">
        <v>171</v>
      </c>
      <c r="F2" s="684"/>
      <c r="G2" s="685"/>
      <c r="H2" s="685"/>
      <c r="I2" s="686" t="s">
        <v>327</v>
      </c>
      <c r="J2" s="978">
        <v>200000</v>
      </c>
      <c r="K2" s="978"/>
    </row>
    <row r="3" spans="1:11" x14ac:dyDescent="0.25">
      <c r="A3" s="684" t="s">
        <v>169</v>
      </c>
      <c r="B3" s="684" t="s">
        <v>169</v>
      </c>
      <c r="C3" s="684" t="s">
        <v>169</v>
      </c>
      <c r="D3" s="684" t="s">
        <v>203</v>
      </c>
      <c r="E3" s="684" t="s">
        <v>208</v>
      </c>
      <c r="F3" s="684"/>
      <c r="G3" s="685"/>
      <c r="H3" s="685"/>
      <c r="I3" s="686" t="s">
        <v>328</v>
      </c>
      <c r="J3" s="978"/>
      <c r="K3" s="978">
        <v>200000</v>
      </c>
    </row>
    <row r="4" spans="1:11" x14ac:dyDescent="0.25">
      <c r="A4" s="950"/>
      <c r="B4" s="950"/>
      <c r="C4" s="950"/>
      <c r="D4" s="950"/>
      <c r="E4" s="951"/>
      <c r="F4" s="950"/>
      <c r="G4" s="952"/>
      <c r="H4" s="952"/>
      <c r="I4" s="953" t="s">
        <v>23</v>
      </c>
      <c r="J4" s="977">
        <f>SUM(J2:J3)</f>
        <v>200000</v>
      </c>
      <c r="K4" s="977">
        <f>SUM(K2:K3)</f>
        <v>200000</v>
      </c>
    </row>
    <row r="5" spans="1:11" ht="21" customHeight="1" x14ac:dyDescent="0.25">
      <c r="A5" s="985"/>
      <c r="B5" s="985"/>
      <c r="C5" s="985"/>
      <c r="D5" s="985"/>
      <c r="E5" s="985"/>
      <c r="F5" s="985"/>
      <c r="G5" s="985"/>
      <c r="H5" s="985"/>
      <c r="I5" s="985"/>
      <c r="J5" s="976"/>
      <c r="K5" s="976"/>
    </row>
    <row r="7" spans="1:11" ht="33.75" x14ac:dyDescent="0.25">
      <c r="A7" s="975" t="s">
        <v>693</v>
      </c>
      <c r="B7" s="975" t="s">
        <v>694</v>
      </c>
      <c r="C7" s="975" t="s">
        <v>695</v>
      </c>
      <c r="D7" s="975" t="s">
        <v>696</v>
      </c>
      <c r="E7" s="975" t="s">
        <v>697</v>
      </c>
      <c r="F7" s="975" t="s">
        <v>698</v>
      </c>
      <c r="G7" s="975" t="s">
        <v>699</v>
      </c>
      <c r="H7" s="975" t="s">
        <v>699</v>
      </c>
      <c r="I7" s="975" t="s">
        <v>699</v>
      </c>
      <c r="J7" s="975" t="s">
        <v>700</v>
      </c>
      <c r="K7" s="975" t="s">
        <v>701</v>
      </c>
    </row>
    <row r="8" spans="1:11" ht="33.75" x14ac:dyDescent="0.25">
      <c r="A8" s="655" t="s">
        <v>169</v>
      </c>
      <c r="B8" s="655" t="s">
        <v>169</v>
      </c>
      <c r="C8" s="655" t="s">
        <v>169</v>
      </c>
      <c r="D8" s="655" t="s">
        <v>237</v>
      </c>
      <c r="E8" s="655" t="s">
        <v>172</v>
      </c>
      <c r="F8" s="655" t="s">
        <v>193</v>
      </c>
      <c r="G8" s="654"/>
      <c r="H8" s="654"/>
      <c r="I8" s="653" t="s">
        <v>104</v>
      </c>
      <c r="J8" s="974"/>
      <c r="K8" s="974">
        <v>447676</v>
      </c>
    </row>
    <row r="9" spans="1:11" ht="22.5" x14ac:dyDescent="0.25">
      <c r="A9" s="655" t="s">
        <v>169</v>
      </c>
      <c r="B9" s="655" t="s">
        <v>169</v>
      </c>
      <c r="C9" s="655" t="s">
        <v>169</v>
      </c>
      <c r="D9" s="655" t="s">
        <v>237</v>
      </c>
      <c r="E9" s="678" t="s">
        <v>203</v>
      </c>
      <c r="F9" s="655" t="s">
        <v>193</v>
      </c>
      <c r="G9" s="654"/>
      <c r="H9" s="654"/>
      <c r="I9" s="653" t="s">
        <v>255</v>
      </c>
      <c r="J9" s="974">
        <v>303976</v>
      </c>
      <c r="K9" s="974"/>
    </row>
    <row r="10" spans="1:11" ht="22.5" x14ac:dyDescent="0.25">
      <c r="A10" s="655" t="s">
        <v>169</v>
      </c>
      <c r="B10" s="655" t="s">
        <v>169</v>
      </c>
      <c r="C10" s="655" t="s">
        <v>169</v>
      </c>
      <c r="D10" s="655" t="s">
        <v>237</v>
      </c>
      <c r="E10" s="678" t="s">
        <v>188</v>
      </c>
      <c r="F10" s="655" t="s">
        <v>169</v>
      </c>
      <c r="G10" s="654"/>
      <c r="H10" s="654"/>
      <c r="I10" s="653" t="s">
        <v>253</v>
      </c>
      <c r="J10" s="974">
        <v>143700</v>
      </c>
      <c r="K10" s="974"/>
    </row>
    <row r="11" spans="1:11" x14ac:dyDescent="0.25">
      <c r="A11" s="986" t="s">
        <v>23</v>
      </c>
      <c r="B11" s="986"/>
      <c r="C11" s="986"/>
      <c r="D11" s="986"/>
      <c r="E11" s="986"/>
      <c r="F11" s="986"/>
      <c r="G11" s="986"/>
      <c r="H11" s="986"/>
      <c r="I11" s="986"/>
      <c r="J11" s="973">
        <f>SUM(J8:J10)</f>
        <v>447676</v>
      </c>
      <c r="K11" s="973">
        <f>SUM(K8:K10)</f>
        <v>447676</v>
      </c>
    </row>
    <row r="13" spans="1:11" ht="38.25" x14ac:dyDescent="0.25">
      <c r="A13" s="980" t="s">
        <v>2130</v>
      </c>
      <c r="B13" s="980" t="s">
        <v>2131</v>
      </c>
      <c r="C13" s="980" t="s">
        <v>2132</v>
      </c>
      <c r="D13" s="980" t="s">
        <v>2133</v>
      </c>
      <c r="E13" s="980" t="s">
        <v>697</v>
      </c>
      <c r="F13" s="980" t="s">
        <v>1158</v>
      </c>
      <c r="G13" s="987" t="s">
        <v>2136</v>
      </c>
      <c r="H13" s="988"/>
      <c r="I13" s="989"/>
      <c r="J13" s="980" t="s">
        <v>701</v>
      </c>
      <c r="K13" s="980" t="s">
        <v>700</v>
      </c>
    </row>
    <row r="14" spans="1:11" ht="36" customHeight="1" x14ac:dyDescent="0.25">
      <c r="A14" s="655" t="s">
        <v>169</v>
      </c>
      <c r="B14" s="655" t="s">
        <v>169</v>
      </c>
      <c r="C14" s="655" t="s">
        <v>169</v>
      </c>
      <c r="D14" s="655" t="s">
        <v>179</v>
      </c>
      <c r="E14" s="655" t="s">
        <v>203</v>
      </c>
      <c r="F14" s="655" t="s">
        <v>2134</v>
      </c>
      <c r="G14" s="990" t="s">
        <v>332</v>
      </c>
      <c r="H14" s="991"/>
      <c r="I14" s="992"/>
      <c r="J14" s="974">
        <v>767571</v>
      </c>
      <c r="K14" s="974"/>
    </row>
    <row r="15" spans="1:11" ht="21" customHeight="1" x14ac:dyDescent="0.25">
      <c r="A15" s="655" t="s">
        <v>169</v>
      </c>
      <c r="B15" s="655" t="s">
        <v>169</v>
      </c>
      <c r="C15" s="655" t="s">
        <v>169</v>
      </c>
      <c r="D15" s="655" t="s">
        <v>203</v>
      </c>
      <c r="E15" s="655" t="s">
        <v>171</v>
      </c>
      <c r="F15" s="655" t="s">
        <v>2134</v>
      </c>
      <c r="G15" s="990" t="s">
        <v>327</v>
      </c>
      <c r="H15" s="991"/>
      <c r="I15" s="992"/>
      <c r="J15" s="974"/>
      <c r="K15" s="974">
        <v>767571</v>
      </c>
    </row>
    <row r="16" spans="1:11" x14ac:dyDescent="0.25">
      <c r="A16" s="986" t="s">
        <v>2135</v>
      </c>
      <c r="B16" s="986"/>
      <c r="C16" s="986"/>
      <c r="D16" s="986"/>
      <c r="E16" s="986"/>
      <c r="F16" s="986"/>
      <c r="G16" s="986"/>
      <c r="H16" s="986"/>
      <c r="I16" s="986"/>
      <c r="J16" s="973">
        <f>SUM(J14:J15)</f>
        <v>767571</v>
      </c>
      <c r="K16" s="973">
        <f>SUM(K14:K15)</f>
        <v>767571</v>
      </c>
    </row>
  </sheetData>
  <mergeCells count="6">
    <mergeCell ref="A5:I5"/>
    <mergeCell ref="A11:I11"/>
    <mergeCell ref="A16:I16"/>
    <mergeCell ref="G13:I13"/>
    <mergeCell ref="G14:I14"/>
    <mergeCell ref="G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64"/>
  <sheetViews>
    <sheetView showGridLines="0" zoomScale="39" zoomScaleNormal="39" zoomScaleSheetLayoutView="24" zoomScalePageLayoutView="50" workbookViewId="0">
      <pane xSplit="13" ySplit="6" topLeftCell="Q83" activePane="bottomRight" state="frozen"/>
      <selection pane="topRight" activeCell="N1" sqref="N1"/>
      <selection pane="bottomLeft" activeCell="A7" sqref="A7"/>
      <selection pane="bottomRight" activeCell="U118" sqref="U118"/>
    </sheetView>
  </sheetViews>
  <sheetFormatPr baseColWidth="10" defaultColWidth="7.90625" defaultRowHeight="23.25" x14ac:dyDescent="0.35"/>
  <cols>
    <col min="1" max="1" width="4.90625" style="166" customWidth="1"/>
    <col min="2" max="2" width="8.1796875" style="479" customWidth="1"/>
    <col min="3" max="3" width="8.81640625" style="479" customWidth="1"/>
    <col min="4" max="4" width="5.54296875" style="479" customWidth="1"/>
    <col min="5" max="5" width="6.453125" style="479" customWidth="1"/>
    <col min="6" max="6" width="4.54296875" style="479" customWidth="1"/>
    <col min="7" max="7" width="5.81640625" style="479" customWidth="1"/>
    <col min="8" max="8" width="8.453125" style="479" customWidth="1"/>
    <col min="9" max="9" width="7.90625" style="479" customWidth="1"/>
    <col min="10" max="10" width="39.7265625" style="166" customWidth="1"/>
    <col min="11" max="11" width="24.36328125" style="166" hidden="1" customWidth="1"/>
    <col min="12" max="12" width="21.1796875" style="166" hidden="1" customWidth="1"/>
    <col min="13" max="13" width="23.6328125" style="166" hidden="1" customWidth="1"/>
    <col min="14" max="14" width="28.54296875" style="166" customWidth="1"/>
    <col min="15" max="15" width="27.08984375" style="166" customWidth="1"/>
    <col min="16" max="16" width="26.453125" style="166" customWidth="1"/>
    <col min="17" max="17" width="29.90625" style="166" customWidth="1"/>
    <col min="18" max="18" width="29.453125" style="166" customWidth="1"/>
    <col min="19" max="19" width="24.26953125" style="166" customWidth="1"/>
    <col min="20" max="20" width="24.36328125" style="166" customWidth="1"/>
    <col min="21" max="21" width="21.1796875" style="166" customWidth="1"/>
    <col min="22" max="22" width="23.26953125" style="166" customWidth="1"/>
    <col min="23" max="23" width="26.453125" style="166" customWidth="1"/>
    <col min="24" max="24" width="28.453125" style="166" customWidth="1"/>
    <col min="25" max="25" width="21.453125" style="202" customWidth="1"/>
    <col min="26" max="26" width="23.36328125" style="166" customWidth="1"/>
    <col min="27" max="27" width="28.453125" style="166" customWidth="1"/>
    <col min="28" max="28" width="29.54296875" style="166" customWidth="1"/>
    <col min="29" max="29" width="30.08984375" style="166" customWidth="1"/>
    <col min="30" max="30" width="27.81640625" style="166" hidden="1" customWidth="1"/>
    <col min="31" max="31" width="29.1796875" style="166" customWidth="1"/>
    <col min="32" max="32" width="27.90625" style="166" customWidth="1"/>
    <col min="33" max="33" width="28.81640625" style="166" customWidth="1"/>
    <col min="34" max="34" width="28.90625" style="209" customWidth="1"/>
    <col min="35" max="35" width="18.1796875" style="277" hidden="1" customWidth="1"/>
    <col min="36" max="36" width="16.7265625" style="166" hidden="1" customWidth="1"/>
    <col min="37" max="37" width="66.7265625" style="138" hidden="1" customWidth="1"/>
    <col min="38" max="38" width="0.54296875" style="166" hidden="1" customWidth="1"/>
    <col min="39" max="39" width="25" style="277" hidden="1" customWidth="1"/>
    <col min="40" max="40" width="2.08984375" style="181" customWidth="1"/>
    <col min="41" max="41" width="2.26953125" style="166" customWidth="1"/>
    <col min="42" max="42" width="2.54296875" style="166" customWidth="1"/>
    <col min="43" max="43" width="30.453125" style="847" customWidth="1"/>
    <col min="44" max="44" width="32.08984375" style="847" customWidth="1"/>
    <col min="45" max="45" width="34.08984375" style="278" customWidth="1"/>
    <col min="46" max="47" width="31.36328125" style="166" customWidth="1"/>
    <col min="48" max="48" width="22.1796875" style="279" customWidth="1"/>
    <col min="49" max="49" width="25.08984375" style="166" customWidth="1"/>
    <col min="50" max="50" width="18.26953125" style="166" customWidth="1"/>
    <col min="51" max="257" width="7.90625" style="166"/>
    <col min="258" max="258" width="2.6328125" style="166" customWidth="1"/>
    <col min="259" max="259" width="5.90625" style="166" customWidth="1"/>
    <col min="260" max="260" width="5.54296875" style="166" customWidth="1"/>
    <col min="261" max="264" width="2.6328125" style="166" customWidth="1"/>
    <col min="265" max="265" width="8.453125" style="166" customWidth="1"/>
    <col min="266" max="266" width="2.6328125" style="166" customWidth="1"/>
    <col min="267" max="267" width="31.26953125" style="166" customWidth="1"/>
    <col min="268" max="270" width="0" style="166" hidden="1" customWidth="1"/>
    <col min="271" max="271" width="24.26953125" style="166" customWidth="1"/>
    <col min="272" max="272" width="17.7265625" style="166" customWidth="1"/>
    <col min="273" max="273" width="19.7265625" style="166" customWidth="1"/>
    <col min="274" max="274" width="20.81640625" style="166" customWidth="1"/>
    <col min="275" max="275" width="16.08984375" style="166" customWidth="1"/>
    <col min="276" max="276" width="16.7265625" style="166" customWidth="1"/>
    <col min="277" max="277" width="15.7265625" style="166" customWidth="1"/>
    <col min="278" max="278" width="18.36328125" style="166" customWidth="1"/>
    <col min="279" max="279" width="19.81640625" style="166" customWidth="1"/>
    <col min="280" max="280" width="23.26953125" style="166" customWidth="1"/>
    <col min="281" max="281" width="19.81640625" style="166" customWidth="1"/>
    <col min="282" max="282" width="17.08984375" style="166" customWidth="1"/>
    <col min="283" max="284" width="24.81640625" style="166" customWidth="1"/>
    <col min="285" max="285" width="21.6328125" style="166" customWidth="1"/>
    <col min="286" max="286" width="0" style="166" hidden="1" customWidth="1"/>
    <col min="287" max="287" width="24.08984375" style="166" customWidth="1"/>
    <col min="288" max="288" width="21.1796875" style="166" customWidth="1"/>
    <col min="289" max="289" width="23.81640625" style="166" customWidth="1"/>
    <col min="290" max="290" width="21.453125" style="166" customWidth="1"/>
    <col min="291" max="291" width="15.36328125" style="166" customWidth="1"/>
    <col min="292" max="295" width="0" style="166" hidden="1" customWidth="1"/>
    <col min="296" max="296" width="2.08984375" style="166" customWidth="1"/>
    <col min="297" max="297" width="18.36328125" style="166" customWidth="1"/>
    <col min="298" max="298" width="20.26953125" style="166" customWidth="1"/>
    <col min="299" max="299" width="22.26953125" style="166" customWidth="1"/>
    <col min="300" max="300" width="23.81640625" style="166" customWidth="1"/>
    <col min="301" max="301" width="20.81640625" style="166" customWidth="1"/>
    <col min="302" max="302" width="9.36328125" style="166" customWidth="1"/>
    <col min="303" max="303" width="26.90625" style="166" customWidth="1"/>
    <col min="304" max="304" width="16.08984375" style="166" customWidth="1"/>
    <col min="305" max="513" width="7.90625" style="166"/>
    <col min="514" max="514" width="2.6328125" style="166" customWidth="1"/>
    <col min="515" max="515" width="5.90625" style="166" customWidth="1"/>
    <col min="516" max="516" width="5.54296875" style="166" customWidth="1"/>
    <col min="517" max="520" width="2.6328125" style="166" customWidth="1"/>
    <col min="521" max="521" width="8.453125" style="166" customWidth="1"/>
    <col min="522" max="522" width="2.6328125" style="166" customWidth="1"/>
    <col min="523" max="523" width="31.26953125" style="166" customWidth="1"/>
    <col min="524" max="526" width="0" style="166" hidden="1" customWidth="1"/>
    <col min="527" max="527" width="24.26953125" style="166" customWidth="1"/>
    <col min="528" max="528" width="17.7265625" style="166" customWidth="1"/>
    <col min="529" max="529" width="19.7265625" style="166" customWidth="1"/>
    <col min="530" max="530" width="20.81640625" style="166" customWidth="1"/>
    <col min="531" max="531" width="16.08984375" style="166" customWidth="1"/>
    <col min="532" max="532" width="16.7265625" style="166" customWidth="1"/>
    <col min="533" max="533" width="15.7265625" style="166" customWidth="1"/>
    <col min="534" max="534" width="18.36328125" style="166" customWidth="1"/>
    <col min="535" max="535" width="19.81640625" style="166" customWidth="1"/>
    <col min="536" max="536" width="23.26953125" style="166" customWidth="1"/>
    <col min="537" max="537" width="19.81640625" style="166" customWidth="1"/>
    <col min="538" max="538" width="17.08984375" style="166" customWidth="1"/>
    <col min="539" max="540" width="24.81640625" style="166" customWidth="1"/>
    <col min="541" max="541" width="21.6328125" style="166" customWidth="1"/>
    <col min="542" max="542" width="0" style="166" hidden="1" customWidth="1"/>
    <col min="543" max="543" width="24.08984375" style="166" customWidth="1"/>
    <col min="544" max="544" width="21.1796875" style="166" customWidth="1"/>
    <col min="545" max="545" width="23.81640625" style="166" customWidth="1"/>
    <col min="546" max="546" width="21.453125" style="166" customWidth="1"/>
    <col min="547" max="547" width="15.36328125" style="166" customWidth="1"/>
    <col min="548" max="551" width="0" style="166" hidden="1" customWidth="1"/>
    <col min="552" max="552" width="2.08984375" style="166" customWidth="1"/>
    <col min="553" max="553" width="18.36328125" style="166" customWidth="1"/>
    <col min="554" max="554" width="20.26953125" style="166" customWidth="1"/>
    <col min="555" max="555" width="22.26953125" style="166" customWidth="1"/>
    <col min="556" max="556" width="23.81640625" style="166" customWidth="1"/>
    <col min="557" max="557" width="20.81640625" style="166" customWidth="1"/>
    <col min="558" max="558" width="9.36328125" style="166" customWidth="1"/>
    <col min="559" max="559" width="26.90625" style="166" customWidth="1"/>
    <col min="560" max="560" width="16.08984375" style="166" customWidth="1"/>
    <col min="561" max="769" width="7.90625" style="166"/>
    <col min="770" max="770" width="2.6328125" style="166" customWidth="1"/>
    <col min="771" max="771" width="5.90625" style="166" customWidth="1"/>
    <col min="772" max="772" width="5.54296875" style="166" customWidth="1"/>
    <col min="773" max="776" width="2.6328125" style="166" customWidth="1"/>
    <col min="777" max="777" width="8.453125" style="166" customWidth="1"/>
    <col min="778" max="778" width="2.6328125" style="166" customWidth="1"/>
    <col min="779" max="779" width="31.26953125" style="166" customWidth="1"/>
    <col min="780" max="782" width="0" style="166" hidden="1" customWidth="1"/>
    <col min="783" max="783" width="24.26953125" style="166" customWidth="1"/>
    <col min="784" max="784" width="17.7265625" style="166" customWidth="1"/>
    <col min="785" max="785" width="19.7265625" style="166" customWidth="1"/>
    <col min="786" max="786" width="20.81640625" style="166" customWidth="1"/>
    <col min="787" max="787" width="16.08984375" style="166" customWidth="1"/>
    <col min="788" max="788" width="16.7265625" style="166" customWidth="1"/>
    <col min="789" max="789" width="15.7265625" style="166" customWidth="1"/>
    <col min="790" max="790" width="18.36328125" style="166" customWidth="1"/>
    <col min="791" max="791" width="19.81640625" style="166" customWidth="1"/>
    <col min="792" max="792" width="23.26953125" style="166" customWidth="1"/>
    <col min="793" max="793" width="19.81640625" style="166" customWidth="1"/>
    <col min="794" max="794" width="17.08984375" style="166" customWidth="1"/>
    <col min="795" max="796" width="24.81640625" style="166" customWidth="1"/>
    <col min="797" max="797" width="21.6328125" style="166" customWidth="1"/>
    <col min="798" max="798" width="0" style="166" hidden="1" customWidth="1"/>
    <col min="799" max="799" width="24.08984375" style="166" customWidth="1"/>
    <col min="800" max="800" width="21.1796875" style="166" customWidth="1"/>
    <col min="801" max="801" width="23.81640625" style="166" customWidth="1"/>
    <col min="802" max="802" width="21.453125" style="166" customWidth="1"/>
    <col min="803" max="803" width="15.36328125" style="166" customWidth="1"/>
    <col min="804" max="807" width="0" style="166" hidden="1" customWidth="1"/>
    <col min="808" max="808" width="2.08984375" style="166" customWidth="1"/>
    <col min="809" max="809" width="18.36328125" style="166" customWidth="1"/>
    <col min="810" max="810" width="20.26953125" style="166" customWidth="1"/>
    <col min="811" max="811" width="22.26953125" style="166" customWidth="1"/>
    <col min="812" max="812" width="23.81640625" style="166" customWidth="1"/>
    <col min="813" max="813" width="20.81640625" style="166" customWidth="1"/>
    <col min="814" max="814" width="9.36328125" style="166" customWidth="1"/>
    <col min="815" max="815" width="26.90625" style="166" customWidth="1"/>
    <col min="816" max="816" width="16.08984375" style="166" customWidth="1"/>
    <col min="817" max="1025" width="7.90625" style="166"/>
    <col min="1026" max="1026" width="2.6328125" style="166" customWidth="1"/>
    <col min="1027" max="1027" width="5.90625" style="166" customWidth="1"/>
    <col min="1028" max="1028" width="5.54296875" style="166" customWidth="1"/>
    <col min="1029" max="1032" width="2.6328125" style="166" customWidth="1"/>
    <col min="1033" max="1033" width="8.453125" style="166" customWidth="1"/>
    <col min="1034" max="1034" width="2.6328125" style="166" customWidth="1"/>
    <col min="1035" max="1035" width="31.26953125" style="166" customWidth="1"/>
    <col min="1036" max="1038" width="0" style="166" hidden="1" customWidth="1"/>
    <col min="1039" max="1039" width="24.26953125" style="166" customWidth="1"/>
    <col min="1040" max="1040" width="17.7265625" style="166" customWidth="1"/>
    <col min="1041" max="1041" width="19.7265625" style="166" customWidth="1"/>
    <col min="1042" max="1042" width="20.81640625" style="166" customWidth="1"/>
    <col min="1043" max="1043" width="16.08984375" style="166" customWidth="1"/>
    <col min="1044" max="1044" width="16.7265625" style="166" customWidth="1"/>
    <col min="1045" max="1045" width="15.7265625" style="166" customWidth="1"/>
    <col min="1046" max="1046" width="18.36328125" style="166" customWidth="1"/>
    <col min="1047" max="1047" width="19.81640625" style="166" customWidth="1"/>
    <col min="1048" max="1048" width="23.26953125" style="166" customWidth="1"/>
    <col min="1049" max="1049" width="19.81640625" style="166" customWidth="1"/>
    <col min="1050" max="1050" width="17.08984375" style="166" customWidth="1"/>
    <col min="1051" max="1052" width="24.81640625" style="166" customWidth="1"/>
    <col min="1053" max="1053" width="21.6328125" style="166" customWidth="1"/>
    <col min="1054" max="1054" width="0" style="166" hidden="1" customWidth="1"/>
    <col min="1055" max="1055" width="24.08984375" style="166" customWidth="1"/>
    <col min="1056" max="1056" width="21.1796875" style="166" customWidth="1"/>
    <col min="1057" max="1057" width="23.81640625" style="166" customWidth="1"/>
    <col min="1058" max="1058" width="21.453125" style="166" customWidth="1"/>
    <col min="1059" max="1059" width="15.36328125" style="166" customWidth="1"/>
    <col min="1060" max="1063" width="0" style="166" hidden="1" customWidth="1"/>
    <col min="1064" max="1064" width="2.08984375" style="166" customWidth="1"/>
    <col min="1065" max="1065" width="18.36328125" style="166" customWidth="1"/>
    <col min="1066" max="1066" width="20.26953125" style="166" customWidth="1"/>
    <col min="1067" max="1067" width="22.26953125" style="166" customWidth="1"/>
    <col min="1068" max="1068" width="23.81640625" style="166" customWidth="1"/>
    <col min="1069" max="1069" width="20.81640625" style="166" customWidth="1"/>
    <col min="1070" max="1070" width="9.36328125" style="166" customWidth="1"/>
    <col min="1071" max="1071" width="26.90625" style="166" customWidth="1"/>
    <col min="1072" max="1072" width="16.08984375" style="166" customWidth="1"/>
    <col min="1073" max="1281" width="7.90625" style="166"/>
    <col min="1282" max="1282" width="2.6328125" style="166" customWidth="1"/>
    <col min="1283" max="1283" width="5.90625" style="166" customWidth="1"/>
    <col min="1284" max="1284" width="5.54296875" style="166" customWidth="1"/>
    <col min="1285" max="1288" width="2.6328125" style="166" customWidth="1"/>
    <col min="1289" max="1289" width="8.453125" style="166" customWidth="1"/>
    <col min="1290" max="1290" width="2.6328125" style="166" customWidth="1"/>
    <col min="1291" max="1291" width="31.26953125" style="166" customWidth="1"/>
    <col min="1292" max="1294" width="0" style="166" hidden="1" customWidth="1"/>
    <col min="1295" max="1295" width="24.26953125" style="166" customWidth="1"/>
    <col min="1296" max="1296" width="17.7265625" style="166" customWidth="1"/>
    <col min="1297" max="1297" width="19.7265625" style="166" customWidth="1"/>
    <col min="1298" max="1298" width="20.81640625" style="166" customWidth="1"/>
    <col min="1299" max="1299" width="16.08984375" style="166" customWidth="1"/>
    <col min="1300" max="1300" width="16.7265625" style="166" customWidth="1"/>
    <col min="1301" max="1301" width="15.7265625" style="166" customWidth="1"/>
    <col min="1302" max="1302" width="18.36328125" style="166" customWidth="1"/>
    <col min="1303" max="1303" width="19.81640625" style="166" customWidth="1"/>
    <col min="1304" max="1304" width="23.26953125" style="166" customWidth="1"/>
    <col min="1305" max="1305" width="19.81640625" style="166" customWidth="1"/>
    <col min="1306" max="1306" width="17.08984375" style="166" customWidth="1"/>
    <col min="1307" max="1308" width="24.81640625" style="166" customWidth="1"/>
    <col min="1309" max="1309" width="21.6328125" style="166" customWidth="1"/>
    <col min="1310" max="1310" width="0" style="166" hidden="1" customWidth="1"/>
    <col min="1311" max="1311" width="24.08984375" style="166" customWidth="1"/>
    <col min="1312" max="1312" width="21.1796875" style="166" customWidth="1"/>
    <col min="1313" max="1313" width="23.81640625" style="166" customWidth="1"/>
    <col min="1314" max="1314" width="21.453125" style="166" customWidth="1"/>
    <col min="1315" max="1315" width="15.36328125" style="166" customWidth="1"/>
    <col min="1316" max="1319" width="0" style="166" hidden="1" customWidth="1"/>
    <col min="1320" max="1320" width="2.08984375" style="166" customWidth="1"/>
    <col min="1321" max="1321" width="18.36328125" style="166" customWidth="1"/>
    <col min="1322" max="1322" width="20.26953125" style="166" customWidth="1"/>
    <col min="1323" max="1323" width="22.26953125" style="166" customWidth="1"/>
    <col min="1324" max="1324" width="23.81640625" style="166" customWidth="1"/>
    <col min="1325" max="1325" width="20.81640625" style="166" customWidth="1"/>
    <col min="1326" max="1326" width="9.36328125" style="166" customWidth="1"/>
    <col min="1327" max="1327" width="26.90625" style="166" customWidth="1"/>
    <col min="1328" max="1328" width="16.08984375" style="166" customWidth="1"/>
    <col min="1329" max="1537" width="7.90625" style="166"/>
    <col min="1538" max="1538" width="2.6328125" style="166" customWidth="1"/>
    <col min="1539" max="1539" width="5.90625" style="166" customWidth="1"/>
    <col min="1540" max="1540" width="5.54296875" style="166" customWidth="1"/>
    <col min="1541" max="1544" width="2.6328125" style="166" customWidth="1"/>
    <col min="1545" max="1545" width="8.453125" style="166" customWidth="1"/>
    <col min="1546" max="1546" width="2.6328125" style="166" customWidth="1"/>
    <col min="1547" max="1547" width="31.26953125" style="166" customWidth="1"/>
    <col min="1548" max="1550" width="0" style="166" hidden="1" customWidth="1"/>
    <col min="1551" max="1551" width="24.26953125" style="166" customWidth="1"/>
    <col min="1552" max="1552" width="17.7265625" style="166" customWidth="1"/>
    <col min="1553" max="1553" width="19.7265625" style="166" customWidth="1"/>
    <col min="1554" max="1554" width="20.81640625" style="166" customWidth="1"/>
    <col min="1555" max="1555" width="16.08984375" style="166" customWidth="1"/>
    <col min="1556" max="1556" width="16.7265625" style="166" customWidth="1"/>
    <col min="1557" max="1557" width="15.7265625" style="166" customWidth="1"/>
    <col min="1558" max="1558" width="18.36328125" style="166" customWidth="1"/>
    <col min="1559" max="1559" width="19.81640625" style="166" customWidth="1"/>
    <col min="1560" max="1560" width="23.26953125" style="166" customWidth="1"/>
    <col min="1561" max="1561" width="19.81640625" style="166" customWidth="1"/>
    <col min="1562" max="1562" width="17.08984375" style="166" customWidth="1"/>
    <col min="1563" max="1564" width="24.81640625" style="166" customWidth="1"/>
    <col min="1565" max="1565" width="21.6328125" style="166" customWidth="1"/>
    <col min="1566" max="1566" width="0" style="166" hidden="1" customWidth="1"/>
    <col min="1567" max="1567" width="24.08984375" style="166" customWidth="1"/>
    <col min="1568" max="1568" width="21.1796875" style="166" customWidth="1"/>
    <col min="1569" max="1569" width="23.81640625" style="166" customWidth="1"/>
    <col min="1570" max="1570" width="21.453125" style="166" customWidth="1"/>
    <col min="1571" max="1571" width="15.36328125" style="166" customWidth="1"/>
    <col min="1572" max="1575" width="0" style="166" hidden="1" customWidth="1"/>
    <col min="1576" max="1576" width="2.08984375" style="166" customWidth="1"/>
    <col min="1577" max="1577" width="18.36328125" style="166" customWidth="1"/>
    <col min="1578" max="1578" width="20.26953125" style="166" customWidth="1"/>
    <col min="1579" max="1579" width="22.26953125" style="166" customWidth="1"/>
    <col min="1580" max="1580" width="23.81640625" style="166" customWidth="1"/>
    <col min="1581" max="1581" width="20.81640625" style="166" customWidth="1"/>
    <col min="1582" max="1582" width="9.36328125" style="166" customWidth="1"/>
    <col min="1583" max="1583" width="26.90625" style="166" customWidth="1"/>
    <col min="1584" max="1584" width="16.08984375" style="166" customWidth="1"/>
    <col min="1585" max="1793" width="7.90625" style="166"/>
    <col min="1794" max="1794" width="2.6328125" style="166" customWidth="1"/>
    <col min="1795" max="1795" width="5.90625" style="166" customWidth="1"/>
    <col min="1796" max="1796" width="5.54296875" style="166" customWidth="1"/>
    <col min="1797" max="1800" width="2.6328125" style="166" customWidth="1"/>
    <col min="1801" max="1801" width="8.453125" style="166" customWidth="1"/>
    <col min="1802" max="1802" width="2.6328125" style="166" customWidth="1"/>
    <col min="1803" max="1803" width="31.26953125" style="166" customWidth="1"/>
    <col min="1804" max="1806" width="0" style="166" hidden="1" customWidth="1"/>
    <col min="1807" max="1807" width="24.26953125" style="166" customWidth="1"/>
    <col min="1808" max="1808" width="17.7265625" style="166" customWidth="1"/>
    <col min="1809" max="1809" width="19.7265625" style="166" customWidth="1"/>
    <col min="1810" max="1810" width="20.81640625" style="166" customWidth="1"/>
    <col min="1811" max="1811" width="16.08984375" style="166" customWidth="1"/>
    <col min="1812" max="1812" width="16.7265625" style="166" customWidth="1"/>
    <col min="1813" max="1813" width="15.7265625" style="166" customWidth="1"/>
    <col min="1814" max="1814" width="18.36328125" style="166" customWidth="1"/>
    <col min="1815" max="1815" width="19.81640625" style="166" customWidth="1"/>
    <col min="1816" max="1816" width="23.26953125" style="166" customWidth="1"/>
    <col min="1817" max="1817" width="19.81640625" style="166" customWidth="1"/>
    <col min="1818" max="1818" width="17.08984375" style="166" customWidth="1"/>
    <col min="1819" max="1820" width="24.81640625" style="166" customWidth="1"/>
    <col min="1821" max="1821" width="21.6328125" style="166" customWidth="1"/>
    <col min="1822" max="1822" width="0" style="166" hidden="1" customWidth="1"/>
    <col min="1823" max="1823" width="24.08984375" style="166" customWidth="1"/>
    <col min="1824" max="1824" width="21.1796875" style="166" customWidth="1"/>
    <col min="1825" max="1825" width="23.81640625" style="166" customWidth="1"/>
    <col min="1826" max="1826" width="21.453125" style="166" customWidth="1"/>
    <col min="1827" max="1827" width="15.36328125" style="166" customWidth="1"/>
    <col min="1828" max="1831" width="0" style="166" hidden="1" customWidth="1"/>
    <col min="1832" max="1832" width="2.08984375" style="166" customWidth="1"/>
    <col min="1833" max="1833" width="18.36328125" style="166" customWidth="1"/>
    <col min="1834" max="1834" width="20.26953125" style="166" customWidth="1"/>
    <col min="1835" max="1835" width="22.26953125" style="166" customWidth="1"/>
    <col min="1836" max="1836" width="23.81640625" style="166" customWidth="1"/>
    <col min="1837" max="1837" width="20.81640625" style="166" customWidth="1"/>
    <col min="1838" max="1838" width="9.36328125" style="166" customWidth="1"/>
    <col min="1839" max="1839" width="26.90625" style="166" customWidth="1"/>
    <col min="1840" max="1840" width="16.08984375" style="166" customWidth="1"/>
    <col min="1841" max="2049" width="7.90625" style="166"/>
    <col min="2050" max="2050" width="2.6328125" style="166" customWidth="1"/>
    <col min="2051" max="2051" width="5.90625" style="166" customWidth="1"/>
    <col min="2052" max="2052" width="5.54296875" style="166" customWidth="1"/>
    <col min="2053" max="2056" width="2.6328125" style="166" customWidth="1"/>
    <col min="2057" max="2057" width="8.453125" style="166" customWidth="1"/>
    <col min="2058" max="2058" width="2.6328125" style="166" customWidth="1"/>
    <col min="2059" max="2059" width="31.26953125" style="166" customWidth="1"/>
    <col min="2060" max="2062" width="0" style="166" hidden="1" customWidth="1"/>
    <col min="2063" max="2063" width="24.26953125" style="166" customWidth="1"/>
    <col min="2064" max="2064" width="17.7265625" style="166" customWidth="1"/>
    <col min="2065" max="2065" width="19.7265625" style="166" customWidth="1"/>
    <col min="2066" max="2066" width="20.81640625" style="166" customWidth="1"/>
    <col min="2067" max="2067" width="16.08984375" style="166" customWidth="1"/>
    <col min="2068" max="2068" width="16.7265625" style="166" customWidth="1"/>
    <col min="2069" max="2069" width="15.7265625" style="166" customWidth="1"/>
    <col min="2070" max="2070" width="18.36328125" style="166" customWidth="1"/>
    <col min="2071" max="2071" width="19.81640625" style="166" customWidth="1"/>
    <col min="2072" max="2072" width="23.26953125" style="166" customWidth="1"/>
    <col min="2073" max="2073" width="19.81640625" style="166" customWidth="1"/>
    <col min="2074" max="2074" width="17.08984375" style="166" customWidth="1"/>
    <col min="2075" max="2076" width="24.81640625" style="166" customWidth="1"/>
    <col min="2077" max="2077" width="21.6328125" style="166" customWidth="1"/>
    <col min="2078" max="2078" width="0" style="166" hidden="1" customWidth="1"/>
    <col min="2079" max="2079" width="24.08984375" style="166" customWidth="1"/>
    <col min="2080" max="2080" width="21.1796875" style="166" customWidth="1"/>
    <col min="2081" max="2081" width="23.81640625" style="166" customWidth="1"/>
    <col min="2082" max="2082" width="21.453125" style="166" customWidth="1"/>
    <col min="2083" max="2083" width="15.36328125" style="166" customWidth="1"/>
    <col min="2084" max="2087" width="0" style="166" hidden="1" customWidth="1"/>
    <col min="2088" max="2088" width="2.08984375" style="166" customWidth="1"/>
    <col min="2089" max="2089" width="18.36328125" style="166" customWidth="1"/>
    <col min="2090" max="2090" width="20.26953125" style="166" customWidth="1"/>
    <col min="2091" max="2091" width="22.26953125" style="166" customWidth="1"/>
    <col min="2092" max="2092" width="23.81640625" style="166" customWidth="1"/>
    <col min="2093" max="2093" width="20.81640625" style="166" customWidth="1"/>
    <col min="2094" max="2094" width="9.36328125" style="166" customWidth="1"/>
    <col min="2095" max="2095" width="26.90625" style="166" customWidth="1"/>
    <col min="2096" max="2096" width="16.08984375" style="166" customWidth="1"/>
    <col min="2097" max="2305" width="7.90625" style="166"/>
    <col min="2306" max="2306" width="2.6328125" style="166" customWidth="1"/>
    <col min="2307" max="2307" width="5.90625" style="166" customWidth="1"/>
    <col min="2308" max="2308" width="5.54296875" style="166" customWidth="1"/>
    <col min="2309" max="2312" width="2.6328125" style="166" customWidth="1"/>
    <col min="2313" max="2313" width="8.453125" style="166" customWidth="1"/>
    <col min="2314" max="2314" width="2.6328125" style="166" customWidth="1"/>
    <col min="2315" max="2315" width="31.26953125" style="166" customWidth="1"/>
    <col min="2316" max="2318" width="0" style="166" hidden="1" customWidth="1"/>
    <col min="2319" max="2319" width="24.26953125" style="166" customWidth="1"/>
    <col min="2320" max="2320" width="17.7265625" style="166" customWidth="1"/>
    <col min="2321" max="2321" width="19.7265625" style="166" customWidth="1"/>
    <col min="2322" max="2322" width="20.81640625" style="166" customWidth="1"/>
    <col min="2323" max="2323" width="16.08984375" style="166" customWidth="1"/>
    <col min="2324" max="2324" width="16.7265625" style="166" customWidth="1"/>
    <col min="2325" max="2325" width="15.7265625" style="166" customWidth="1"/>
    <col min="2326" max="2326" width="18.36328125" style="166" customWidth="1"/>
    <col min="2327" max="2327" width="19.81640625" style="166" customWidth="1"/>
    <col min="2328" max="2328" width="23.26953125" style="166" customWidth="1"/>
    <col min="2329" max="2329" width="19.81640625" style="166" customWidth="1"/>
    <col min="2330" max="2330" width="17.08984375" style="166" customWidth="1"/>
    <col min="2331" max="2332" width="24.81640625" style="166" customWidth="1"/>
    <col min="2333" max="2333" width="21.6328125" style="166" customWidth="1"/>
    <col min="2334" max="2334" width="0" style="166" hidden="1" customWidth="1"/>
    <col min="2335" max="2335" width="24.08984375" style="166" customWidth="1"/>
    <col min="2336" max="2336" width="21.1796875" style="166" customWidth="1"/>
    <col min="2337" max="2337" width="23.81640625" style="166" customWidth="1"/>
    <col min="2338" max="2338" width="21.453125" style="166" customWidth="1"/>
    <col min="2339" max="2339" width="15.36328125" style="166" customWidth="1"/>
    <col min="2340" max="2343" width="0" style="166" hidden="1" customWidth="1"/>
    <col min="2344" max="2344" width="2.08984375" style="166" customWidth="1"/>
    <col min="2345" max="2345" width="18.36328125" style="166" customWidth="1"/>
    <col min="2346" max="2346" width="20.26953125" style="166" customWidth="1"/>
    <col min="2347" max="2347" width="22.26953125" style="166" customWidth="1"/>
    <col min="2348" max="2348" width="23.81640625" style="166" customWidth="1"/>
    <col min="2349" max="2349" width="20.81640625" style="166" customWidth="1"/>
    <col min="2350" max="2350" width="9.36328125" style="166" customWidth="1"/>
    <col min="2351" max="2351" width="26.90625" style="166" customWidth="1"/>
    <col min="2352" max="2352" width="16.08984375" style="166" customWidth="1"/>
    <col min="2353" max="2561" width="7.90625" style="166"/>
    <col min="2562" max="2562" width="2.6328125" style="166" customWidth="1"/>
    <col min="2563" max="2563" width="5.90625" style="166" customWidth="1"/>
    <col min="2564" max="2564" width="5.54296875" style="166" customWidth="1"/>
    <col min="2565" max="2568" width="2.6328125" style="166" customWidth="1"/>
    <col min="2569" max="2569" width="8.453125" style="166" customWidth="1"/>
    <col min="2570" max="2570" width="2.6328125" style="166" customWidth="1"/>
    <col min="2571" max="2571" width="31.26953125" style="166" customWidth="1"/>
    <col min="2572" max="2574" width="0" style="166" hidden="1" customWidth="1"/>
    <col min="2575" max="2575" width="24.26953125" style="166" customWidth="1"/>
    <col min="2576" max="2576" width="17.7265625" style="166" customWidth="1"/>
    <col min="2577" max="2577" width="19.7265625" style="166" customWidth="1"/>
    <col min="2578" max="2578" width="20.81640625" style="166" customWidth="1"/>
    <col min="2579" max="2579" width="16.08984375" style="166" customWidth="1"/>
    <col min="2580" max="2580" width="16.7265625" style="166" customWidth="1"/>
    <col min="2581" max="2581" width="15.7265625" style="166" customWidth="1"/>
    <col min="2582" max="2582" width="18.36328125" style="166" customWidth="1"/>
    <col min="2583" max="2583" width="19.81640625" style="166" customWidth="1"/>
    <col min="2584" max="2584" width="23.26953125" style="166" customWidth="1"/>
    <col min="2585" max="2585" width="19.81640625" style="166" customWidth="1"/>
    <col min="2586" max="2586" width="17.08984375" style="166" customWidth="1"/>
    <col min="2587" max="2588" width="24.81640625" style="166" customWidth="1"/>
    <col min="2589" max="2589" width="21.6328125" style="166" customWidth="1"/>
    <col min="2590" max="2590" width="0" style="166" hidden="1" customWidth="1"/>
    <col min="2591" max="2591" width="24.08984375" style="166" customWidth="1"/>
    <col min="2592" max="2592" width="21.1796875" style="166" customWidth="1"/>
    <col min="2593" max="2593" width="23.81640625" style="166" customWidth="1"/>
    <col min="2594" max="2594" width="21.453125" style="166" customWidth="1"/>
    <col min="2595" max="2595" width="15.36328125" style="166" customWidth="1"/>
    <col min="2596" max="2599" width="0" style="166" hidden="1" customWidth="1"/>
    <col min="2600" max="2600" width="2.08984375" style="166" customWidth="1"/>
    <col min="2601" max="2601" width="18.36328125" style="166" customWidth="1"/>
    <col min="2602" max="2602" width="20.26953125" style="166" customWidth="1"/>
    <col min="2603" max="2603" width="22.26953125" style="166" customWidth="1"/>
    <col min="2604" max="2604" width="23.81640625" style="166" customWidth="1"/>
    <col min="2605" max="2605" width="20.81640625" style="166" customWidth="1"/>
    <col min="2606" max="2606" width="9.36328125" style="166" customWidth="1"/>
    <col min="2607" max="2607" width="26.90625" style="166" customWidth="1"/>
    <col min="2608" max="2608" width="16.08984375" style="166" customWidth="1"/>
    <col min="2609" max="2817" width="7.90625" style="166"/>
    <col min="2818" max="2818" width="2.6328125" style="166" customWidth="1"/>
    <col min="2819" max="2819" width="5.90625" style="166" customWidth="1"/>
    <col min="2820" max="2820" width="5.54296875" style="166" customWidth="1"/>
    <col min="2821" max="2824" width="2.6328125" style="166" customWidth="1"/>
    <col min="2825" max="2825" width="8.453125" style="166" customWidth="1"/>
    <col min="2826" max="2826" width="2.6328125" style="166" customWidth="1"/>
    <col min="2827" max="2827" width="31.26953125" style="166" customWidth="1"/>
    <col min="2828" max="2830" width="0" style="166" hidden="1" customWidth="1"/>
    <col min="2831" max="2831" width="24.26953125" style="166" customWidth="1"/>
    <col min="2832" max="2832" width="17.7265625" style="166" customWidth="1"/>
    <col min="2833" max="2833" width="19.7265625" style="166" customWidth="1"/>
    <col min="2834" max="2834" width="20.81640625" style="166" customWidth="1"/>
    <col min="2835" max="2835" width="16.08984375" style="166" customWidth="1"/>
    <col min="2836" max="2836" width="16.7265625" style="166" customWidth="1"/>
    <col min="2837" max="2837" width="15.7265625" style="166" customWidth="1"/>
    <col min="2838" max="2838" width="18.36328125" style="166" customWidth="1"/>
    <col min="2839" max="2839" width="19.81640625" style="166" customWidth="1"/>
    <col min="2840" max="2840" width="23.26953125" style="166" customWidth="1"/>
    <col min="2841" max="2841" width="19.81640625" style="166" customWidth="1"/>
    <col min="2842" max="2842" width="17.08984375" style="166" customWidth="1"/>
    <col min="2843" max="2844" width="24.81640625" style="166" customWidth="1"/>
    <col min="2845" max="2845" width="21.6328125" style="166" customWidth="1"/>
    <col min="2846" max="2846" width="0" style="166" hidden="1" customWidth="1"/>
    <col min="2847" max="2847" width="24.08984375" style="166" customWidth="1"/>
    <col min="2848" max="2848" width="21.1796875" style="166" customWidth="1"/>
    <col min="2849" max="2849" width="23.81640625" style="166" customWidth="1"/>
    <col min="2850" max="2850" width="21.453125" style="166" customWidth="1"/>
    <col min="2851" max="2851" width="15.36328125" style="166" customWidth="1"/>
    <col min="2852" max="2855" width="0" style="166" hidden="1" customWidth="1"/>
    <col min="2856" max="2856" width="2.08984375" style="166" customWidth="1"/>
    <col min="2857" max="2857" width="18.36328125" style="166" customWidth="1"/>
    <col min="2858" max="2858" width="20.26953125" style="166" customWidth="1"/>
    <col min="2859" max="2859" width="22.26953125" style="166" customWidth="1"/>
    <col min="2860" max="2860" width="23.81640625" style="166" customWidth="1"/>
    <col min="2861" max="2861" width="20.81640625" style="166" customWidth="1"/>
    <col min="2862" max="2862" width="9.36328125" style="166" customWidth="1"/>
    <col min="2863" max="2863" width="26.90625" style="166" customWidth="1"/>
    <col min="2864" max="2864" width="16.08984375" style="166" customWidth="1"/>
    <col min="2865" max="3073" width="7.90625" style="166"/>
    <col min="3074" max="3074" width="2.6328125" style="166" customWidth="1"/>
    <col min="3075" max="3075" width="5.90625" style="166" customWidth="1"/>
    <col min="3076" max="3076" width="5.54296875" style="166" customWidth="1"/>
    <col min="3077" max="3080" width="2.6328125" style="166" customWidth="1"/>
    <col min="3081" max="3081" width="8.453125" style="166" customWidth="1"/>
    <col min="3082" max="3082" width="2.6328125" style="166" customWidth="1"/>
    <col min="3083" max="3083" width="31.26953125" style="166" customWidth="1"/>
    <col min="3084" max="3086" width="0" style="166" hidden="1" customWidth="1"/>
    <col min="3087" max="3087" width="24.26953125" style="166" customWidth="1"/>
    <col min="3088" max="3088" width="17.7265625" style="166" customWidth="1"/>
    <col min="3089" max="3089" width="19.7265625" style="166" customWidth="1"/>
    <col min="3090" max="3090" width="20.81640625" style="166" customWidth="1"/>
    <col min="3091" max="3091" width="16.08984375" style="166" customWidth="1"/>
    <col min="3092" max="3092" width="16.7265625" style="166" customWidth="1"/>
    <col min="3093" max="3093" width="15.7265625" style="166" customWidth="1"/>
    <col min="3094" max="3094" width="18.36328125" style="166" customWidth="1"/>
    <col min="3095" max="3095" width="19.81640625" style="166" customWidth="1"/>
    <col min="3096" max="3096" width="23.26953125" style="166" customWidth="1"/>
    <col min="3097" max="3097" width="19.81640625" style="166" customWidth="1"/>
    <col min="3098" max="3098" width="17.08984375" style="166" customWidth="1"/>
    <col min="3099" max="3100" width="24.81640625" style="166" customWidth="1"/>
    <col min="3101" max="3101" width="21.6328125" style="166" customWidth="1"/>
    <col min="3102" max="3102" width="0" style="166" hidden="1" customWidth="1"/>
    <col min="3103" max="3103" width="24.08984375" style="166" customWidth="1"/>
    <col min="3104" max="3104" width="21.1796875" style="166" customWidth="1"/>
    <col min="3105" max="3105" width="23.81640625" style="166" customWidth="1"/>
    <col min="3106" max="3106" width="21.453125" style="166" customWidth="1"/>
    <col min="3107" max="3107" width="15.36328125" style="166" customWidth="1"/>
    <col min="3108" max="3111" width="0" style="166" hidden="1" customWidth="1"/>
    <col min="3112" max="3112" width="2.08984375" style="166" customWidth="1"/>
    <col min="3113" max="3113" width="18.36328125" style="166" customWidth="1"/>
    <col min="3114" max="3114" width="20.26953125" style="166" customWidth="1"/>
    <col min="3115" max="3115" width="22.26953125" style="166" customWidth="1"/>
    <col min="3116" max="3116" width="23.81640625" style="166" customWidth="1"/>
    <col min="3117" max="3117" width="20.81640625" style="166" customWidth="1"/>
    <col min="3118" max="3118" width="9.36328125" style="166" customWidth="1"/>
    <col min="3119" max="3119" width="26.90625" style="166" customWidth="1"/>
    <col min="3120" max="3120" width="16.08984375" style="166" customWidth="1"/>
    <col min="3121" max="3329" width="7.90625" style="166"/>
    <col min="3330" max="3330" width="2.6328125" style="166" customWidth="1"/>
    <col min="3331" max="3331" width="5.90625" style="166" customWidth="1"/>
    <col min="3332" max="3332" width="5.54296875" style="166" customWidth="1"/>
    <col min="3333" max="3336" width="2.6328125" style="166" customWidth="1"/>
    <col min="3337" max="3337" width="8.453125" style="166" customWidth="1"/>
    <col min="3338" max="3338" width="2.6328125" style="166" customWidth="1"/>
    <col min="3339" max="3339" width="31.26953125" style="166" customWidth="1"/>
    <col min="3340" max="3342" width="0" style="166" hidden="1" customWidth="1"/>
    <col min="3343" max="3343" width="24.26953125" style="166" customWidth="1"/>
    <col min="3344" max="3344" width="17.7265625" style="166" customWidth="1"/>
    <col min="3345" max="3345" width="19.7265625" style="166" customWidth="1"/>
    <col min="3346" max="3346" width="20.81640625" style="166" customWidth="1"/>
    <col min="3347" max="3347" width="16.08984375" style="166" customWidth="1"/>
    <col min="3348" max="3348" width="16.7265625" style="166" customWidth="1"/>
    <col min="3349" max="3349" width="15.7265625" style="166" customWidth="1"/>
    <col min="3350" max="3350" width="18.36328125" style="166" customWidth="1"/>
    <col min="3351" max="3351" width="19.81640625" style="166" customWidth="1"/>
    <col min="3352" max="3352" width="23.26953125" style="166" customWidth="1"/>
    <col min="3353" max="3353" width="19.81640625" style="166" customWidth="1"/>
    <col min="3354" max="3354" width="17.08984375" style="166" customWidth="1"/>
    <col min="3355" max="3356" width="24.81640625" style="166" customWidth="1"/>
    <col min="3357" max="3357" width="21.6328125" style="166" customWidth="1"/>
    <col min="3358" max="3358" width="0" style="166" hidden="1" customWidth="1"/>
    <col min="3359" max="3359" width="24.08984375" style="166" customWidth="1"/>
    <col min="3360" max="3360" width="21.1796875" style="166" customWidth="1"/>
    <col min="3361" max="3361" width="23.81640625" style="166" customWidth="1"/>
    <col min="3362" max="3362" width="21.453125" style="166" customWidth="1"/>
    <col min="3363" max="3363" width="15.36328125" style="166" customWidth="1"/>
    <col min="3364" max="3367" width="0" style="166" hidden="1" customWidth="1"/>
    <col min="3368" max="3368" width="2.08984375" style="166" customWidth="1"/>
    <col min="3369" max="3369" width="18.36328125" style="166" customWidth="1"/>
    <col min="3370" max="3370" width="20.26953125" style="166" customWidth="1"/>
    <col min="3371" max="3371" width="22.26953125" style="166" customWidth="1"/>
    <col min="3372" max="3372" width="23.81640625" style="166" customWidth="1"/>
    <col min="3373" max="3373" width="20.81640625" style="166" customWidth="1"/>
    <col min="3374" max="3374" width="9.36328125" style="166" customWidth="1"/>
    <col min="3375" max="3375" width="26.90625" style="166" customWidth="1"/>
    <col min="3376" max="3376" width="16.08984375" style="166" customWidth="1"/>
    <col min="3377" max="3585" width="7.90625" style="166"/>
    <col min="3586" max="3586" width="2.6328125" style="166" customWidth="1"/>
    <col min="3587" max="3587" width="5.90625" style="166" customWidth="1"/>
    <col min="3588" max="3588" width="5.54296875" style="166" customWidth="1"/>
    <col min="3589" max="3592" width="2.6328125" style="166" customWidth="1"/>
    <col min="3593" max="3593" width="8.453125" style="166" customWidth="1"/>
    <col min="3594" max="3594" width="2.6328125" style="166" customWidth="1"/>
    <col min="3595" max="3595" width="31.26953125" style="166" customWidth="1"/>
    <col min="3596" max="3598" width="0" style="166" hidden="1" customWidth="1"/>
    <col min="3599" max="3599" width="24.26953125" style="166" customWidth="1"/>
    <col min="3600" max="3600" width="17.7265625" style="166" customWidth="1"/>
    <col min="3601" max="3601" width="19.7265625" style="166" customWidth="1"/>
    <col min="3602" max="3602" width="20.81640625" style="166" customWidth="1"/>
    <col min="3603" max="3603" width="16.08984375" style="166" customWidth="1"/>
    <col min="3604" max="3604" width="16.7265625" style="166" customWidth="1"/>
    <col min="3605" max="3605" width="15.7265625" style="166" customWidth="1"/>
    <col min="3606" max="3606" width="18.36328125" style="166" customWidth="1"/>
    <col min="3607" max="3607" width="19.81640625" style="166" customWidth="1"/>
    <col min="3608" max="3608" width="23.26953125" style="166" customWidth="1"/>
    <col min="3609" max="3609" width="19.81640625" style="166" customWidth="1"/>
    <col min="3610" max="3610" width="17.08984375" style="166" customWidth="1"/>
    <col min="3611" max="3612" width="24.81640625" style="166" customWidth="1"/>
    <col min="3613" max="3613" width="21.6328125" style="166" customWidth="1"/>
    <col min="3614" max="3614" width="0" style="166" hidden="1" customWidth="1"/>
    <col min="3615" max="3615" width="24.08984375" style="166" customWidth="1"/>
    <col min="3616" max="3616" width="21.1796875" style="166" customWidth="1"/>
    <col min="3617" max="3617" width="23.81640625" style="166" customWidth="1"/>
    <col min="3618" max="3618" width="21.453125" style="166" customWidth="1"/>
    <col min="3619" max="3619" width="15.36328125" style="166" customWidth="1"/>
    <col min="3620" max="3623" width="0" style="166" hidden="1" customWidth="1"/>
    <col min="3624" max="3624" width="2.08984375" style="166" customWidth="1"/>
    <col min="3625" max="3625" width="18.36328125" style="166" customWidth="1"/>
    <col min="3626" max="3626" width="20.26953125" style="166" customWidth="1"/>
    <col min="3627" max="3627" width="22.26953125" style="166" customWidth="1"/>
    <col min="3628" max="3628" width="23.81640625" style="166" customWidth="1"/>
    <col min="3629" max="3629" width="20.81640625" style="166" customWidth="1"/>
    <col min="3630" max="3630" width="9.36328125" style="166" customWidth="1"/>
    <col min="3631" max="3631" width="26.90625" style="166" customWidth="1"/>
    <col min="3632" max="3632" width="16.08984375" style="166" customWidth="1"/>
    <col min="3633" max="3841" width="7.90625" style="166"/>
    <col min="3842" max="3842" width="2.6328125" style="166" customWidth="1"/>
    <col min="3843" max="3843" width="5.90625" style="166" customWidth="1"/>
    <col min="3844" max="3844" width="5.54296875" style="166" customWidth="1"/>
    <col min="3845" max="3848" width="2.6328125" style="166" customWidth="1"/>
    <col min="3849" max="3849" width="8.453125" style="166" customWidth="1"/>
    <col min="3850" max="3850" width="2.6328125" style="166" customWidth="1"/>
    <col min="3851" max="3851" width="31.26953125" style="166" customWidth="1"/>
    <col min="3852" max="3854" width="0" style="166" hidden="1" customWidth="1"/>
    <col min="3855" max="3855" width="24.26953125" style="166" customWidth="1"/>
    <col min="3856" max="3856" width="17.7265625" style="166" customWidth="1"/>
    <col min="3857" max="3857" width="19.7265625" style="166" customWidth="1"/>
    <col min="3858" max="3858" width="20.81640625" style="166" customWidth="1"/>
    <col min="3859" max="3859" width="16.08984375" style="166" customWidth="1"/>
    <col min="3860" max="3860" width="16.7265625" style="166" customWidth="1"/>
    <col min="3861" max="3861" width="15.7265625" style="166" customWidth="1"/>
    <col min="3862" max="3862" width="18.36328125" style="166" customWidth="1"/>
    <col min="3863" max="3863" width="19.81640625" style="166" customWidth="1"/>
    <col min="3864" max="3864" width="23.26953125" style="166" customWidth="1"/>
    <col min="3865" max="3865" width="19.81640625" style="166" customWidth="1"/>
    <col min="3866" max="3866" width="17.08984375" style="166" customWidth="1"/>
    <col min="3867" max="3868" width="24.81640625" style="166" customWidth="1"/>
    <col min="3869" max="3869" width="21.6328125" style="166" customWidth="1"/>
    <col min="3870" max="3870" width="0" style="166" hidden="1" customWidth="1"/>
    <col min="3871" max="3871" width="24.08984375" style="166" customWidth="1"/>
    <col min="3872" max="3872" width="21.1796875" style="166" customWidth="1"/>
    <col min="3873" max="3873" width="23.81640625" style="166" customWidth="1"/>
    <col min="3874" max="3874" width="21.453125" style="166" customWidth="1"/>
    <col min="3875" max="3875" width="15.36328125" style="166" customWidth="1"/>
    <col min="3876" max="3879" width="0" style="166" hidden="1" customWidth="1"/>
    <col min="3880" max="3880" width="2.08984375" style="166" customWidth="1"/>
    <col min="3881" max="3881" width="18.36328125" style="166" customWidth="1"/>
    <col min="3882" max="3882" width="20.26953125" style="166" customWidth="1"/>
    <col min="3883" max="3883" width="22.26953125" style="166" customWidth="1"/>
    <col min="3884" max="3884" width="23.81640625" style="166" customWidth="1"/>
    <col min="3885" max="3885" width="20.81640625" style="166" customWidth="1"/>
    <col min="3886" max="3886" width="9.36328125" style="166" customWidth="1"/>
    <col min="3887" max="3887" width="26.90625" style="166" customWidth="1"/>
    <col min="3888" max="3888" width="16.08984375" style="166" customWidth="1"/>
    <col min="3889" max="4097" width="7.90625" style="166"/>
    <col min="4098" max="4098" width="2.6328125" style="166" customWidth="1"/>
    <col min="4099" max="4099" width="5.90625" style="166" customWidth="1"/>
    <col min="4100" max="4100" width="5.54296875" style="166" customWidth="1"/>
    <col min="4101" max="4104" width="2.6328125" style="166" customWidth="1"/>
    <col min="4105" max="4105" width="8.453125" style="166" customWidth="1"/>
    <col min="4106" max="4106" width="2.6328125" style="166" customWidth="1"/>
    <col min="4107" max="4107" width="31.26953125" style="166" customWidth="1"/>
    <col min="4108" max="4110" width="0" style="166" hidden="1" customWidth="1"/>
    <col min="4111" max="4111" width="24.26953125" style="166" customWidth="1"/>
    <col min="4112" max="4112" width="17.7265625" style="166" customWidth="1"/>
    <col min="4113" max="4113" width="19.7265625" style="166" customWidth="1"/>
    <col min="4114" max="4114" width="20.81640625" style="166" customWidth="1"/>
    <col min="4115" max="4115" width="16.08984375" style="166" customWidth="1"/>
    <col min="4116" max="4116" width="16.7265625" style="166" customWidth="1"/>
    <col min="4117" max="4117" width="15.7265625" style="166" customWidth="1"/>
    <col min="4118" max="4118" width="18.36328125" style="166" customWidth="1"/>
    <col min="4119" max="4119" width="19.81640625" style="166" customWidth="1"/>
    <col min="4120" max="4120" width="23.26953125" style="166" customWidth="1"/>
    <col min="4121" max="4121" width="19.81640625" style="166" customWidth="1"/>
    <col min="4122" max="4122" width="17.08984375" style="166" customWidth="1"/>
    <col min="4123" max="4124" width="24.81640625" style="166" customWidth="1"/>
    <col min="4125" max="4125" width="21.6328125" style="166" customWidth="1"/>
    <col min="4126" max="4126" width="0" style="166" hidden="1" customWidth="1"/>
    <col min="4127" max="4127" width="24.08984375" style="166" customWidth="1"/>
    <col min="4128" max="4128" width="21.1796875" style="166" customWidth="1"/>
    <col min="4129" max="4129" width="23.81640625" style="166" customWidth="1"/>
    <col min="4130" max="4130" width="21.453125" style="166" customWidth="1"/>
    <col min="4131" max="4131" width="15.36328125" style="166" customWidth="1"/>
    <col min="4132" max="4135" width="0" style="166" hidden="1" customWidth="1"/>
    <col min="4136" max="4136" width="2.08984375" style="166" customWidth="1"/>
    <col min="4137" max="4137" width="18.36328125" style="166" customWidth="1"/>
    <col min="4138" max="4138" width="20.26953125" style="166" customWidth="1"/>
    <col min="4139" max="4139" width="22.26953125" style="166" customWidth="1"/>
    <col min="4140" max="4140" width="23.81640625" style="166" customWidth="1"/>
    <col min="4141" max="4141" width="20.81640625" style="166" customWidth="1"/>
    <col min="4142" max="4142" width="9.36328125" style="166" customWidth="1"/>
    <col min="4143" max="4143" width="26.90625" style="166" customWidth="1"/>
    <col min="4144" max="4144" width="16.08984375" style="166" customWidth="1"/>
    <col min="4145" max="4353" width="7.90625" style="166"/>
    <col min="4354" max="4354" width="2.6328125" style="166" customWidth="1"/>
    <col min="4355" max="4355" width="5.90625" style="166" customWidth="1"/>
    <col min="4356" max="4356" width="5.54296875" style="166" customWidth="1"/>
    <col min="4357" max="4360" width="2.6328125" style="166" customWidth="1"/>
    <col min="4361" max="4361" width="8.453125" style="166" customWidth="1"/>
    <col min="4362" max="4362" width="2.6328125" style="166" customWidth="1"/>
    <col min="4363" max="4363" width="31.26953125" style="166" customWidth="1"/>
    <col min="4364" max="4366" width="0" style="166" hidden="1" customWidth="1"/>
    <col min="4367" max="4367" width="24.26953125" style="166" customWidth="1"/>
    <col min="4368" max="4368" width="17.7265625" style="166" customWidth="1"/>
    <col min="4369" max="4369" width="19.7265625" style="166" customWidth="1"/>
    <col min="4370" max="4370" width="20.81640625" style="166" customWidth="1"/>
    <col min="4371" max="4371" width="16.08984375" style="166" customWidth="1"/>
    <col min="4372" max="4372" width="16.7265625" style="166" customWidth="1"/>
    <col min="4373" max="4373" width="15.7265625" style="166" customWidth="1"/>
    <col min="4374" max="4374" width="18.36328125" style="166" customWidth="1"/>
    <col min="4375" max="4375" width="19.81640625" style="166" customWidth="1"/>
    <col min="4376" max="4376" width="23.26953125" style="166" customWidth="1"/>
    <col min="4377" max="4377" width="19.81640625" style="166" customWidth="1"/>
    <col min="4378" max="4378" width="17.08984375" style="166" customWidth="1"/>
    <col min="4379" max="4380" width="24.81640625" style="166" customWidth="1"/>
    <col min="4381" max="4381" width="21.6328125" style="166" customWidth="1"/>
    <col min="4382" max="4382" width="0" style="166" hidden="1" customWidth="1"/>
    <col min="4383" max="4383" width="24.08984375" style="166" customWidth="1"/>
    <col min="4384" max="4384" width="21.1796875" style="166" customWidth="1"/>
    <col min="4385" max="4385" width="23.81640625" style="166" customWidth="1"/>
    <col min="4386" max="4386" width="21.453125" style="166" customWidth="1"/>
    <col min="4387" max="4387" width="15.36328125" style="166" customWidth="1"/>
    <col min="4388" max="4391" width="0" style="166" hidden="1" customWidth="1"/>
    <col min="4392" max="4392" width="2.08984375" style="166" customWidth="1"/>
    <col min="4393" max="4393" width="18.36328125" style="166" customWidth="1"/>
    <col min="4394" max="4394" width="20.26953125" style="166" customWidth="1"/>
    <col min="4395" max="4395" width="22.26953125" style="166" customWidth="1"/>
    <col min="4396" max="4396" width="23.81640625" style="166" customWidth="1"/>
    <col min="4397" max="4397" width="20.81640625" style="166" customWidth="1"/>
    <col min="4398" max="4398" width="9.36328125" style="166" customWidth="1"/>
    <col min="4399" max="4399" width="26.90625" style="166" customWidth="1"/>
    <col min="4400" max="4400" width="16.08984375" style="166" customWidth="1"/>
    <col min="4401" max="4609" width="7.90625" style="166"/>
    <col min="4610" max="4610" width="2.6328125" style="166" customWidth="1"/>
    <col min="4611" max="4611" width="5.90625" style="166" customWidth="1"/>
    <col min="4612" max="4612" width="5.54296875" style="166" customWidth="1"/>
    <col min="4613" max="4616" width="2.6328125" style="166" customWidth="1"/>
    <col min="4617" max="4617" width="8.453125" style="166" customWidth="1"/>
    <col min="4618" max="4618" width="2.6328125" style="166" customWidth="1"/>
    <col min="4619" max="4619" width="31.26953125" style="166" customWidth="1"/>
    <col min="4620" max="4622" width="0" style="166" hidden="1" customWidth="1"/>
    <col min="4623" max="4623" width="24.26953125" style="166" customWidth="1"/>
    <col min="4624" max="4624" width="17.7265625" style="166" customWidth="1"/>
    <col min="4625" max="4625" width="19.7265625" style="166" customWidth="1"/>
    <col min="4626" max="4626" width="20.81640625" style="166" customWidth="1"/>
    <col min="4627" max="4627" width="16.08984375" style="166" customWidth="1"/>
    <col min="4628" max="4628" width="16.7265625" style="166" customWidth="1"/>
    <col min="4629" max="4629" width="15.7265625" style="166" customWidth="1"/>
    <col min="4630" max="4630" width="18.36328125" style="166" customWidth="1"/>
    <col min="4631" max="4631" width="19.81640625" style="166" customWidth="1"/>
    <col min="4632" max="4632" width="23.26953125" style="166" customWidth="1"/>
    <col min="4633" max="4633" width="19.81640625" style="166" customWidth="1"/>
    <col min="4634" max="4634" width="17.08984375" style="166" customWidth="1"/>
    <col min="4635" max="4636" width="24.81640625" style="166" customWidth="1"/>
    <col min="4637" max="4637" width="21.6328125" style="166" customWidth="1"/>
    <col min="4638" max="4638" width="0" style="166" hidden="1" customWidth="1"/>
    <col min="4639" max="4639" width="24.08984375" style="166" customWidth="1"/>
    <col min="4640" max="4640" width="21.1796875" style="166" customWidth="1"/>
    <col min="4641" max="4641" width="23.81640625" style="166" customWidth="1"/>
    <col min="4642" max="4642" width="21.453125" style="166" customWidth="1"/>
    <col min="4643" max="4643" width="15.36328125" style="166" customWidth="1"/>
    <col min="4644" max="4647" width="0" style="166" hidden="1" customWidth="1"/>
    <col min="4648" max="4648" width="2.08984375" style="166" customWidth="1"/>
    <col min="4649" max="4649" width="18.36328125" style="166" customWidth="1"/>
    <col min="4650" max="4650" width="20.26953125" style="166" customWidth="1"/>
    <col min="4651" max="4651" width="22.26953125" style="166" customWidth="1"/>
    <col min="4652" max="4652" width="23.81640625" style="166" customWidth="1"/>
    <col min="4653" max="4653" width="20.81640625" style="166" customWidth="1"/>
    <col min="4654" max="4654" width="9.36328125" style="166" customWidth="1"/>
    <col min="4655" max="4655" width="26.90625" style="166" customWidth="1"/>
    <col min="4656" max="4656" width="16.08984375" style="166" customWidth="1"/>
    <col min="4657" max="4865" width="7.90625" style="166"/>
    <col min="4866" max="4866" width="2.6328125" style="166" customWidth="1"/>
    <col min="4867" max="4867" width="5.90625" style="166" customWidth="1"/>
    <col min="4868" max="4868" width="5.54296875" style="166" customWidth="1"/>
    <col min="4869" max="4872" width="2.6328125" style="166" customWidth="1"/>
    <col min="4873" max="4873" width="8.453125" style="166" customWidth="1"/>
    <col min="4874" max="4874" width="2.6328125" style="166" customWidth="1"/>
    <col min="4875" max="4875" width="31.26953125" style="166" customWidth="1"/>
    <col min="4876" max="4878" width="0" style="166" hidden="1" customWidth="1"/>
    <col min="4879" max="4879" width="24.26953125" style="166" customWidth="1"/>
    <col min="4880" max="4880" width="17.7265625" style="166" customWidth="1"/>
    <col min="4881" max="4881" width="19.7265625" style="166" customWidth="1"/>
    <col min="4882" max="4882" width="20.81640625" style="166" customWidth="1"/>
    <col min="4883" max="4883" width="16.08984375" style="166" customWidth="1"/>
    <col min="4884" max="4884" width="16.7265625" style="166" customWidth="1"/>
    <col min="4885" max="4885" width="15.7265625" style="166" customWidth="1"/>
    <col min="4886" max="4886" width="18.36328125" style="166" customWidth="1"/>
    <col min="4887" max="4887" width="19.81640625" style="166" customWidth="1"/>
    <col min="4888" max="4888" width="23.26953125" style="166" customWidth="1"/>
    <col min="4889" max="4889" width="19.81640625" style="166" customWidth="1"/>
    <col min="4890" max="4890" width="17.08984375" style="166" customWidth="1"/>
    <col min="4891" max="4892" width="24.81640625" style="166" customWidth="1"/>
    <col min="4893" max="4893" width="21.6328125" style="166" customWidth="1"/>
    <col min="4894" max="4894" width="0" style="166" hidden="1" customWidth="1"/>
    <col min="4895" max="4895" width="24.08984375" style="166" customWidth="1"/>
    <col min="4896" max="4896" width="21.1796875" style="166" customWidth="1"/>
    <col min="4897" max="4897" width="23.81640625" style="166" customWidth="1"/>
    <col min="4898" max="4898" width="21.453125" style="166" customWidth="1"/>
    <col min="4899" max="4899" width="15.36328125" style="166" customWidth="1"/>
    <col min="4900" max="4903" width="0" style="166" hidden="1" customWidth="1"/>
    <col min="4904" max="4904" width="2.08984375" style="166" customWidth="1"/>
    <col min="4905" max="4905" width="18.36328125" style="166" customWidth="1"/>
    <col min="4906" max="4906" width="20.26953125" style="166" customWidth="1"/>
    <col min="4907" max="4907" width="22.26953125" style="166" customWidth="1"/>
    <col min="4908" max="4908" width="23.81640625" style="166" customWidth="1"/>
    <col min="4909" max="4909" width="20.81640625" style="166" customWidth="1"/>
    <col min="4910" max="4910" width="9.36328125" style="166" customWidth="1"/>
    <col min="4911" max="4911" width="26.90625" style="166" customWidth="1"/>
    <col min="4912" max="4912" width="16.08984375" style="166" customWidth="1"/>
    <col min="4913" max="5121" width="7.90625" style="166"/>
    <col min="5122" max="5122" width="2.6328125" style="166" customWidth="1"/>
    <col min="5123" max="5123" width="5.90625" style="166" customWidth="1"/>
    <col min="5124" max="5124" width="5.54296875" style="166" customWidth="1"/>
    <col min="5125" max="5128" width="2.6328125" style="166" customWidth="1"/>
    <col min="5129" max="5129" width="8.453125" style="166" customWidth="1"/>
    <col min="5130" max="5130" width="2.6328125" style="166" customWidth="1"/>
    <col min="5131" max="5131" width="31.26953125" style="166" customWidth="1"/>
    <col min="5132" max="5134" width="0" style="166" hidden="1" customWidth="1"/>
    <col min="5135" max="5135" width="24.26953125" style="166" customWidth="1"/>
    <col min="5136" max="5136" width="17.7265625" style="166" customWidth="1"/>
    <col min="5137" max="5137" width="19.7265625" style="166" customWidth="1"/>
    <col min="5138" max="5138" width="20.81640625" style="166" customWidth="1"/>
    <col min="5139" max="5139" width="16.08984375" style="166" customWidth="1"/>
    <col min="5140" max="5140" width="16.7265625" style="166" customWidth="1"/>
    <col min="5141" max="5141" width="15.7265625" style="166" customWidth="1"/>
    <col min="5142" max="5142" width="18.36328125" style="166" customWidth="1"/>
    <col min="5143" max="5143" width="19.81640625" style="166" customWidth="1"/>
    <col min="5144" max="5144" width="23.26953125" style="166" customWidth="1"/>
    <col min="5145" max="5145" width="19.81640625" style="166" customWidth="1"/>
    <col min="5146" max="5146" width="17.08984375" style="166" customWidth="1"/>
    <col min="5147" max="5148" width="24.81640625" style="166" customWidth="1"/>
    <col min="5149" max="5149" width="21.6328125" style="166" customWidth="1"/>
    <col min="5150" max="5150" width="0" style="166" hidden="1" customWidth="1"/>
    <col min="5151" max="5151" width="24.08984375" style="166" customWidth="1"/>
    <col min="5152" max="5152" width="21.1796875" style="166" customWidth="1"/>
    <col min="5153" max="5153" width="23.81640625" style="166" customWidth="1"/>
    <col min="5154" max="5154" width="21.453125" style="166" customWidth="1"/>
    <col min="5155" max="5155" width="15.36328125" style="166" customWidth="1"/>
    <col min="5156" max="5159" width="0" style="166" hidden="1" customWidth="1"/>
    <col min="5160" max="5160" width="2.08984375" style="166" customWidth="1"/>
    <col min="5161" max="5161" width="18.36328125" style="166" customWidth="1"/>
    <col min="5162" max="5162" width="20.26953125" style="166" customWidth="1"/>
    <col min="5163" max="5163" width="22.26953125" style="166" customWidth="1"/>
    <col min="5164" max="5164" width="23.81640625" style="166" customWidth="1"/>
    <col min="5165" max="5165" width="20.81640625" style="166" customWidth="1"/>
    <col min="5166" max="5166" width="9.36328125" style="166" customWidth="1"/>
    <col min="5167" max="5167" width="26.90625" style="166" customWidth="1"/>
    <col min="5168" max="5168" width="16.08984375" style="166" customWidth="1"/>
    <col min="5169" max="5377" width="7.90625" style="166"/>
    <col min="5378" max="5378" width="2.6328125" style="166" customWidth="1"/>
    <col min="5379" max="5379" width="5.90625" style="166" customWidth="1"/>
    <col min="5380" max="5380" width="5.54296875" style="166" customWidth="1"/>
    <col min="5381" max="5384" width="2.6328125" style="166" customWidth="1"/>
    <col min="5385" max="5385" width="8.453125" style="166" customWidth="1"/>
    <col min="5386" max="5386" width="2.6328125" style="166" customWidth="1"/>
    <col min="5387" max="5387" width="31.26953125" style="166" customWidth="1"/>
    <col min="5388" max="5390" width="0" style="166" hidden="1" customWidth="1"/>
    <col min="5391" max="5391" width="24.26953125" style="166" customWidth="1"/>
    <col min="5392" max="5392" width="17.7265625" style="166" customWidth="1"/>
    <col min="5393" max="5393" width="19.7265625" style="166" customWidth="1"/>
    <col min="5394" max="5394" width="20.81640625" style="166" customWidth="1"/>
    <col min="5395" max="5395" width="16.08984375" style="166" customWidth="1"/>
    <col min="5396" max="5396" width="16.7265625" style="166" customWidth="1"/>
    <col min="5397" max="5397" width="15.7265625" style="166" customWidth="1"/>
    <col min="5398" max="5398" width="18.36328125" style="166" customWidth="1"/>
    <col min="5399" max="5399" width="19.81640625" style="166" customWidth="1"/>
    <col min="5400" max="5400" width="23.26953125" style="166" customWidth="1"/>
    <col min="5401" max="5401" width="19.81640625" style="166" customWidth="1"/>
    <col min="5402" max="5402" width="17.08984375" style="166" customWidth="1"/>
    <col min="5403" max="5404" width="24.81640625" style="166" customWidth="1"/>
    <col min="5405" max="5405" width="21.6328125" style="166" customWidth="1"/>
    <col min="5406" max="5406" width="0" style="166" hidden="1" customWidth="1"/>
    <col min="5407" max="5407" width="24.08984375" style="166" customWidth="1"/>
    <col min="5408" max="5408" width="21.1796875" style="166" customWidth="1"/>
    <col min="5409" max="5409" width="23.81640625" style="166" customWidth="1"/>
    <col min="5410" max="5410" width="21.453125" style="166" customWidth="1"/>
    <col min="5411" max="5411" width="15.36328125" style="166" customWidth="1"/>
    <col min="5412" max="5415" width="0" style="166" hidden="1" customWidth="1"/>
    <col min="5416" max="5416" width="2.08984375" style="166" customWidth="1"/>
    <col min="5417" max="5417" width="18.36328125" style="166" customWidth="1"/>
    <col min="5418" max="5418" width="20.26953125" style="166" customWidth="1"/>
    <col min="5419" max="5419" width="22.26953125" style="166" customWidth="1"/>
    <col min="5420" max="5420" width="23.81640625" style="166" customWidth="1"/>
    <col min="5421" max="5421" width="20.81640625" style="166" customWidth="1"/>
    <col min="5422" max="5422" width="9.36328125" style="166" customWidth="1"/>
    <col min="5423" max="5423" width="26.90625" style="166" customWidth="1"/>
    <col min="5424" max="5424" width="16.08984375" style="166" customWidth="1"/>
    <col min="5425" max="5633" width="7.90625" style="166"/>
    <col min="5634" max="5634" width="2.6328125" style="166" customWidth="1"/>
    <col min="5635" max="5635" width="5.90625" style="166" customWidth="1"/>
    <col min="5636" max="5636" width="5.54296875" style="166" customWidth="1"/>
    <col min="5637" max="5640" width="2.6328125" style="166" customWidth="1"/>
    <col min="5641" max="5641" width="8.453125" style="166" customWidth="1"/>
    <col min="5642" max="5642" width="2.6328125" style="166" customWidth="1"/>
    <col min="5643" max="5643" width="31.26953125" style="166" customWidth="1"/>
    <col min="5644" max="5646" width="0" style="166" hidden="1" customWidth="1"/>
    <col min="5647" max="5647" width="24.26953125" style="166" customWidth="1"/>
    <col min="5648" max="5648" width="17.7265625" style="166" customWidth="1"/>
    <col min="5649" max="5649" width="19.7265625" style="166" customWidth="1"/>
    <col min="5650" max="5650" width="20.81640625" style="166" customWidth="1"/>
    <col min="5651" max="5651" width="16.08984375" style="166" customWidth="1"/>
    <col min="5652" max="5652" width="16.7265625" style="166" customWidth="1"/>
    <col min="5653" max="5653" width="15.7265625" style="166" customWidth="1"/>
    <col min="5654" max="5654" width="18.36328125" style="166" customWidth="1"/>
    <col min="5655" max="5655" width="19.81640625" style="166" customWidth="1"/>
    <col min="5656" max="5656" width="23.26953125" style="166" customWidth="1"/>
    <col min="5657" max="5657" width="19.81640625" style="166" customWidth="1"/>
    <col min="5658" max="5658" width="17.08984375" style="166" customWidth="1"/>
    <col min="5659" max="5660" width="24.81640625" style="166" customWidth="1"/>
    <col min="5661" max="5661" width="21.6328125" style="166" customWidth="1"/>
    <col min="5662" max="5662" width="0" style="166" hidden="1" customWidth="1"/>
    <col min="5663" max="5663" width="24.08984375" style="166" customWidth="1"/>
    <col min="5664" max="5664" width="21.1796875" style="166" customWidth="1"/>
    <col min="5665" max="5665" width="23.81640625" style="166" customWidth="1"/>
    <col min="5666" max="5666" width="21.453125" style="166" customWidth="1"/>
    <col min="5667" max="5667" width="15.36328125" style="166" customWidth="1"/>
    <col min="5668" max="5671" width="0" style="166" hidden="1" customWidth="1"/>
    <col min="5672" max="5672" width="2.08984375" style="166" customWidth="1"/>
    <col min="5673" max="5673" width="18.36328125" style="166" customWidth="1"/>
    <col min="5674" max="5674" width="20.26953125" style="166" customWidth="1"/>
    <col min="5675" max="5675" width="22.26953125" style="166" customWidth="1"/>
    <col min="5676" max="5676" width="23.81640625" style="166" customWidth="1"/>
    <col min="5677" max="5677" width="20.81640625" style="166" customWidth="1"/>
    <col min="5678" max="5678" width="9.36328125" style="166" customWidth="1"/>
    <col min="5679" max="5679" width="26.90625" style="166" customWidth="1"/>
    <col min="5680" max="5680" width="16.08984375" style="166" customWidth="1"/>
    <col min="5681" max="5889" width="7.90625" style="166"/>
    <col min="5890" max="5890" width="2.6328125" style="166" customWidth="1"/>
    <col min="5891" max="5891" width="5.90625" style="166" customWidth="1"/>
    <col min="5892" max="5892" width="5.54296875" style="166" customWidth="1"/>
    <col min="5893" max="5896" width="2.6328125" style="166" customWidth="1"/>
    <col min="5897" max="5897" width="8.453125" style="166" customWidth="1"/>
    <col min="5898" max="5898" width="2.6328125" style="166" customWidth="1"/>
    <col min="5899" max="5899" width="31.26953125" style="166" customWidth="1"/>
    <col min="5900" max="5902" width="0" style="166" hidden="1" customWidth="1"/>
    <col min="5903" max="5903" width="24.26953125" style="166" customWidth="1"/>
    <col min="5904" max="5904" width="17.7265625" style="166" customWidth="1"/>
    <col min="5905" max="5905" width="19.7265625" style="166" customWidth="1"/>
    <col min="5906" max="5906" width="20.81640625" style="166" customWidth="1"/>
    <col min="5907" max="5907" width="16.08984375" style="166" customWidth="1"/>
    <col min="5908" max="5908" width="16.7265625" style="166" customWidth="1"/>
    <col min="5909" max="5909" width="15.7265625" style="166" customWidth="1"/>
    <col min="5910" max="5910" width="18.36328125" style="166" customWidth="1"/>
    <col min="5911" max="5911" width="19.81640625" style="166" customWidth="1"/>
    <col min="5912" max="5912" width="23.26953125" style="166" customWidth="1"/>
    <col min="5913" max="5913" width="19.81640625" style="166" customWidth="1"/>
    <col min="5914" max="5914" width="17.08984375" style="166" customWidth="1"/>
    <col min="5915" max="5916" width="24.81640625" style="166" customWidth="1"/>
    <col min="5917" max="5917" width="21.6328125" style="166" customWidth="1"/>
    <col min="5918" max="5918" width="0" style="166" hidden="1" customWidth="1"/>
    <col min="5919" max="5919" width="24.08984375" style="166" customWidth="1"/>
    <col min="5920" max="5920" width="21.1796875" style="166" customWidth="1"/>
    <col min="5921" max="5921" width="23.81640625" style="166" customWidth="1"/>
    <col min="5922" max="5922" width="21.453125" style="166" customWidth="1"/>
    <col min="5923" max="5923" width="15.36328125" style="166" customWidth="1"/>
    <col min="5924" max="5927" width="0" style="166" hidden="1" customWidth="1"/>
    <col min="5928" max="5928" width="2.08984375" style="166" customWidth="1"/>
    <col min="5929" max="5929" width="18.36328125" style="166" customWidth="1"/>
    <col min="5930" max="5930" width="20.26953125" style="166" customWidth="1"/>
    <col min="5931" max="5931" width="22.26953125" style="166" customWidth="1"/>
    <col min="5932" max="5932" width="23.81640625" style="166" customWidth="1"/>
    <col min="5933" max="5933" width="20.81640625" style="166" customWidth="1"/>
    <col min="5934" max="5934" width="9.36328125" style="166" customWidth="1"/>
    <col min="5935" max="5935" width="26.90625" style="166" customWidth="1"/>
    <col min="5936" max="5936" width="16.08984375" style="166" customWidth="1"/>
    <col min="5937" max="6145" width="7.90625" style="166"/>
    <col min="6146" max="6146" width="2.6328125" style="166" customWidth="1"/>
    <col min="6147" max="6147" width="5.90625" style="166" customWidth="1"/>
    <col min="6148" max="6148" width="5.54296875" style="166" customWidth="1"/>
    <col min="6149" max="6152" width="2.6328125" style="166" customWidth="1"/>
    <col min="6153" max="6153" width="8.453125" style="166" customWidth="1"/>
    <col min="6154" max="6154" width="2.6328125" style="166" customWidth="1"/>
    <col min="6155" max="6155" width="31.26953125" style="166" customWidth="1"/>
    <col min="6156" max="6158" width="0" style="166" hidden="1" customWidth="1"/>
    <col min="6159" max="6159" width="24.26953125" style="166" customWidth="1"/>
    <col min="6160" max="6160" width="17.7265625" style="166" customWidth="1"/>
    <col min="6161" max="6161" width="19.7265625" style="166" customWidth="1"/>
    <col min="6162" max="6162" width="20.81640625" style="166" customWidth="1"/>
    <col min="6163" max="6163" width="16.08984375" style="166" customWidth="1"/>
    <col min="6164" max="6164" width="16.7265625" style="166" customWidth="1"/>
    <col min="6165" max="6165" width="15.7265625" style="166" customWidth="1"/>
    <col min="6166" max="6166" width="18.36328125" style="166" customWidth="1"/>
    <col min="6167" max="6167" width="19.81640625" style="166" customWidth="1"/>
    <col min="6168" max="6168" width="23.26953125" style="166" customWidth="1"/>
    <col min="6169" max="6169" width="19.81640625" style="166" customWidth="1"/>
    <col min="6170" max="6170" width="17.08984375" style="166" customWidth="1"/>
    <col min="6171" max="6172" width="24.81640625" style="166" customWidth="1"/>
    <col min="6173" max="6173" width="21.6328125" style="166" customWidth="1"/>
    <col min="6174" max="6174" width="0" style="166" hidden="1" customWidth="1"/>
    <col min="6175" max="6175" width="24.08984375" style="166" customWidth="1"/>
    <col min="6176" max="6176" width="21.1796875" style="166" customWidth="1"/>
    <col min="6177" max="6177" width="23.81640625" style="166" customWidth="1"/>
    <col min="6178" max="6178" width="21.453125" style="166" customWidth="1"/>
    <col min="6179" max="6179" width="15.36328125" style="166" customWidth="1"/>
    <col min="6180" max="6183" width="0" style="166" hidden="1" customWidth="1"/>
    <col min="6184" max="6184" width="2.08984375" style="166" customWidth="1"/>
    <col min="6185" max="6185" width="18.36328125" style="166" customWidth="1"/>
    <col min="6186" max="6186" width="20.26953125" style="166" customWidth="1"/>
    <col min="6187" max="6187" width="22.26953125" style="166" customWidth="1"/>
    <col min="6188" max="6188" width="23.81640625" style="166" customWidth="1"/>
    <col min="6189" max="6189" width="20.81640625" style="166" customWidth="1"/>
    <col min="6190" max="6190" width="9.36328125" style="166" customWidth="1"/>
    <col min="6191" max="6191" width="26.90625" style="166" customWidth="1"/>
    <col min="6192" max="6192" width="16.08984375" style="166" customWidth="1"/>
    <col min="6193" max="6401" width="7.90625" style="166"/>
    <col min="6402" max="6402" width="2.6328125" style="166" customWidth="1"/>
    <col min="6403" max="6403" width="5.90625" style="166" customWidth="1"/>
    <col min="6404" max="6404" width="5.54296875" style="166" customWidth="1"/>
    <col min="6405" max="6408" width="2.6328125" style="166" customWidth="1"/>
    <col min="6409" max="6409" width="8.453125" style="166" customWidth="1"/>
    <col min="6410" max="6410" width="2.6328125" style="166" customWidth="1"/>
    <col min="6411" max="6411" width="31.26953125" style="166" customWidth="1"/>
    <col min="6412" max="6414" width="0" style="166" hidden="1" customWidth="1"/>
    <col min="6415" max="6415" width="24.26953125" style="166" customWidth="1"/>
    <col min="6416" max="6416" width="17.7265625" style="166" customWidth="1"/>
    <col min="6417" max="6417" width="19.7265625" style="166" customWidth="1"/>
    <col min="6418" max="6418" width="20.81640625" style="166" customWidth="1"/>
    <col min="6419" max="6419" width="16.08984375" style="166" customWidth="1"/>
    <col min="6420" max="6420" width="16.7265625" style="166" customWidth="1"/>
    <col min="6421" max="6421" width="15.7265625" style="166" customWidth="1"/>
    <col min="6422" max="6422" width="18.36328125" style="166" customWidth="1"/>
    <col min="6423" max="6423" width="19.81640625" style="166" customWidth="1"/>
    <col min="6424" max="6424" width="23.26953125" style="166" customWidth="1"/>
    <col min="6425" max="6425" width="19.81640625" style="166" customWidth="1"/>
    <col min="6426" max="6426" width="17.08984375" style="166" customWidth="1"/>
    <col min="6427" max="6428" width="24.81640625" style="166" customWidth="1"/>
    <col min="6429" max="6429" width="21.6328125" style="166" customWidth="1"/>
    <col min="6430" max="6430" width="0" style="166" hidden="1" customWidth="1"/>
    <col min="6431" max="6431" width="24.08984375" style="166" customWidth="1"/>
    <col min="6432" max="6432" width="21.1796875" style="166" customWidth="1"/>
    <col min="6433" max="6433" width="23.81640625" style="166" customWidth="1"/>
    <col min="6434" max="6434" width="21.453125" style="166" customWidth="1"/>
    <col min="6435" max="6435" width="15.36328125" style="166" customWidth="1"/>
    <col min="6436" max="6439" width="0" style="166" hidden="1" customWidth="1"/>
    <col min="6440" max="6440" width="2.08984375" style="166" customWidth="1"/>
    <col min="6441" max="6441" width="18.36328125" style="166" customWidth="1"/>
    <col min="6442" max="6442" width="20.26953125" style="166" customWidth="1"/>
    <col min="6443" max="6443" width="22.26953125" style="166" customWidth="1"/>
    <col min="6444" max="6444" width="23.81640625" style="166" customWidth="1"/>
    <col min="6445" max="6445" width="20.81640625" style="166" customWidth="1"/>
    <col min="6446" max="6446" width="9.36328125" style="166" customWidth="1"/>
    <col min="6447" max="6447" width="26.90625" style="166" customWidth="1"/>
    <col min="6448" max="6448" width="16.08984375" style="166" customWidth="1"/>
    <col min="6449" max="6657" width="7.90625" style="166"/>
    <col min="6658" max="6658" width="2.6328125" style="166" customWidth="1"/>
    <col min="6659" max="6659" width="5.90625" style="166" customWidth="1"/>
    <col min="6660" max="6660" width="5.54296875" style="166" customWidth="1"/>
    <col min="6661" max="6664" width="2.6328125" style="166" customWidth="1"/>
    <col min="6665" max="6665" width="8.453125" style="166" customWidth="1"/>
    <col min="6666" max="6666" width="2.6328125" style="166" customWidth="1"/>
    <col min="6667" max="6667" width="31.26953125" style="166" customWidth="1"/>
    <col min="6668" max="6670" width="0" style="166" hidden="1" customWidth="1"/>
    <col min="6671" max="6671" width="24.26953125" style="166" customWidth="1"/>
    <col min="6672" max="6672" width="17.7265625" style="166" customWidth="1"/>
    <col min="6673" max="6673" width="19.7265625" style="166" customWidth="1"/>
    <col min="6674" max="6674" width="20.81640625" style="166" customWidth="1"/>
    <col min="6675" max="6675" width="16.08984375" style="166" customWidth="1"/>
    <col min="6676" max="6676" width="16.7265625" style="166" customWidth="1"/>
    <col min="6677" max="6677" width="15.7265625" style="166" customWidth="1"/>
    <col min="6678" max="6678" width="18.36328125" style="166" customWidth="1"/>
    <col min="6679" max="6679" width="19.81640625" style="166" customWidth="1"/>
    <col min="6680" max="6680" width="23.26953125" style="166" customWidth="1"/>
    <col min="6681" max="6681" width="19.81640625" style="166" customWidth="1"/>
    <col min="6682" max="6682" width="17.08984375" style="166" customWidth="1"/>
    <col min="6683" max="6684" width="24.81640625" style="166" customWidth="1"/>
    <col min="6685" max="6685" width="21.6328125" style="166" customWidth="1"/>
    <col min="6686" max="6686" width="0" style="166" hidden="1" customWidth="1"/>
    <col min="6687" max="6687" width="24.08984375" style="166" customWidth="1"/>
    <col min="6688" max="6688" width="21.1796875" style="166" customWidth="1"/>
    <col min="6689" max="6689" width="23.81640625" style="166" customWidth="1"/>
    <col min="6690" max="6690" width="21.453125" style="166" customWidth="1"/>
    <col min="6691" max="6691" width="15.36328125" style="166" customWidth="1"/>
    <col min="6692" max="6695" width="0" style="166" hidden="1" customWidth="1"/>
    <col min="6696" max="6696" width="2.08984375" style="166" customWidth="1"/>
    <col min="6697" max="6697" width="18.36328125" style="166" customWidth="1"/>
    <col min="6698" max="6698" width="20.26953125" style="166" customWidth="1"/>
    <col min="6699" max="6699" width="22.26953125" style="166" customWidth="1"/>
    <col min="6700" max="6700" width="23.81640625" style="166" customWidth="1"/>
    <col min="6701" max="6701" width="20.81640625" style="166" customWidth="1"/>
    <col min="6702" max="6702" width="9.36328125" style="166" customWidth="1"/>
    <col min="6703" max="6703" width="26.90625" style="166" customWidth="1"/>
    <col min="6704" max="6704" width="16.08984375" style="166" customWidth="1"/>
    <col min="6705" max="6913" width="7.90625" style="166"/>
    <col min="6914" max="6914" width="2.6328125" style="166" customWidth="1"/>
    <col min="6915" max="6915" width="5.90625" style="166" customWidth="1"/>
    <col min="6916" max="6916" width="5.54296875" style="166" customWidth="1"/>
    <col min="6917" max="6920" width="2.6328125" style="166" customWidth="1"/>
    <col min="6921" max="6921" width="8.453125" style="166" customWidth="1"/>
    <col min="6922" max="6922" width="2.6328125" style="166" customWidth="1"/>
    <col min="6923" max="6923" width="31.26953125" style="166" customWidth="1"/>
    <col min="6924" max="6926" width="0" style="166" hidden="1" customWidth="1"/>
    <col min="6927" max="6927" width="24.26953125" style="166" customWidth="1"/>
    <col min="6928" max="6928" width="17.7265625" style="166" customWidth="1"/>
    <col min="6929" max="6929" width="19.7265625" style="166" customWidth="1"/>
    <col min="6930" max="6930" width="20.81640625" style="166" customWidth="1"/>
    <col min="6931" max="6931" width="16.08984375" style="166" customWidth="1"/>
    <col min="6932" max="6932" width="16.7265625" style="166" customWidth="1"/>
    <col min="6933" max="6933" width="15.7265625" style="166" customWidth="1"/>
    <col min="6934" max="6934" width="18.36328125" style="166" customWidth="1"/>
    <col min="6935" max="6935" width="19.81640625" style="166" customWidth="1"/>
    <col min="6936" max="6936" width="23.26953125" style="166" customWidth="1"/>
    <col min="6937" max="6937" width="19.81640625" style="166" customWidth="1"/>
    <col min="6938" max="6938" width="17.08984375" style="166" customWidth="1"/>
    <col min="6939" max="6940" width="24.81640625" style="166" customWidth="1"/>
    <col min="6941" max="6941" width="21.6328125" style="166" customWidth="1"/>
    <col min="6942" max="6942" width="0" style="166" hidden="1" customWidth="1"/>
    <col min="6943" max="6943" width="24.08984375" style="166" customWidth="1"/>
    <col min="6944" max="6944" width="21.1796875" style="166" customWidth="1"/>
    <col min="6945" max="6945" width="23.81640625" style="166" customWidth="1"/>
    <col min="6946" max="6946" width="21.453125" style="166" customWidth="1"/>
    <col min="6947" max="6947" width="15.36328125" style="166" customWidth="1"/>
    <col min="6948" max="6951" width="0" style="166" hidden="1" customWidth="1"/>
    <col min="6952" max="6952" width="2.08984375" style="166" customWidth="1"/>
    <col min="6953" max="6953" width="18.36328125" style="166" customWidth="1"/>
    <col min="6954" max="6954" width="20.26953125" style="166" customWidth="1"/>
    <col min="6955" max="6955" width="22.26953125" style="166" customWidth="1"/>
    <col min="6956" max="6956" width="23.81640625" style="166" customWidth="1"/>
    <col min="6957" max="6957" width="20.81640625" style="166" customWidth="1"/>
    <col min="6958" max="6958" width="9.36328125" style="166" customWidth="1"/>
    <col min="6959" max="6959" width="26.90625" style="166" customWidth="1"/>
    <col min="6960" max="6960" width="16.08984375" style="166" customWidth="1"/>
    <col min="6961" max="7169" width="7.90625" style="166"/>
    <col min="7170" max="7170" width="2.6328125" style="166" customWidth="1"/>
    <col min="7171" max="7171" width="5.90625" style="166" customWidth="1"/>
    <col min="7172" max="7172" width="5.54296875" style="166" customWidth="1"/>
    <col min="7173" max="7176" width="2.6328125" style="166" customWidth="1"/>
    <col min="7177" max="7177" width="8.453125" style="166" customWidth="1"/>
    <col min="7178" max="7178" width="2.6328125" style="166" customWidth="1"/>
    <col min="7179" max="7179" width="31.26953125" style="166" customWidth="1"/>
    <col min="7180" max="7182" width="0" style="166" hidden="1" customWidth="1"/>
    <col min="7183" max="7183" width="24.26953125" style="166" customWidth="1"/>
    <col min="7184" max="7184" width="17.7265625" style="166" customWidth="1"/>
    <col min="7185" max="7185" width="19.7265625" style="166" customWidth="1"/>
    <col min="7186" max="7186" width="20.81640625" style="166" customWidth="1"/>
    <col min="7187" max="7187" width="16.08984375" style="166" customWidth="1"/>
    <col min="7188" max="7188" width="16.7265625" style="166" customWidth="1"/>
    <col min="7189" max="7189" width="15.7265625" style="166" customWidth="1"/>
    <col min="7190" max="7190" width="18.36328125" style="166" customWidth="1"/>
    <col min="7191" max="7191" width="19.81640625" style="166" customWidth="1"/>
    <col min="7192" max="7192" width="23.26953125" style="166" customWidth="1"/>
    <col min="7193" max="7193" width="19.81640625" style="166" customWidth="1"/>
    <col min="7194" max="7194" width="17.08984375" style="166" customWidth="1"/>
    <col min="7195" max="7196" width="24.81640625" style="166" customWidth="1"/>
    <col min="7197" max="7197" width="21.6328125" style="166" customWidth="1"/>
    <col min="7198" max="7198" width="0" style="166" hidden="1" customWidth="1"/>
    <col min="7199" max="7199" width="24.08984375" style="166" customWidth="1"/>
    <col min="7200" max="7200" width="21.1796875" style="166" customWidth="1"/>
    <col min="7201" max="7201" width="23.81640625" style="166" customWidth="1"/>
    <col min="7202" max="7202" width="21.453125" style="166" customWidth="1"/>
    <col min="7203" max="7203" width="15.36328125" style="166" customWidth="1"/>
    <col min="7204" max="7207" width="0" style="166" hidden="1" customWidth="1"/>
    <col min="7208" max="7208" width="2.08984375" style="166" customWidth="1"/>
    <col min="7209" max="7209" width="18.36328125" style="166" customWidth="1"/>
    <col min="7210" max="7210" width="20.26953125" style="166" customWidth="1"/>
    <col min="7211" max="7211" width="22.26953125" style="166" customWidth="1"/>
    <col min="7212" max="7212" width="23.81640625" style="166" customWidth="1"/>
    <col min="7213" max="7213" width="20.81640625" style="166" customWidth="1"/>
    <col min="7214" max="7214" width="9.36328125" style="166" customWidth="1"/>
    <col min="7215" max="7215" width="26.90625" style="166" customWidth="1"/>
    <col min="7216" max="7216" width="16.08984375" style="166" customWidth="1"/>
    <col min="7217" max="7425" width="7.90625" style="166"/>
    <col min="7426" max="7426" width="2.6328125" style="166" customWidth="1"/>
    <col min="7427" max="7427" width="5.90625" style="166" customWidth="1"/>
    <col min="7428" max="7428" width="5.54296875" style="166" customWidth="1"/>
    <col min="7429" max="7432" width="2.6328125" style="166" customWidth="1"/>
    <col min="7433" max="7433" width="8.453125" style="166" customWidth="1"/>
    <col min="7434" max="7434" width="2.6328125" style="166" customWidth="1"/>
    <col min="7435" max="7435" width="31.26953125" style="166" customWidth="1"/>
    <col min="7436" max="7438" width="0" style="166" hidden="1" customWidth="1"/>
    <col min="7439" max="7439" width="24.26953125" style="166" customWidth="1"/>
    <col min="7440" max="7440" width="17.7265625" style="166" customWidth="1"/>
    <col min="7441" max="7441" width="19.7265625" style="166" customWidth="1"/>
    <col min="7442" max="7442" width="20.81640625" style="166" customWidth="1"/>
    <col min="7443" max="7443" width="16.08984375" style="166" customWidth="1"/>
    <col min="7444" max="7444" width="16.7265625" style="166" customWidth="1"/>
    <col min="7445" max="7445" width="15.7265625" style="166" customWidth="1"/>
    <col min="7446" max="7446" width="18.36328125" style="166" customWidth="1"/>
    <col min="7447" max="7447" width="19.81640625" style="166" customWidth="1"/>
    <col min="7448" max="7448" width="23.26953125" style="166" customWidth="1"/>
    <col min="7449" max="7449" width="19.81640625" style="166" customWidth="1"/>
    <col min="7450" max="7450" width="17.08984375" style="166" customWidth="1"/>
    <col min="7451" max="7452" width="24.81640625" style="166" customWidth="1"/>
    <col min="7453" max="7453" width="21.6328125" style="166" customWidth="1"/>
    <col min="7454" max="7454" width="0" style="166" hidden="1" customWidth="1"/>
    <col min="7455" max="7455" width="24.08984375" style="166" customWidth="1"/>
    <col min="7456" max="7456" width="21.1796875" style="166" customWidth="1"/>
    <col min="7457" max="7457" width="23.81640625" style="166" customWidth="1"/>
    <col min="7458" max="7458" width="21.453125" style="166" customWidth="1"/>
    <col min="7459" max="7459" width="15.36328125" style="166" customWidth="1"/>
    <col min="7460" max="7463" width="0" style="166" hidden="1" customWidth="1"/>
    <col min="7464" max="7464" width="2.08984375" style="166" customWidth="1"/>
    <col min="7465" max="7465" width="18.36328125" style="166" customWidth="1"/>
    <col min="7466" max="7466" width="20.26953125" style="166" customWidth="1"/>
    <col min="7467" max="7467" width="22.26953125" style="166" customWidth="1"/>
    <col min="7468" max="7468" width="23.81640625" style="166" customWidth="1"/>
    <col min="7469" max="7469" width="20.81640625" style="166" customWidth="1"/>
    <col min="7470" max="7470" width="9.36328125" style="166" customWidth="1"/>
    <col min="7471" max="7471" width="26.90625" style="166" customWidth="1"/>
    <col min="7472" max="7472" width="16.08984375" style="166" customWidth="1"/>
    <col min="7473" max="7681" width="7.90625" style="166"/>
    <col min="7682" max="7682" width="2.6328125" style="166" customWidth="1"/>
    <col min="7683" max="7683" width="5.90625" style="166" customWidth="1"/>
    <col min="7684" max="7684" width="5.54296875" style="166" customWidth="1"/>
    <col min="7685" max="7688" width="2.6328125" style="166" customWidth="1"/>
    <col min="7689" max="7689" width="8.453125" style="166" customWidth="1"/>
    <col min="7690" max="7690" width="2.6328125" style="166" customWidth="1"/>
    <col min="7691" max="7691" width="31.26953125" style="166" customWidth="1"/>
    <col min="7692" max="7694" width="0" style="166" hidden="1" customWidth="1"/>
    <col min="7695" max="7695" width="24.26953125" style="166" customWidth="1"/>
    <col min="7696" max="7696" width="17.7265625" style="166" customWidth="1"/>
    <col min="7697" max="7697" width="19.7265625" style="166" customWidth="1"/>
    <col min="7698" max="7698" width="20.81640625" style="166" customWidth="1"/>
    <col min="7699" max="7699" width="16.08984375" style="166" customWidth="1"/>
    <col min="7700" max="7700" width="16.7265625" style="166" customWidth="1"/>
    <col min="7701" max="7701" width="15.7265625" style="166" customWidth="1"/>
    <col min="7702" max="7702" width="18.36328125" style="166" customWidth="1"/>
    <col min="7703" max="7703" width="19.81640625" style="166" customWidth="1"/>
    <col min="7704" max="7704" width="23.26953125" style="166" customWidth="1"/>
    <col min="7705" max="7705" width="19.81640625" style="166" customWidth="1"/>
    <col min="7706" max="7706" width="17.08984375" style="166" customWidth="1"/>
    <col min="7707" max="7708" width="24.81640625" style="166" customWidth="1"/>
    <col min="7709" max="7709" width="21.6328125" style="166" customWidth="1"/>
    <col min="7710" max="7710" width="0" style="166" hidden="1" customWidth="1"/>
    <col min="7711" max="7711" width="24.08984375" style="166" customWidth="1"/>
    <col min="7712" max="7712" width="21.1796875" style="166" customWidth="1"/>
    <col min="7713" max="7713" width="23.81640625" style="166" customWidth="1"/>
    <col min="7714" max="7714" width="21.453125" style="166" customWidth="1"/>
    <col min="7715" max="7715" width="15.36328125" style="166" customWidth="1"/>
    <col min="7716" max="7719" width="0" style="166" hidden="1" customWidth="1"/>
    <col min="7720" max="7720" width="2.08984375" style="166" customWidth="1"/>
    <col min="7721" max="7721" width="18.36328125" style="166" customWidth="1"/>
    <col min="7722" max="7722" width="20.26953125" style="166" customWidth="1"/>
    <col min="7723" max="7723" width="22.26953125" style="166" customWidth="1"/>
    <col min="7724" max="7724" width="23.81640625" style="166" customWidth="1"/>
    <col min="7725" max="7725" width="20.81640625" style="166" customWidth="1"/>
    <col min="7726" max="7726" width="9.36328125" style="166" customWidth="1"/>
    <col min="7727" max="7727" width="26.90625" style="166" customWidth="1"/>
    <col min="7728" max="7728" width="16.08984375" style="166" customWidth="1"/>
    <col min="7729" max="7937" width="7.90625" style="166"/>
    <col min="7938" max="7938" width="2.6328125" style="166" customWidth="1"/>
    <col min="7939" max="7939" width="5.90625" style="166" customWidth="1"/>
    <col min="7940" max="7940" width="5.54296875" style="166" customWidth="1"/>
    <col min="7941" max="7944" width="2.6328125" style="166" customWidth="1"/>
    <col min="7945" max="7945" width="8.453125" style="166" customWidth="1"/>
    <col min="7946" max="7946" width="2.6328125" style="166" customWidth="1"/>
    <col min="7947" max="7947" width="31.26953125" style="166" customWidth="1"/>
    <col min="7948" max="7950" width="0" style="166" hidden="1" customWidth="1"/>
    <col min="7951" max="7951" width="24.26953125" style="166" customWidth="1"/>
    <col min="7952" max="7952" width="17.7265625" style="166" customWidth="1"/>
    <col min="7953" max="7953" width="19.7265625" style="166" customWidth="1"/>
    <col min="7954" max="7954" width="20.81640625" style="166" customWidth="1"/>
    <col min="7955" max="7955" width="16.08984375" style="166" customWidth="1"/>
    <col min="7956" max="7956" width="16.7265625" style="166" customWidth="1"/>
    <col min="7957" max="7957" width="15.7265625" style="166" customWidth="1"/>
    <col min="7958" max="7958" width="18.36328125" style="166" customWidth="1"/>
    <col min="7959" max="7959" width="19.81640625" style="166" customWidth="1"/>
    <col min="7960" max="7960" width="23.26953125" style="166" customWidth="1"/>
    <col min="7961" max="7961" width="19.81640625" style="166" customWidth="1"/>
    <col min="7962" max="7962" width="17.08984375" style="166" customWidth="1"/>
    <col min="7963" max="7964" width="24.81640625" style="166" customWidth="1"/>
    <col min="7965" max="7965" width="21.6328125" style="166" customWidth="1"/>
    <col min="7966" max="7966" width="0" style="166" hidden="1" customWidth="1"/>
    <col min="7967" max="7967" width="24.08984375" style="166" customWidth="1"/>
    <col min="7968" max="7968" width="21.1796875" style="166" customWidth="1"/>
    <col min="7969" max="7969" width="23.81640625" style="166" customWidth="1"/>
    <col min="7970" max="7970" width="21.453125" style="166" customWidth="1"/>
    <col min="7971" max="7971" width="15.36328125" style="166" customWidth="1"/>
    <col min="7972" max="7975" width="0" style="166" hidden="1" customWidth="1"/>
    <col min="7976" max="7976" width="2.08984375" style="166" customWidth="1"/>
    <col min="7977" max="7977" width="18.36328125" style="166" customWidth="1"/>
    <col min="7978" max="7978" width="20.26953125" style="166" customWidth="1"/>
    <col min="7979" max="7979" width="22.26953125" style="166" customWidth="1"/>
    <col min="7980" max="7980" width="23.81640625" style="166" customWidth="1"/>
    <col min="7981" max="7981" width="20.81640625" style="166" customWidth="1"/>
    <col min="7982" max="7982" width="9.36328125" style="166" customWidth="1"/>
    <col min="7983" max="7983" width="26.90625" style="166" customWidth="1"/>
    <col min="7984" max="7984" width="16.08984375" style="166" customWidth="1"/>
    <col min="7985" max="8193" width="7.90625" style="166"/>
    <col min="8194" max="8194" width="2.6328125" style="166" customWidth="1"/>
    <col min="8195" max="8195" width="5.90625" style="166" customWidth="1"/>
    <col min="8196" max="8196" width="5.54296875" style="166" customWidth="1"/>
    <col min="8197" max="8200" width="2.6328125" style="166" customWidth="1"/>
    <col min="8201" max="8201" width="8.453125" style="166" customWidth="1"/>
    <col min="8202" max="8202" width="2.6328125" style="166" customWidth="1"/>
    <col min="8203" max="8203" width="31.26953125" style="166" customWidth="1"/>
    <col min="8204" max="8206" width="0" style="166" hidden="1" customWidth="1"/>
    <col min="8207" max="8207" width="24.26953125" style="166" customWidth="1"/>
    <col min="8208" max="8208" width="17.7265625" style="166" customWidth="1"/>
    <col min="8209" max="8209" width="19.7265625" style="166" customWidth="1"/>
    <col min="8210" max="8210" width="20.81640625" style="166" customWidth="1"/>
    <col min="8211" max="8211" width="16.08984375" style="166" customWidth="1"/>
    <col min="8212" max="8212" width="16.7265625" style="166" customWidth="1"/>
    <col min="8213" max="8213" width="15.7265625" style="166" customWidth="1"/>
    <col min="8214" max="8214" width="18.36328125" style="166" customWidth="1"/>
    <col min="8215" max="8215" width="19.81640625" style="166" customWidth="1"/>
    <col min="8216" max="8216" width="23.26953125" style="166" customWidth="1"/>
    <col min="8217" max="8217" width="19.81640625" style="166" customWidth="1"/>
    <col min="8218" max="8218" width="17.08984375" style="166" customWidth="1"/>
    <col min="8219" max="8220" width="24.81640625" style="166" customWidth="1"/>
    <col min="8221" max="8221" width="21.6328125" style="166" customWidth="1"/>
    <col min="8222" max="8222" width="0" style="166" hidden="1" customWidth="1"/>
    <col min="8223" max="8223" width="24.08984375" style="166" customWidth="1"/>
    <col min="8224" max="8224" width="21.1796875" style="166" customWidth="1"/>
    <col min="8225" max="8225" width="23.81640625" style="166" customWidth="1"/>
    <col min="8226" max="8226" width="21.453125" style="166" customWidth="1"/>
    <col min="8227" max="8227" width="15.36328125" style="166" customWidth="1"/>
    <col min="8228" max="8231" width="0" style="166" hidden="1" customWidth="1"/>
    <col min="8232" max="8232" width="2.08984375" style="166" customWidth="1"/>
    <col min="8233" max="8233" width="18.36328125" style="166" customWidth="1"/>
    <col min="8234" max="8234" width="20.26953125" style="166" customWidth="1"/>
    <col min="8235" max="8235" width="22.26953125" style="166" customWidth="1"/>
    <col min="8236" max="8236" width="23.81640625" style="166" customWidth="1"/>
    <col min="8237" max="8237" width="20.81640625" style="166" customWidth="1"/>
    <col min="8238" max="8238" width="9.36328125" style="166" customWidth="1"/>
    <col min="8239" max="8239" width="26.90625" style="166" customWidth="1"/>
    <col min="8240" max="8240" width="16.08984375" style="166" customWidth="1"/>
    <col min="8241" max="8449" width="7.90625" style="166"/>
    <col min="8450" max="8450" width="2.6328125" style="166" customWidth="1"/>
    <col min="8451" max="8451" width="5.90625" style="166" customWidth="1"/>
    <col min="8452" max="8452" width="5.54296875" style="166" customWidth="1"/>
    <col min="8453" max="8456" width="2.6328125" style="166" customWidth="1"/>
    <col min="8457" max="8457" width="8.453125" style="166" customWidth="1"/>
    <col min="8458" max="8458" width="2.6328125" style="166" customWidth="1"/>
    <col min="8459" max="8459" width="31.26953125" style="166" customWidth="1"/>
    <col min="8460" max="8462" width="0" style="166" hidden="1" customWidth="1"/>
    <col min="8463" max="8463" width="24.26953125" style="166" customWidth="1"/>
    <col min="8464" max="8464" width="17.7265625" style="166" customWidth="1"/>
    <col min="8465" max="8465" width="19.7265625" style="166" customWidth="1"/>
    <col min="8466" max="8466" width="20.81640625" style="166" customWidth="1"/>
    <col min="8467" max="8467" width="16.08984375" style="166" customWidth="1"/>
    <col min="8468" max="8468" width="16.7265625" style="166" customWidth="1"/>
    <col min="8469" max="8469" width="15.7265625" style="166" customWidth="1"/>
    <col min="8470" max="8470" width="18.36328125" style="166" customWidth="1"/>
    <col min="8471" max="8471" width="19.81640625" style="166" customWidth="1"/>
    <col min="8472" max="8472" width="23.26953125" style="166" customWidth="1"/>
    <col min="8473" max="8473" width="19.81640625" style="166" customWidth="1"/>
    <col min="8474" max="8474" width="17.08984375" style="166" customWidth="1"/>
    <col min="8475" max="8476" width="24.81640625" style="166" customWidth="1"/>
    <col min="8477" max="8477" width="21.6328125" style="166" customWidth="1"/>
    <col min="8478" max="8478" width="0" style="166" hidden="1" customWidth="1"/>
    <col min="8479" max="8479" width="24.08984375" style="166" customWidth="1"/>
    <col min="8480" max="8480" width="21.1796875" style="166" customWidth="1"/>
    <col min="8481" max="8481" width="23.81640625" style="166" customWidth="1"/>
    <col min="8482" max="8482" width="21.453125" style="166" customWidth="1"/>
    <col min="8483" max="8483" width="15.36328125" style="166" customWidth="1"/>
    <col min="8484" max="8487" width="0" style="166" hidden="1" customWidth="1"/>
    <col min="8488" max="8488" width="2.08984375" style="166" customWidth="1"/>
    <col min="8489" max="8489" width="18.36328125" style="166" customWidth="1"/>
    <col min="8490" max="8490" width="20.26953125" style="166" customWidth="1"/>
    <col min="8491" max="8491" width="22.26953125" style="166" customWidth="1"/>
    <col min="8492" max="8492" width="23.81640625" style="166" customWidth="1"/>
    <col min="8493" max="8493" width="20.81640625" style="166" customWidth="1"/>
    <col min="8494" max="8494" width="9.36328125" style="166" customWidth="1"/>
    <col min="8495" max="8495" width="26.90625" style="166" customWidth="1"/>
    <col min="8496" max="8496" width="16.08984375" style="166" customWidth="1"/>
    <col min="8497" max="8705" width="7.90625" style="166"/>
    <col min="8706" max="8706" width="2.6328125" style="166" customWidth="1"/>
    <col min="8707" max="8707" width="5.90625" style="166" customWidth="1"/>
    <col min="8708" max="8708" width="5.54296875" style="166" customWidth="1"/>
    <col min="8709" max="8712" width="2.6328125" style="166" customWidth="1"/>
    <col min="8713" max="8713" width="8.453125" style="166" customWidth="1"/>
    <col min="8714" max="8714" width="2.6328125" style="166" customWidth="1"/>
    <col min="8715" max="8715" width="31.26953125" style="166" customWidth="1"/>
    <col min="8716" max="8718" width="0" style="166" hidden="1" customWidth="1"/>
    <col min="8719" max="8719" width="24.26953125" style="166" customWidth="1"/>
    <col min="8720" max="8720" width="17.7265625" style="166" customWidth="1"/>
    <col min="8721" max="8721" width="19.7265625" style="166" customWidth="1"/>
    <col min="8722" max="8722" width="20.81640625" style="166" customWidth="1"/>
    <col min="8723" max="8723" width="16.08984375" style="166" customWidth="1"/>
    <col min="8724" max="8724" width="16.7265625" style="166" customWidth="1"/>
    <col min="8725" max="8725" width="15.7265625" style="166" customWidth="1"/>
    <col min="8726" max="8726" width="18.36328125" style="166" customWidth="1"/>
    <col min="8727" max="8727" width="19.81640625" style="166" customWidth="1"/>
    <col min="8728" max="8728" width="23.26953125" style="166" customWidth="1"/>
    <col min="8729" max="8729" width="19.81640625" style="166" customWidth="1"/>
    <col min="8730" max="8730" width="17.08984375" style="166" customWidth="1"/>
    <col min="8731" max="8732" width="24.81640625" style="166" customWidth="1"/>
    <col min="8733" max="8733" width="21.6328125" style="166" customWidth="1"/>
    <col min="8734" max="8734" width="0" style="166" hidden="1" customWidth="1"/>
    <col min="8735" max="8735" width="24.08984375" style="166" customWidth="1"/>
    <col min="8736" max="8736" width="21.1796875" style="166" customWidth="1"/>
    <col min="8737" max="8737" width="23.81640625" style="166" customWidth="1"/>
    <col min="8738" max="8738" width="21.453125" style="166" customWidth="1"/>
    <col min="8739" max="8739" width="15.36328125" style="166" customWidth="1"/>
    <col min="8740" max="8743" width="0" style="166" hidden="1" customWidth="1"/>
    <col min="8744" max="8744" width="2.08984375" style="166" customWidth="1"/>
    <col min="8745" max="8745" width="18.36328125" style="166" customWidth="1"/>
    <col min="8746" max="8746" width="20.26953125" style="166" customWidth="1"/>
    <col min="8747" max="8747" width="22.26953125" style="166" customWidth="1"/>
    <col min="8748" max="8748" width="23.81640625" style="166" customWidth="1"/>
    <col min="8749" max="8749" width="20.81640625" style="166" customWidth="1"/>
    <col min="8750" max="8750" width="9.36328125" style="166" customWidth="1"/>
    <col min="8751" max="8751" width="26.90625" style="166" customWidth="1"/>
    <col min="8752" max="8752" width="16.08984375" style="166" customWidth="1"/>
    <col min="8753" max="8961" width="7.90625" style="166"/>
    <col min="8962" max="8962" width="2.6328125" style="166" customWidth="1"/>
    <col min="8963" max="8963" width="5.90625" style="166" customWidth="1"/>
    <col min="8964" max="8964" width="5.54296875" style="166" customWidth="1"/>
    <col min="8965" max="8968" width="2.6328125" style="166" customWidth="1"/>
    <col min="8969" max="8969" width="8.453125" style="166" customWidth="1"/>
    <col min="8970" max="8970" width="2.6328125" style="166" customWidth="1"/>
    <col min="8971" max="8971" width="31.26953125" style="166" customWidth="1"/>
    <col min="8972" max="8974" width="0" style="166" hidden="1" customWidth="1"/>
    <col min="8975" max="8975" width="24.26953125" style="166" customWidth="1"/>
    <col min="8976" max="8976" width="17.7265625" style="166" customWidth="1"/>
    <col min="8977" max="8977" width="19.7265625" style="166" customWidth="1"/>
    <col min="8978" max="8978" width="20.81640625" style="166" customWidth="1"/>
    <col min="8979" max="8979" width="16.08984375" style="166" customWidth="1"/>
    <col min="8980" max="8980" width="16.7265625" style="166" customWidth="1"/>
    <col min="8981" max="8981" width="15.7265625" style="166" customWidth="1"/>
    <col min="8982" max="8982" width="18.36328125" style="166" customWidth="1"/>
    <col min="8983" max="8983" width="19.81640625" style="166" customWidth="1"/>
    <col min="8984" max="8984" width="23.26953125" style="166" customWidth="1"/>
    <col min="8985" max="8985" width="19.81640625" style="166" customWidth="1"/>
    <col min="8986" max="8986" width="17.08984375" style="166" customWidth="1"/>
    <col min="8987" max="8988" width="24.81640625" style="166" customWidth="1"/>
    <col min="8989" max="8989" width="21.6328125" style="166" customWidth="1"/>
    <col min="8990" max="8990" width="0" style="166" hidden="1" customWidth="1"/>
    <col min="8991" max="8991" width="24.08984375" style="166" customWidth="1"/>
    <col min="8992" max="8992" width="21.1796875" style="166" customWidth="1"/>
    <col min="8993" max="8993" width="23.81640625" style="166" customWidth="1"/>
    <col min="8994" max="8994" width="21.453125" style="166" customWidth="1"/>
    <col min="8995" max="8995" width="15.36328125" style="166" customWidth="1"/>
    <col min="8996" max="8999" width="0" style="166" hidden="1" customWidth="1"/>
    <col min="9000" max="9000" width="2.08984375" style="166" customWidth="1"/>
    <col min="9001" max="9001" width="18.36328125" style="166" customWidth="1"/>
    <col min="9002" max="9002" width="20.26953125" style="166" customWidth="1"/>
    <col min="9003" max="9003" width="22.26953125" style="166" customWidth="1"/>
    <col min="9004" max="9004" width="23.81640625" style="166" customWidth="1"/>
    <col min="9005" max="9005" width="20.81640625" style="166" customWidth="1"/>
    <col min="9006" max="9006" width="9.36328125" style="166" customWidth="1"/>
    <col min="9007" max="9007" width="26.90625" style="166" customWidth="1"/>
    <col min="9008" max="9008" width="16.08984375" style="166" customWidth="1"/>
    <col min="9009" max="9217" width="7.90625" style="166"/>
    <col min="9218" max="9218" width="2.6328125" style="166" customWidth="1"/>
    <col min="9219" max="9219" width="5.90625" style="166" customWidth="1"/>
    <col min="9220" max="9220" width="5.54296875" style="166" customWidth="1"/>
    <col min="9221" max="9224" width="2.6328125" style="166" customWidth="1"/>
    <col min="9225" max="9225" width="8.453125" style="166" customWidth="1"/>
    <col min="9226" max="9226" width="2.6328125" style="166" customWidth="1"/>
    <col min="9227" max="9227" width="31.26953125" style="166" customWidth="1"/>
    <col min="9228" max="9230" width="0" style="166" hidden="1" customWidth="1"/>
    <col min="9231" max="9231" width="24.26953125" style="166" customWidth="1"/>
    <col min="9232" max="9232" width="17.7265625" style="166" customWidth="1"/>
    <col min="9233" max="9233" width="19.7265625" style="166" customWidth="1"/>
    <col min="9234" max="9234" width="20.81640625" style="166" customWidth="1"/>
    <col min="9235" max="9235" width="16.08984375" style="166" customWidth="1"/>
    <col min="9236" max="9236" width="16.7265625" style="166" customWidth="1"/>
    <col min="9237" max="9237" width="15.7265625" style="166" customWidth="1"/>
    <col min="9238" max="9238" width="18.36328125" style="166" customWidth="1"/>
    <col min="9239" max="9239" width="19.81640625" style="166" customWidth="1"/>
    <col min="9240" max="9240" width="23.26953125" style="166" customWidth="1"/>
    <col min="9241" max="9241" width="19.81640625" style="166" customWidth="1"/>
    <col min="9242" max="9242" width="17.08984375" style="166" customWidth="1"/>
    <col min="9243" max="9244" width="24.81640625" style="166" customWidth="1"/>
    <col min="9245" max="9245" width="21.6328125" style="166" customWidth="1"/>
    <col min="9246" max="9246" width="0" style="166" hidden="1" customWidth="1"/>
    <col min="9247" max="9247" width="24.08984375" style="166" customWidth="1"/>
    <col min="9248" max="9248" width="21.1796875" style="166" customWidth="1"/>
    <col min="9249" max="9249" width="23.81640625" style="166" customWidth="1"/>
    <col min="9250" max="9250" width="21.453125" style="166" customWidth="1"/>
    <col min="9251" max="9251" width="15.36328125" style="166" customWidth="1"/>
    <col min="9252" max="9255" width="0" style="166" hidden="1" customWidth="1"/>
    <col min="9256" max="9256" width="2.08984375" style="166" customWidth="1"/>
    <col min="9257" max="9257" width="18.36328125" style="166" customWidth="1"/>
    <col min="9258" max="9258" width="20.26953125" style="166" customWidth="1"/>
    <col min="9259" max="9259" width="22.26953125" style="166" customWidth="1"/>
    <col min="9260" max="9260" width="23.81640625" style="166" customWidth="1"/>
    <col min="9261" max="9261" width="20.81640625" style="166" customWidth="1"/>
    <col min="9262" max="9262" width="9.36328125" style="166" customWidth="1"/>
    <col min="9263" max="9263" width="26.90625" style="166" customWidth="1"/>
    <col min="9264" max="9264" width="16.08984375" style="166" customWidth="1"/>
    <col min="9265" max="9473" width="7.90625" style="166"/>
    <col min="9474" max="9474" width="2.6328125" style="166" customWidth="1"/>
    <col min="9475" max="9475" width="5.90625" style="166" customWidth="1"/>
    <col min="9476" max="9476" width="5.54296875" style="166" customWidth="1"/>
    <col min="9477" max="9480" width="2.6328125" style="166" customWidth="1"/>
    <col min="9481" max="9481" width="8.453125" style="166" customWidth="1"/>
    <col min="9482" max="9482" width="2.6328125" style="166" customWidth="1"/>
    <col min="9483" max="9483" width="31.26953125" style="166" customWidth="1"/>
    <col min="9484" max="9486" width="0" style="166" hidden="1" customWidth="1"/>
    <col min="9487" max="9487" width="24.26953125" style="166" customWidth="1"/>
    <col min="9488" max="9488" width="17.7265625" style="166" customWidth="1"/>
    <col min="9489" max="9489" width="19.7265625" style="166" customWidth="1"/>
    <col min="9490" max="9490" width="20.81640625" style="166" customWidth="1"/>
    <col min="9491" max="9491" width="16.08984375" style="166" customWidth="1"/>
    <col min="9492" max="9492" width="16.7265625" style="166" customWidth="1"/>
    <col min="9493" max="9493" width="15.7265625" style="166" customWidth="1"/>
    <col min="9494" max="9494" width="18.36328125" style="166" customWidth="1"/>
    <col min="9495" max="9495" width="19.81640625" style="166" customWidth="1"/>
    <col min="9496" max="9496" width="23.26953125" style="166" customWidth="1"/>
    <col min="9497" max="9497" width="19.81640625" style="166" customWidth="1"/>
    <col min="9498" max="9498" width="17.08984375" style="166" customWidth="1"/>
    <col min="9499" max="9500" width="24.81640625" style="166" customWidth="1"/>
    <col min="9501" max="9501" width="21.6328125" style="166" customWidth="1"/>
    <col min="9502" max="9502" width="0" style="166" hidden="1" customWidth="1"/>
    <col min="9503" max="9503" width="24.08984375" style="166" customWidth="1"/>
    <col min="9504" max="9504" width="21.1796875" style="166" customWidth="1"/>
    <col min="9505" max="9505" width="23.81640625" style="166" customWidth="1"/>
    <col min="9506" max="9506" width="21.453125" style="166" customWidth="1"/>
    <col min="9507" max="9507" width="15.36328125" style="166" customWidth="1"/>
    <col min="9508" max="9511" width="0" style="166" hidden="1" customWidth="1"/>
    <col min="9512" max="9512" width="2.08984375" style="166" customWidth="1"/>
    <col min="9513" max="9513" width="18.36328125" style="166" customWidth="1"/>
    <col min="9514" max="9514" width="20.26953125" style="166" customWidth="1"/>
    <col min="9515" max="9515" width="22.26953125" style="166" customWidth="1"/>
    <col min="9516" max="9516" width="23.81640625" style="166" customWidth="1"/>
    <col min="9517" max="9517" width="20.81640625" style="166" customWidth="1"/>
    <col min="9518" max="9518" width="9.36328125" style="166" customWidth="1"/>
    <col min="9519" max="9519" width="26.90625" style="166" customWidth="1"/>
    <col min="9520" max="9520" width="16.08984375" style="166" customWidth="1"/>
    <col min="9521" max="9729" width="7.90625" style="166"/>
    <col min="9730" max="9730" width="2.6328125" style="166" customWidth="1"/>
    <col min="9731" max="9731" width="5.90625" style="166" customWidth="1"/>
    <col min="9732" max="9732" width="5.54296875" style="166" customWidth="1"/>
    <col min="9733" max="9736" width="2.6328125" style="166" customWidth="1"/>
    <col min="9737" max="9737" width="8.453125" style="166" customWidth="1"/>
    <col min="9738" max="9738" width="2.6328125" style="166" customWidth="1"/>
    <col min="9739" max="9739" width="31.26953125" style="166" customWidth="1"/>
    <col min="9740" max="9742" width="0" style="166" hidden="1" customWidth="1"/>
    <col min="9743" max="9743" width="24.26953125" style="166" customWidth="1"/>
    <col min="9744" max="9744" width="17.7265625" style="166" customWidth="1"/>
    <col min="9745" max="9745" width="19.7265625" style="166" customWidth="1"/>
    <col min="9746" max="9746" width="20.81640625" style="166" customWidth="1"/>
    <col min="9747" max="9747" width="16.08984375" style="166" customWidth="1"/>
    <col min="9748" max="9748" width="16.7265625" style="166" customWidth="1"/>
    <col min="9749" max="9749" width="15.7265625" style="166" customWidth="1"/>
    <col min="9750" max="9750" width="18.36328125" style="166" customWidth="1"/>
    <col min="9751" max="9751" width="19.81640625" style="166" customWidth="1"/>
    <col min="9752" max="9752" width="23.26953125" style="166" customWidth="1"/>
    <col min="9753" max="9753" width="19.81640625" style="166" customWidth="1"/>
    <col min="9754" max="9754" width="17.08984375" style="166" customWidth="1"/>
    <col min="9755" max="9756" width="24.81640625" style="166" customWidth="1"/>
    <col min="9757" max="9757" width="21.6328125" style="166" customWidth="1"/>
    <col min="9758" max="9758" width="0" style="166" hidden="1" customWidth="1"/>
    <col min="9759" max="9759" width="24.08984375" style="166" customWidth="1"/>
    <col min="9760" max="9760" width="21.1796875" style="166" customWidth="1"/>
    <col min="9761" max="9761" width="23.81640625" style="166" customWidth="1"/>
    <col min="9762" max="9762" width="21.453125" style="166" customWidth="1"/>
    <col min="9763" max="9763" width="15.36328125" style="166" customWidth="1"/>
    <col min="9764" max="9767" width="0" style="166" hidden="1" customWidth="1"/>
    <col min="9768" max="9768" width="2.08984375" style="166" customWidth="1"/>
    <col min="9769" max="9769" width="18.36328125" style="166" customWidth="1"/>
    <col min="9770" max="9770" width="20.26953125" style="166" customWidth="1"/>
    <col min="9771" max="9771" width="22.26953125" style="166" customWidth="1"/>
    <col min="9772" max="9772" width="23.81640625" style="166" customWidth="1"/>
    <col min="9773" max="9773" width="20.81640625" style="166" customWidth="1"/>
    <col min="9774" max="9774" width="9.36328125" style="166" customWidth="1"/>
    <col min="9775" max="9775" width="26.90625" style="166" customWidth="1"/>
    <col min="9776" max="9776" width="16.08984375" style="166" customWidth="1"/>
    <col min="9777" max="9985" width="7.90625" style="166"/>
    <col min="9986" max="9986" width="2.6328125" style="166" customWidth="1"/>
    <col min="9987" max="9987" width="5.90625" style="166" customWidth="1"/>
    <col min="9988" max="9988" width="5.54296875" style="166" customWidth="1"/>
    <col min="9989" max="9992" width="2.6328125" style="166" customWidth="1"/>
    <col min="9993" max="9993" width="8.453125" style="166" customWidth="1"/>
    <col min="9994" max="9994" width="2.6328125" style="166" customWidth="1"/>
    <col min="9995" max="9995" width="31.26953125" style="166" customWidth="1"/>
    <col min="9996" max="9998" width="0" style="166" hidden="1" customWidth="1"/>
    <col min="9999" max="9999" width="24.26953125" style="166" customWidth="1"/>
    <col min="10000" max="10000" width="17.7265625" style="166" customWidth="1"/>
    <col min="10001" max="10001" width="19.7265625" style="166" customWidth="1"/>
    <col min="10002" max="10002" width="20.81640625" style="166" customWidth="1"/>
    <col min="10003" max="10003" width="16.08984375" style="166" customWidth="1"/>
    <col min="10004" max="10004" width="16.7265625" style="166" customWidth="1"/>
    <col min="10005" max="10005" width="15.7265625" style="166" customWidth="1"/>
    <col min="10006" max="10006" width="18.36328125" style="166" customWidth="1"/>
    <col min="10007" max="10007" width="19.81640625" style="166" customWidth="1"/>
    <col min="10008" max="10008" width="23.26953125" style="166" customWidth="1"/>
    <col min="10009" max="10009" width="19.81640625" style="166" customWidth="1"/>
    <col min="10010" max="10010" width="17.08984375" style="166" customWidth="1"/>
    <col min="10011" max="10012" width="24.81640625" style="166" customWidth="1"/>
    <col min="10013" max="10013" width="21.6328125" style="166" customWidth="1"/>
    <col min="10014" max="10014" width="0" style="166" hidden="1" customWidth="1"/>
    <col min="10015" max="10015" width="24.08984375" style="166" customWidth="1"/>
    <col min="10016" max="10016" width="21.1796875" style="166" customWidth="1"/>
    <col min="10017" max="10017" width="23.81640625" style="166" customWidth="1"/>
    <col min="10018" max="10018" width="21.453125" style="166" customWidth="1"/>
    <col min="10019" max="10019" width="15.36328125" style="166" customWidth="1"/>
    <col min="10020" max="10023" width="0" style="166" hidden="1" customWidth="1"/>
    <col min="10024" max="10024" width="2.08984375" style="166" customWidth="1"/>
    <col min="10025" max="10025" width="18.36328125" style="166" customWidth="1"/>
    <col min="10026" max="10026" width="20.26953125" style="166" customWidth="1"/>
    <col min="10027" max="10027" width="22.26953125" style="166" customWidth="1"/>
    <col min="10028" max="10028" width="23.81640625" style="166" customWidth="1"/>
    <col min="10029" max="10029" width="20.81640625" style="166" customWidth="1"/>
    <col min="10030" max="10030" width="9.36328125" style="166" customWidth="1"/>
    <col min="10031" max="10031" width="26.90625" style="166" customWidth="1"/>
    <col min="10032" max="10032" width="16.08984375" style="166" customWidth="1"/>
    <col min="10033" max="10241" width="7.90625" style="166"/>
    <col min="10242" max="10242" width="2.6328125" style="166" customWidth="1"/>
    <col min="10243" max="10243" width="5.90625" style="166" customWidth="1"/>
    <col min="10244" max="10244" width="5.54296875" style="166" customWidth="1"/>
    <col min="10245" max="10248" width="2.6328125" style="166" customWidth="1"/>
    <col min="10249" max="10249" width="8.453125" style="166" customWidth="1"/>
    <col min="10250" max="10250" width="2.6328125" style="166" customWidth="1"/>
    <col min="10251" max="10251" width="31.26953125" style="166" customWidth="1"/>
    <col min="10252" max="10254" width="0" style="166" hidden="1" customWidth="1"/>
    <col min="10255" max="10255" width="24.26953125" style="166" customWidth="1"/>
    <col min="10256" max="10256" width="17.7265625" style="166" customWidth="1"/>
    <col min="10257" max="10257" width="19.7265625" style="166" customWidth="1"/>
    <col min="10258" max="10258" width="20.81640625" style="166" customWidth="1"/>
    <col min="10259" max="10259" width="16.08984375" style="166" customWidth="1"/>
    <col min="10260" max="10260" width="16.7265625" style="166" customWidth="1"/>
    <col min="10261" max="10261" width="15.7265625" style="166" customWidth="1"/>
    <col min="10262" max="10262" width="18.36328125" style="166" customWidth="1"/>
    <col min="10263" max="10263" width="19.81640625" style="166" customWidth="1"/>
    <col min="10264" max="10264" width="23.26953125" style="166" customWidth="1"/>
    <col min="10265" max="10265" width="19.81640625" style="166" customWidth="1"/>
    <col min="10266" max="10266" width="17.08984375" style="166" customWidth="1"/>
    <col min="10267" max="10268" width="24.81640625" style="166" customWidth="1"/>
    <col min="10269" max="10269" width="21.6328125" style="166" customWidth="1"/>
    <col min="10270" max="10270" width="0" style="166" hidden="1" customWidth="1"/>
    <col min="10271" max="10271" width="24.08984375" style="166" customWidth="1"/>
    <col min="10272" max="10272" width="21.1796875" style="166" customWidth="1"/>
    <col min="10273" max="10273" width="23.81640625" style="166" customWidth="1"/>
    <col min="10274" max="10274" width="21.453125" style="166" customWidth="1"/>
    <col min="10275" max="10275" width="15.36328125" style="166" customWidth="1"/>
    <col min="10276" max="10279" width="0" style="166" hidden="1" customWidth="1"/>
    <col min="10280" max="10280" width="2.08984375" style="166" customWidth="1"/>
    <col min="10281" max="10281" width="18.36328125" style="166" customWidth="1"/>
    <col min="10282" max="10282" width="20.26953125" style="166" customWidth="1"/>
    <col min="10283" max="10283" width="22.26953125" style="166" customWidth="1"/>
    <col min="10284" max="10284" width="23.81640625" style="166" customWidth="1"/>
    <col min="10285" max="10285" width="20.81640625" style="166" customWidth="1"/>
    <col min="10286" max="10286" width="9.36328125" style="166" customWidth="1"/>
    <col min="10287" max="10287" width="26.90625" style="166" customWidth="1"/>
    <col min="10288" max="10288" width="16.08984375" style="166" customWidth="1"/>
    <col min="10289" max="10497" width="7.90625" style="166"/>
    <col min="10498" max="10498" width="2.6328125" style="166" customWidth="1"/>
    <col min="10499" max="10499" width="5.90625" style="166" customWidth="1"/>
    <col min="10500" max="10500" width="5.54296875" style="166" customWidth="1"/>
    <col min="10501" max="10504" width="2.6328125" style="166" customWidth="1"/>
    <col min="10505" max="10505" width="8.453125" style="166" customWidth="1"/>
    <col min="10506" max="10506" width="2.6328125" style="166" customWidth="1"/>
    <col min="10507" max="10507" width="31.26953125" style="166" customWidth="1"/>
    <col min="10508" max="10510" width="0" style="166" hidden="1" customWidth="1"/>
    <col min="10511" max="10511" width="24.26953125" style="166" customWidth="1"/>
    <col min="10512" max="10512" width="17.7265625" style="166" customWidth="1"/>
    <col min="10513" max="10513" width="19.7265625" style="166" customWidth="1"/>
    <col min="10514" max="10514" width="20.81640625" style="166" customWidth="1"/>
    <col min="10515" max="10515" width="16.08984375" style="166" customWidth="1"/>
    <col min="10516" max="10516" width="16.7265625" style="166" customWidth="1"/>
    <col min="10517" max="10517" width="15.7265625" style="166" customWidth="1"/>
    <col min="10518" max="10518" width="18.36328125" style="166" customWidth="1"/>
    <col min="10519" max="10519" width="19.81640625" style="166" customWidth="1"/>
    <col min="10520" max="10520" width="23.26953125" style="166" customWidth="1"/>
    <col min="10521" max="10521" width="19.81640625" style="166" customWidth="1"/>
    <col min="10522" max="10522" width="17.08984375" style="166" customWidth="1"/>
    <col min="10523" max="10524" width="24.81640625" style="166" customWidth="1"/>
    <col min="10525" max="10525" width="21.6328125" style="166" customWidth="1"/>
    <col min="10526" max="10526" width="0" style="166" hidden="1" customWidth="1"/>
    <col min="10527" max="10527" width="24.08984375" style="166" customWidth="1"/>
    <col min="10528" max="10528" width="21.1796875" style="166" customWidth="1"/>
    <col min="10529" max="10529" width="23.81640625" style="166" customWidth="1"/>
    <col min="10530" max="10530" width="21.453125" style="166" customWidth="1"/>
    <col min="10531" max="10531" width="15.36328125" style="166" customWidth="1"/>
    <col min="10532" max="10535" width="0" style="166" hidden="1" customWidth="1"/>
    <col min="10536" max="10536" width="2.08984375" style="166" customWidth="1"/>
    <col min="10537" max="10537" width="18.36328125" style="166" customWidth="1"/>
    <col min="10538" max="10538" width="20.26953125" style="166" customWidth="1"/>
    <col min="10539" max="10539" width="22.26953125" style="166" customWidth="1"/>
    <col min="10540" max="10540" width="23.81640625" style="166" customWidth="1"/>
    <col min="10541" max="10541" width="20.81640625" style="166" customWidth="1"/>
    <col min="10542" max="10542" width="9.36328125" style="166" customWidth="1"/>
    <col min="10543" max="10543" width="26.90625" style="166" customWidth="1"/>
    <col min="10544" max="10544" width="16.08984375" style="166" customWidth="1"/>
    <col min="10545" max="10753" width="7.90625" style="166"/>
    <col min="10754" max="10754" width="2.6328125" style="166" customWidth="1"/>
    <col min="10755" max="10755" width="5.90625" style="166" customWidth="1"/>
    <col min="10756" max="10756" width="5.54296875" style="166" customWidth="1"/>
    <col min="10757" max="10760" width="2.6328125" style="166" customWidth="1"/>
    <col min="10761" max="10761" width="8.453125" style="166" customWidth="1"/>
    <col min="10762" max="10762" width="2.6328125" style="166" customWidth="1"/>
    <col min="10763" max="10763" width="31.26953125" style="166" customWidth="1"/>
    <col min="10764" max="10766" width="0" style="166" hidden="1" customWidth="1"/>
    <col min="10767" max="10767" width="24.26953125" style="166" customWidth="1"/>
    <col min="10768" max="10768" width="17.7265625" style="166" customWidth="1"/>
    <col min="10769" max="10769" width="19.7265625" style="166" customWidth="1"/>
    <col min="10770" max="10770" width="20.81640625" style="166" customWidth="1"/>
    <col min="10771" max="10771" width="16.08984375" style="166" customWidth="1"/>
    <col min="10772" max="10772" width="16.7265625" style="166" customWidth="1"/>
    <col min="10773" max="10773" width="15.7265625" style="166" customWidth="1"/>
    <col min="10774" max="10774" width="18.36328125" style="166" customWidth="1"/>
    <col min="10775" max="10775" width="19.81640625" style="166" customWidth="1"/>
    <col min="10776" max="10776" width="23.26953125" style="166" customWidth="1"/>
    <col min="10777" max="10777" width="19.81640625" style="166" customWidth="1"/>
    <col min="10778" max="10778" width="17.08984375" style="166" customWidth="1"/>
    <col min="10779" max="10780" width="24.81640625" style="166" customWidth="1"/>
    <col min="10781" max="10781" width="21.6328125" style="166" customWidth="1"/>
    <col min="10782" max="10782" width="0" style="166" hidden="1" customWidth="1"/>
    <col min="10783" max="10783" width="24.08984375" style="166" customWidth="1"/>
    <col min="10784" max="10784" width="21.1796875" style="166" customWidth="1"/>
    <col min="10785" max="10785" width="23.81640625" style="166" customWidth="1"/>
    <col min="10786" max="10786" width="21.453125" style="166" customWidth="1"/>
    <col min="10787" max="10787" width="15.36328125" style="166" customWidth="1"/>
    <col min="10788" max="10791" width="0" style="166" hidden="1" customWidth="1"/>
    <col min="10792" max="10792" width="2.08984375" style="166" customWidth="1"/>
    <col min="10793" max="10793" width="18.36328125" style="166" customWidth="1"/>
    <col min="10794" max="10794" width="20.26953125" style="166" customWidth="1"/>
    <col min="10795" max="10795" width="22.26953125" style="166" customWidth="1"/>
    <col min="10796" max="10796" width="23.81640625" style="166" customWidth="1"/>
    <col min="10797" max="10797" width="20.81640625" style="166" customWidth="1"/>
    <col min="10798" max="10798" width="9.36328125" style="166" customWidth="1"/>
    <col min="10799" max="10799" width="26.90625" style="166" customWidth="1"/>
    <col min="10800" max="10800" width="16.08984375" style="166" customWidth="1"/>
    <col min="10801" max="11009" width="7.90625" style="166"/>
    <col min="11010" max="11010" width="2.6328125" style="166" customWidth="1"/>
    <col min="11011" max="11011" width="5.90625" style="166" customWidth="1"/>
    <col min="11012" max="11012" width="5.54296875" style="166" customWidth="1"/>
    <col min="11013" max="11016" width="2.6328125" style="166" customWidth="1"/>
    <col min="11017" max="11017" width="8.453125" style="166" customWidth="1"/>
    <col min="11018" max="11018" width="2.6328125" style="166" customWidth="1"/>
    <col min="11019" max="11019" width="31.26953125" style="166" customWidth="1"/>
    <col min="11020" max="11022" width="0" style="166" hidden="1" customWidth="1"/>
    <col min="11023" max="11023" width="24.26953125" style="166" customWidth="1"/>
    <col min="11024" max="11024" width="17.7265625" style="166" customWidth="1"/>
    <col min="11025" max="11025" width="19.7265625" style="166" customWidth="1"/>
    <col min="11026" max="11026" width="20.81640625" style="166" customWidth="1"/>
    <col min="11027" max="11027" width="16.08984375" style="166" customWidth="1"/>
    <col min="11028" max="11028" width="16.7265625" style="166" customWidth="1"/>
    <col min="11029" max="11029" width="15.7265625" style="166" customWidth="1"/>
    <col min="11030" max="11030" width="18.36328125" style="166" customWidth="1"/>
    <col min="11031" max="11031" width="19.81640625" style="166" customWidth="1"/>
    <col min="11032" max="11032" width="23.26953125" style="166" customWidth="1"/>
    <col min="11033" max="11033" width="19.81640625" style="166" customWidth="1"/>
    <col min="11034" max="11034" width="17.08984375" style="166" customWidth="1"/>
    <col min="11035" max="11036" width="24.81640625" style="166" customWidth="1"/>
    <col min="11037" max="11037" width="21.6328125" style="166" customWidth="1"/>
    <col min="11038" max="11038" width="0" style="166" hidden="1" customWidth="1"/>
    <col min="11039" max="11039" width="24.08984375" style="166" customWidth="1"/>
    <col min="11040" max="11040" width="21.1796875" style="166" customWidth="1"/>
    <col min="11041" max="11041" width="23.81640625" style="166" customWidth="1"/>
    <col min="11042" max="11042" width="21.453125" style="166" customWidth="1"/>
    <col min="11043" max="11043" width="15.36328125" style="166" customWidth="1"/>
    <col min="11044" max="11047" width="0" style="166" hidden="1" customWidth="1"/>
    <col min="11048" max="11048" width="2.08984375" style="166" customWidth="1"/>
    <col min="11049" max="11049" width="18.36328125" style="166" customWidth="1"/>
    <col min="11050" max="11050" width="20.26953125" style="166" customWidth="1"/>
    <col min="11051" max="11051" width="22.26953125" style="166" customWidth="1"/>
    <col min="11052" max="11052" width="23.81640625" style="166" customWidth="1"/>
    <col min="11053" max="11053" width="20.81640625" style="166" customWidth="1"/>
    <col min="11054" max="11054" width="9.36328125" style="166" customWidth="1"/>
    <col min="11055" max="11055" width="26.90625" style="166" customWidth="1"/>
    <col min="11056" max="11056" width="16.08984375" style="166" customWidth="1"/>
    <col min="11057" max="11265" width="7.90625" style="166"/>
    <col min="11266" max="11266" width="2.6328125" style="166" customWidth="1"/>
    <col min="11267" max="11267" width="5.90625" style="166" customWidth="1"/>
    <col min="11268" max="11268" width="5.54296875" style="166" customWidth="1"/>
    <col min="11269" max="11272" width="2.6328125" style="166" customWidth="1"/>
    <col min="11273" max="11273" width="8.453125" style="166" customWidth="1"/>
    <col min="11274" max="11274" width="2.6328125" style="166" customWidth="1"/>
    <col min="11275" max="11275" width="31.26953125" style="166" customWidth="1"/>
    <col min="11276" max="11278" width="0" style="166" hidden="1" customWidth="1"/>
    <col min="11279" max="11279" width="24.26953125" style="166" customWidth="1"/>
    <col min="11280" max="11280" width="17.7265625" style="166" customWidth="1"/>
    <col min="11281" max="11281" width="19.7265625" style="166" customWidth="1"/>
    <col min="11282" max="11282" width="20.81640625" style="166" customWidth="1"/>
    <col min="11283" max="11283" width="16.08984375" style="166" customWidth="1"/>
    <col min="11284" max="11284" width="16.7265625" style="166" customWidth="1"/>
    <col min="11285" max="11285" width="15.7265625" style="166" customWidth="1"/>
    <col min="11286" max="11286" width="18.36328125" style="166" customWidth="1"/>
    <col min="11287" max="11287" width="19.81640625" style="166" customWidth="1"/>
    <col min="11288" max="11288" width="23.26953125" style="166" customWidth="1"/>
    <col min="11289" max="11289" width="19.81640625" style="166" customWidth="1"/>
    <col min="11290" max="11290" width="17.08984375" style="166" customWidth="1"/>
    <col min="11291" max="11292" width="24.81640625" style="166" customWidth="1"/>
    <col min="11293" max="11293" width="21.6328125" style="166" customWidth="1"/>
    <col min="11294" max="11294" width="0" style="166" hidden="1" customWidth="1"/>
    <col min="11295" max="11295" width="24.08984375" style="166" customWidth="1"/>
    <col min="11296" max="11296" width="21.1796875" style="166" customWidth="1"/>
    <col min="11297" max="11297" width="23.81640625" style="166" customWidth="1"/>
    <col min="11298" max="11298" width="21.453125" style="166" customWidth="1"/>
    <col min="11299" max="11299" width="15.36328125" style="166" customWidth="1"/>
    <col min="11300" max="11303" width="0" style="166" hidden="1" customWidth="1"/>
    <col min="11304" max="11304" width="2.08984375" style="166" customWidth="1"/>
    <col min="11305" max="11305" width="18.36328125" style="166" customWidth="1"/>
    <col min="11306" max="11306" width="20.26953125" style="166" customWidth="1"/>
    <col min="11307" max="11307" width="22.26953125" style="166" customWidth="1"/>
    <col min="11308" max="11308" width="23.81640625" style="166" customWidth="1"/>
    <col min="11309" max="11309" width="20.81640625" style="166" customWidth="1"/>
    <col min="11310" max="11310" width="9.36328125" style="166" customWidth="1"/>
    <col min="11311" max="11311" width="26.90625" style="166" customWidth="1"/>
    <col min="11312" max="11312" width="16.08984375" style="166" customWidth="1"/>
    <col min="11313" max="11521" width="7.90625" style="166"/>
    <col min="11522" max="11522" width="2.6328125" style="166" customWidth="1"/>
    <col min="11523" max="11523" width="5.90625" style="166" customWidth="1"/>
    <col min="11524" max="11524" width="5.54296875" style="166" customWidth="1"/>
    <col min="11525" max="11528" width="2.6328125" style="166" customWidth="1"/>
    <col min="11529" max="11529" width="8.453125" style="166" customWidth="1"/>
    <col min="11530" max="11530" width="2.6328125" style="166" customWidth="1"/>
    <col min="11531" max="11531" width="31.26953125" style="166" customWidth="1"/>
    <col min="11532" max="11534" width="0" style="166" hidden="1" customWidth="1"/>
    <col min="11535" max="11535" width="24.26953125" style="166" customWidth="1"/>
    <col min="11536" max="11536" width="17.7265625" style="166" customWidth="1"/>
    <col min="11537" max="11537" width="19.7265625" style="166" customWidth="1"/>
    <col min="11538" max="11538" width="20.81640625" style="166" customWidth="1"/>
    <col min="11539" max="11539" width="16.08984375" style="166" customWidth="1"/>
    <col min="11540" max="11540" width="16.7265625" style="166" customWidth="1"/>
    <col min="11541" max="11541" width="15.7265625" style="166" customWidth="1"/>
    <col min="11542" max="11542" width="18.36328125" style="166" customWidth="1"/>
    <col min="11543" max="11543" width="19.81640625" style="166" customWidth="1"/>
    <col min="11544" max="11544" width="23.26953125" style="166" customWidth="1"/>
    <col min="11545" max="11545" width="19.81640625" style="166" customWidth="1"/>
    <col min="11546" max="11546" width="17.08984375" style="166" customWidth="1"/>
    <col min="11547" max="11548" width="24.81640625" style="166" customWidth="1"/>
    <col min="11549" max="11549" width="21.6328125" style="166" customWidth="1"/>
    <col min="11550" max="11550" width="0" style="166" hidden="1" customWidth="1"/>
    <col min="11551" max="11551" width="24.08984375" style="166" customWidth="1"/>
    <col min="11552" max="11552" width="21.1796875" style="166" customWidth="1"/>
    <col min="11553" max="11553" width="23.81640625" style="166" customWidth="1"/>
    <col min="11554" max="11554" width="21.453125" style="166" customWidth="1"/>
    <col min="11555" max="11555" width="15.36328125" style="166" customWidth="1"/>
    <col min="11556" max="11559" width="0" style="166" hidden="1" customWidth="1"/>
    <col min="11560" max="11560" width="2.08984375" style="166" customWidth="1"/>
    <col min="11561" max="11561" width="18.36328125" style="166" customWidth="1"/>
    <col min="11562" max="11562" width="20.26953125" style="166" customWidth="1"/>
    <col min="11563" max="11563" width="22.26953125" style="166" customWidth="1"/>
    <col min="11564" max="11564" width="23.81640625" style="166" customWidth="1"/>
    <col min="11565" max="11565" width="20.81640625" style="166" customWidth="1"/>
    <col min="11566" max="11566" width="9.36328125" style="166" customWidth="1"/>
    <col min="11567" max="11567" width="26.90625" style="166" customWidth="1"/>
    <col min="11568" max="11568" width="16.08984375" style="166" customWidth="1"/>
    <col min="11569" max="11777" width="7.90625" style="166"/>
    <col min="11778" max="11778" width="2.6328125" style="166" customWidth="1"/>
    <col min="11779" max="11779" width="5.90625" style="166" customWidth="1"/>
    <col min="11780" max="11780" width="5.54296875" style="166" customWidth="1"/>
    <col min="11781" max="11784" width="2.6328125" style="166" customWidth="1"/>
    <col min="11785" max="11785" width="8.453125" style="166" customWidth="1"/>
    <col min="11786" max="11786" width="2.6328125" style="166" customWidth="1"/>
    <col min="11787" max="11787" width="31.26953125" style="166" customWidth="1"/>
    <col min="11788" max="11790" width="0" style="166" hidden="1" customWidth="1"/>
    <col min="11791" max="11791" width="24.26953125" style="166" customWidth="1"/>
    <col min="11792" max="11792" width="17.7265625" style="166" customWidth="1"/>
    <col min="11793" max="11793" width="19.7265625" style="166" customWidth="1"/>
    <col min="11794" max="11794" width="20.81640625" style="166" customWidth="1"/>
    <col min="11795" max="11795" width="16.08984375" style="166" customWidth="1"/>
    <col min="11796" max="11796" width="16.7265625" style="166" customWidth="1"/>
    <col min="11797" max="11797" width="15.7265625" style="166" customWidth="1"/>
    <col min="11798" max="11798" width="18.36328125" style="166" customWidth="1"/>
    <col min="11799" max="11799" width="19.81640625" style="166" customWidth="1"/>
    <col min="11800" max="11800" width="23.26953125" style="166" customWidth="1"/>
    <col min="11801" max="11801" width="19.81640625" style="166" customWidth="1"/>
    <col min="11802" max="11802" width="17.08984375" style="166" customWidth="1"/>
    <col min="11803" max="11804" width="24.81640625" style="166" customWidth="1"/>
    <col min="11805" max="11805" width="21.6328125" style="166" customWidth="1"/>
    <col min="11806" max="11806" width="0" style="166" hidden="1" customWidth="1"/>
    <col min="11807" max="11807" width="24.08984375" style="166" customWidth="1"/>
    <col min="11808" max="11808" width="21.1796875" style="166" customWidth="1"/>
    <col min="11809" max="11809" width="23.81640625" style="166" customWidth="1"/>
    <col min="11810" max="11810" width="21.453125" style="166" customWidth="1"/>
    <col min="11811" max="11811" width="15.36328125" style="166" customWidth="1"/>
    <col min="11812" max="11815" width="0" style="166" hidden="1" customWidth="1"/>
    <col min="11816" max="11816" width="2.08984375" style="166" customWidth="1"/>
    <col min="11817" max="11817" width="18.36328125" style="166" customWidth="1"/>
    <col min="11818" max="11818" width="20.26953125" style="166" customWidth="1"/>
    <col min="11819" max="11819" width="22.26953125" style="166" customWidth="1"/>
    <col min="11820" max="11820" width="23.81640625" style="166" customWidth="1"/>
    <col min="11821" max="11821" width="20.81640625" style="166" customWidth="1"/>
    <col min="11822" max="11822" width="9.36328125" style="166" customWidth="1"/>
    <col min="11823" max="11823" width="26.90625" style="166" customWidth="1"/>
    <col min="11824" max="11824" width="16.08984375" style="166" customWidth="1"/>
    <col min="11825" max="12033" width="7.90625" style="166"/>
    <col min="12034" max="12034" width="2.6328125" style="166" customWidth="1"/>
    <col min="12035" max="12035" width="5.90625" style="166" customWidth="1"/>
    <col min="12036" max="12036" width="5.54296875" style="166" customWidth="1"/>
    <col min="12037" max="12040" width="2.6328125" style="166" customWidth="1"/>
    <col min="12041" max="12041" width="8.453125" style="166" customWidth="1"/>
    <col min="12042" max="12042" width="2.6328125" style="166" customWidth="1"/>
    <col min="12043" max="12043" width="31.26953125" style="166" customWidth="1"/>
    <col min="12044" max="12046" width="0" style="166" hidden="1" customWidth="1"/>
    <col min="12047" max="12047" width="24.26953125" style="166" customWidth="1"/>
    <col min="12048" max="12048" width="17.7265625" style="166" customWidth="1"/>
    <col min="12049" max="12049" width="19.7265625" style="166" customWidth="1"/>
    <col min="12050" max="12050" width="20.81640625" style="166" customWidth="1"/>
    <col min="12051" max="12051" width="16.08984375" style="166" customWidth="1"/>
    <col min="12052" max="12052" width="16.7265625" style="166" customWidth="1"/>
    <col min="12053" max="12053" width="15.7265625" style="166" customWidth="1"/>
    <col min="12054" max="12054" width="18.36328125" style="166" customWidth="1"/>
    <col min="12055" max="12055" width="19.81640625" style="166" customWidth="1"/>
    <col min="12056" max="12056" width="23.26953125" style="166" customWidth="1"/>
    <col min="12057" max="12057" width="19.81640625" style="166" customWidth="1"/>
    <col min="12058" max="12058" width="17.08984375" style="166" customWidth="1"/>
    <col min="12059" max="12060" width="24.81640625" style="166" customWidth="1"/>
    <col min="12061" max="12061" width="21.6328125" style="166" customWidth="1"/>
    <col min="12062" max="12062" width="0" style="166" hidden="1" customWidth="1"/>
    <col min="12063" max="12063" width="24.08984375" style="166" customWidth="1"/>
    <col min="12064" max="12064" width="21.1796875" style="166" customWidth="1"/>
    <col min="12065" max="12065" width="23.81640625" style="166" customWidth="1"/>
    <col min="12066" max="12066" width="21.453125" style="166" customWidth="1"/>
    <col min="12067" max="12067" width="15.36328125" style="166" customWidth="1"/>
    <col min="12068" max="12071" width="0" style="166" hidden="1" customWidth="1"/>
    <col min="12072" max="12072" width="2.08984375" style="166" customWidth="1"/>
    <col min="12073" max="12073" width="18.36328125" style="166" customWidth="1"/>
    <col min="12074" max="12074" width="20.26953125" style="166" customWidth="1"/>
    <col min="12075" max="12075" width="22.26953125" style="166" customWidth="1"/>
    <col min="12076" max="12076" width="23.81640625" style="166" customWidth="1"/>
    <col min="12077" max="12077" width="20.81640625" style="166" customWidth="1"/>
    <col min="12078" max="12078" width="9.36328125" style="166" customWidth="1"/>
    <col min="12079" max="12079" width="26.90625" style="166" customWidth="1"/>
    <col min="12080" max="12080" width="16.08984375" style="166" customWidth="1"/>
    <col min="12081" max="12289" width="7.90625" style="166"/>
    <col min="12290" max="12290" width="2.6328125" style="166" customWidth="1"/>
    <col min="12291" max="12291" width="5.90625" style="166" customWidth="1"/>
    <col min="12292" max="12292" width="5.54296875" style="166" customWidth="1"/>
    <col min="12293" max="12296" width="2.6328125" style="166" customWidth="1"/>
    <col min="12297" max="12297" width="8.453125" style="166" customWidth="1"/>
    <col min="12298" max="12298" width="2.6328125" style="166" customWidth="1"/>
    <col min="12299" max="12299" width="31.26953125" style="166" customWidth="1"/>
    <col min="12300" max="12302" width="0" style="166" hidden="1" customWidth="1"/>
    <col min="12303" max="12303" width="24.26953125" style="166" customWidth="1"/>
    <col min="12304" max="12304" width="17.7265625" style="166" customWidth="1"/>
    <col min="12305" max="12305" width="19.7265625" style="166" customWidth="1"/>
    <col min="12306" max="12306" width="20.81640625" style="166" customWidth="1"/>
    <col min="12307" max="12307" width="16.08984375" style="166" customWidth="1"/>
    <col min="12308" max="12308" width="16.7265625" style="166" customWidth="1"/>
    <col min="12309" max="12309" width="15.7265625" style="166" customWidth="1"/>
    <col min="12310" max="12310" width="18.36328125" style="166" customWidth="1"/>
    <col min="12311" max="12311" width="19.81640625" style="166" customWidth="1"/>
    <col min="12312" max="12312" width="23.26953125" style="166" customWidth="1"/>
    <col min="12313" max="12313" width="19.81640625" style="166" customWidth="1"/>
    <col min="12314" max="12314" width="17.08984375" style="166" customWidth="1"/>
    <col min="12315" max="12316" width="24.81640625" style="166" customWidth="1"/>
    <col min="12317" max="12317" width="21.6328125" style="166" customWidth="1"/>
    <col min="12318" max="12318" width="0" style="166" hidden="1" customWidth="1"/>
    <col min="12319" max="12319" width="24.08984375" style="166" customWidth="1"/>
    <col min="12320" max="12320" width="21.1796875" style="166" customWidth="1"/>
    <col min="12321" max="12321" width="23.81640625" style="166" customWidth="1"/>
    <col min="12322" max="12322" width="21.453125" style="166" customWidth="1"/>
    <col min="12323" max="12323" width="15.36328125" style="166" customWidth="1"/>
    <col min="12324" max="12327" width="0" style="166" hidden="1" customWidth="1"/>
    <col min="12328" max="12328" width="2.08984375" style="166" customWidth="1"/>
    <col min="12329" max="12329" width="18.36328125" style="166" customWidth="1"/>
    <col min="12330" max="12330" width="20.26953125" style="166" customWidth="1"/>
    <col min="12331" max="12331" width="22.26953125" style="166" customWidth="1"/>
    <col min="12332" max="12332" width="23.81640625" style="166" customWidth="1"/>
    <col min="12333" max="12333" width="20.81640625" style="166" customWidth="1"/>
    <col min="12334" max="12334" width="9.36328125" style="166" customWidth="1"/>
    <col min="12335" max="12335" width="26.90625" style="166" customWidth="1"/>
    <col min="12336" max="12336" width="16.08984375" style="166" customWidth="1"/>
    <col min="12337" max="12545" width="7.90625" style="166"/>
    <col min="12546" max="12546" width="2.6328125" style="166" customWidth="1"/>
    <col min="12547" max="12547" width="5.90625" style="166" customWidth="1"/>
    <col min="12548" max="12548" width="5.54296875" style="166" customWidth="1"/>
    <col min="12549" max="12552" width="2.6328125" style="166" customWidth="1"/>
    <col min="12553" max="12553" width="8.453125" style="166" customWidth="1"/>
    <col min="12554" max="12554" width="2.6328125" style="166" customWidth="1"/>
    <col min="12555" max="12555" width="31.26953125" style="166" customWidth="1"/>
    <col min="12556" max="12558" width="0" style="166" hidden="1" customWidth="1"/>
    <col min="12559" max="12559" width="24.26953125" style="166" customWidth="1"/>
    <col min="12560" max="12560" width="17.7265625" style="166" customWidth="1"/>
    <col min="12561" max="12561" width="19.7265625" style="166" customWidth="1"/>
    <col min="12562" max="12562" width="20.81640625" style="166" customWidth="1"/>
    <col min="12563" max="12563" width="16.08984375" style="166" customWidth="1"/>
    <col min="12564" max="12564" width="16.7265625" style="166" customWidth="1"/>
    <col min="12565" max="12565" width="15.7265625" style="166" customWidth="1"/>
    <col min="12566" max="12566" width="18.36328125" style="166" customWidth="1"/>
    <col min="12567" max="12567" width="19.81640625" style="166" customWidth="1"/>
    <col min="12568" max="12568" width="23.26953125" style="166" customWidth="1"/>
    <col min="12569" max="12569" width="19.81640625" style="166" customWidth="1"/>
    <col min="12570" max="12570" width="17.08984375" style="166" customWidth="1"/>
    <col min="12571" max="12572" width="24.81640625" style="166" customWidth="1"/>
    <col min="12573" max="12573" width="21.6328125" style="166" customWidth="1"/>
    <col min="12574" max="12574" width="0" style="166" hidden="1" customWidth="1"/>
    <col min="12575" max="12575" width="24.08984375" style="166" customWidth="1"/>
    <col min="12576" max="12576" width="21.1796875" style="166" customWidth="1"/>
    <col min="12577" max="12577" width="23.81640625" style="166" customWidth="1"/>
    <col min="12578" max="12578" width="21.453125" style="166" customWidth="1"/>
    <col min="12579" max="12579" width="15.36328125" style="166" customWidth="1"/>
    <col min="12580" max="12583" width="0" style="166" hidden="1" customWidth="1"/>
    <col min="12584" max="12584" width="2.08984375" style="166" customWidth="1"/>
    <col min="12585" max="12585" width="18.36328125" style="166" customWidth="1"/>
    <col min="12586" max="12586" width="20.26953125" style="166" customWidth="1"/>
    <col min="12587" max="12587" width="22.26953125" style="166" customWidth="1"/>
    <col min="12588" max="12588" width="23.81640625" style="166" customWidth="1"/>
    <col min="12589" max="12589" width="20.81640625" style="166" customWidth="1"/>
    <col min="12590" max="12590" width="9.36328125" style="166" customWidth="1"/>
    <col min="12591" max="12591" width="26.90625" style="166" customWidth="1"/>
    <col min="12592" max="12592" width="16.08984375" style="166" customWidth="1"/>
    <col min="12593" max="12801" width="7.90625" style="166"/>
    <col min="12802" max="12802" width="2.6328125" style="166" customWidth="1"/>
    <col min="12803" max="12803" width="5.90625" style="166" customWidth="1"/>
    <col min="12804" max="12804" width="5.54296875" style="166" customWidth="1"/>
    <col min="12805" max="12808" width="2.6328125" style="166" customWidth="1"/>
    <col min="12809" max="12809" width="8.453125" style="166" customWidth="1"/>
    <col min="12810" max="12810" width="2.6328125" style="166" customWidth="1"/>
    <col min="12811" max="12811" width="31.26953125" style="166" customWidth="1"/>
    <col min="12812" max="12814" width="0" style="166" hidden="1" customWidth="1"/>
    <col min="12815" max="12815" width="24.26953125" style="166" customWidth="1"/>
    <col min="12816" max="12816" width="17.7265625" style="166" customWidth="1"/>
    <col min="12817" max="12817" width="19.7265625" style="166" customWidth="1"/>
    <col min="12818" max="12818" width="20.81640625" style="166" customWidth="1"/>
    <col min="12819" max="12819" width="16.08984375" style="166" customWidth="1"/>
    <col min="12820" max="12820" width="16.7265625" style="166" customWidth="1"/>
    <col min="12821" max="12821" width="15.7265625" style="166" customWidth="1"/>
    <col min="12822" max="12822" width="18.36328125" style="166" customWidth="1"/>
    <col min="12823" max="12823" width="19.81640625" style="166" customWidth="1"/>
    <col min="12824" max="12824" width="23.26953125" style="166" customWidth="1"/>
    <col min="12825" max="12825" width="19.81640625" style="166" customWidth="1"/>
    <col min="12826" max="12826" width="17.08984375" style="166" customWidth="1"/>
    <col min="12827" max="12828" width="24.81640625" style="166" customWidth="1"/>
    <col min="12829" max="12829" width="21.6328125" style="166" customWidth="1"/>
    <col min="12830" max="12830" width="0" style="166" hidden="1" customWidth="1"/>
    <col min="12831" max="12831" width="24.08984375" style="166" customWidth="1"/>
    <col min="12832" max="12832" width="21.1796875" style="166" customWidth="1"/>
    <col min="12833" max="12833" width="23.81640625" style="166" customWidth="1"/>
    <col min="12834" max="12834" width="21.453125" style="166" customWidth="1"/>
    <col min="12835" max="12835" width="15.36328125" style="166" customWidth="1"/>
    <col min="12836" max="12839" width="0" style="166" hidden="1" customWidth="1"/>
    <col min="12840" max="12840" width="2.08984375" style="166" customWidth="1"/>
    <col min="12841" max="12841" width="18.36328125" style="166" customWidth="1"/>
    <col min="12842" max="12842" width="20.26953125" style="166" customWidth="1"/>
    <col min="12843" max="12843" width="22.26953125" style="166" customWidth="1"/>
    <col min="12844" max="12844" width="23.81640625" style="166" customWidth="1"/>
    <col min="12845" max="12845" width="20.81640625" style="166" customWidth="1"/>
    <col min="12846" max="12846" width="9.36328125" style="166" customWidth="1"/>
    <col min="12847" max="12847" width="26.90625" style="166" customWidth="1"/>
    <col min="12848" max="12848" width="16.08984375" style="166" customWidth="1"/>
    <col min="12849" max="13057" width="7.90625" style="166"/>
    <col min="13058" max="13058" width="2.6328125" style="166" customWidth="1"/>
    <col min="13059" max="13059" width="5.90625" style="166" customWidth="1"/>
    <col min="13060" max="13060" width="5.54296875" style="166" customWidth="1"/>
    <col min="13061" max="13064" width="2.6328125" style="166" customWidth="1"/>
    <col min="13065" max="13065" width="8.453125" style="166" customWidth="1"/>
    <col min="13066" max="13066" width="2.6328125" style="166" customWidth="1"/>
    <col min="13067" max="13067" width="31.26953125" style="166" customWidth="1"/>
    <col min="13068" max="13070" width="0" style="166" hidden="1" customWidth="1"/>
    <col min="13071" max="13071" width="24.26953125" style="166" customWidth="1"/>
    <col min="13072" max="13072" width="17.7265625" style="166" customWidth="1"/>
    <col min="13073" max="13073" width="19.7265625" style="166" customWidth="1"/>
    <col min="13074" max="13074" width="20.81640625" style="166" customWidth="1"/>
    <col min="13075" max="13075" width="16.08984375" style="166" customWidth="1"/>
    <col min="13076" max="13076" width="16.7265625" style="166" customWidth="1"/>
    <col min="13077" max="13077" width="15.7265625" style="166" customWidth="1"/>
    <col min="13078" max="13078" width="18.36328125" style="166" customWidth="1"/>
    <col min="13079" max="13079" width="19.81640625" style="166" customWidth="1"/>
    <col min="13080" max="13080" width="23.26953125" style="166" customWidth="1"/>
    <col min="13081" max="13081" width="19.81640625" style="166" customWidth="1"/>
    <col min="13082" max="13082" width="17.08984375" style="166" customWidth="1"/>
    <col min="13083" max="13084" width="24.81640625" style="166" customWidth="1"/>
    <col min="13085" max="13085" width="21.6328125" style="166" customWidth="1"/>
    <col min="13086" max="13086" width="0" style="166" hidden="1" customWidth="1"/>
    <col min="13087" max="13087" width="24.08984375" style="166" customWidth="1"/>
    <col min="13088" max="13088" width="21.1796875" style="166" customWidth="1"/>
    <col min="13089" max="13089" width="23.81640625" style="166" customWidth="1"/>
    <col min="13090" max="13090" width="21.453125" style="166" customWidth="1"/>
    <col min="13091" max="13091" width="15.36328125" style="166" customWidth="1"/>
    <col min="13092" max="13095" width="0" style="166" hidden="1" customWidth="1"/>
    <col min="13096" max="13096" width="2.08984375" style="166" customWidth="1"/>
    <col min="13097" max="13097" width="18.36328125" style="166" customWidth="1"/>
    <col min="13098" max="13098" width="20.26953125" style="166" customWidth="1"/>
    <col min="13099" max="13099" width="22.26953125" style="166" customWidth="1"/>
    <col min="13100" max="13100" width="23.81640625" style="166" customWidth="1"/>
    <col min="13101" max="13101" width="20.81640625" style="166" customWidth="1"/>
    <col min="13102" max="13102" width="9.36328125" style="166" customWidth="1"/>
    <col min="13103" max="13103" width="26.90625" style="166" customWidth="1"/>
    <col min="13104" max="13104" width="16.08984375" style="166" customWidth="1"/>
    <col min="13105" max="13313" width="7.90625" style="166"/>
    <col min="13314" max="13314" width="2.6328125" style="166" customWidth="1"/>
    <col min="13315" max="13315" width="5.90625" style="166" customWidth="1"/>
    <col min="13316" max="13316" width="5.54296875" style="166" customWidth="1"/>
    <col min="13317" max="13320" width="2.6328125" style="166" customWidth="1"/>
    <col min="13321" max="13321" width="8.453125" style="166" customWidth="1"/>
    <col min="13322" max="13322" width="2.6328125" style="166" customWidth="1"/>
    <col min="13323" max="13323" width="31.26953125" style="166" customWidth="1"/>
    <col min="13324" max="13326" width="0" style="166" hidden="1" customWidth="1"/>
    <col min="13327" max="13327" width="24.26953125" style="166" customWidth="1"/>
    <col min="13328" max="13328" width="17.7265625" style="166" customWidth="1"/>
    <col min="13329" max="13329" width="19.7265625" style="166" customWidth="1"/>
    <col min="13330" max="13330" width="20.81640625" style="166" customWidth="1"/>
    <col min="13331" max="13331" width="16.08984375" style="166" customWidth="1"/>
    <col min="13332" max="13332" width="16.7265625" style="166" customWidth="1"/>
    <col min="13333" max="13333" width="15.7265625" style="166" customWidth="1"/>
    <col min="13334" max="13334" width="18.36328125" style="166" customWidth="1"/>
    <col min="13335" max="13335" width="19.81640625" style="166" customWidth="1"/>
    <col min="13336" max="13336" width="23.26953125" style="166" customWidth="1"/>
    <col min="13337" max="13337" width="19.81640625" style="166" customWidth="1"/>
    <col min="13338" max="13338" width="17.08984375" style="166" customWidth="1"/>
    <col min="13339" max="13340" width="24.81640625" style="166" customWidth="1"/>
    <col min="13341" max="13341" width="21.6328125" style="166" customWidth="1"/>
    <col min="13342" max="13342" width="0" style="166" hidden="1" customWidth="1"/>
    <col min="13343" max="13343" width="24.08984375" style="166" customWidth="1"/>
    <col min="13344" max="13344" width="21.1796875" style="166" customWidth="1"/>
    <col min="13345" max="13345" width="23.81640625" style="166" customWidth="1"/>
    <col min="13346" max="13346" width="21.453125" style="166" customWidth="1"/>
    <col min="13347" max="13347" width="15.36328125" style="166" customWidth="1"/>
    <col min="13348" max="13351" width="0" style="166" hidden="1" customWidth="1"/>
    <col min="13352" max="13352" width="2.08984375" style="166" customWidth="1"/>
    <col min="13353" max="13353" width="18.36328125" style="166" customWidth="1"/>
    <col min="13354" max="13354" width="20.26953125" style="166" customWidth="1"/>
    <col min="13355" max="13355" width="22.26953125" style="166" customWidth="1"/>
    <col min="13356" max="13356" width="23.81640625" style="166" customWidth="1"/>
    <col min="13357" max="13357" width="20.81640625" style="166" customWidth="1"/>
    <col min="13358" max="13358" width="9.36328125" style="166" customWidth="1"/>
    <col min="13359" max="13359" width="26.90625" style="166" customWidth="1"/>
    <col min="13360" max="13360" width="16.08984375" style="166" customWidth="1"/>
    <col min="13361" max="13569" width="7.90625" style="166"/>
    <col min="13570" max="13570" width="2.6328125" style="166" customWidth="1"/>
    <col min="13571" max="13571" width="5.90625" style="166" customWidth="1"/>
    <col min="13572" max="13572" width="5.54296875" style="166" customWidth="1"/>
    <col min="13573" max="13576" width="2.6328125" style="166" customWidth="1"/>
    <col min="13577" max="13577" width="8.453125" style="166" customWidth="1"/>
    <col min="13578" max="13578" width="2.6328125" style="166" customWidth="1"/>
    <col min="13579" max="13579" width="31.26953125" style="166" customWidth="1"/>
    <col min="13580" max="13582" width="0" style="166" hidden="1" customWidth="1"/>
    <col min="13583" max="13583" width="24.26953125" style="166" customWidth="1"/>
    <col min="13584" max="13584" width="17.7265625" style="166" customWidth="1"/>
    <col min="13585" max="13585" width="19.7265625" style="166" customWidth="1"/>
    <col min="13586" max="13586" width="20.81640625" style="166" customWidth="1"/>
    <col min="13587" max="13587" width="16.08984375" style="166" customWidth="1"/>
    <col min="13588" max="13588" width="16.7265625" style="166" customWidth="1"/>
    <col min="13589" max="13589" width="15.7265625" style="166" customWidth="1"/>
    <col min="13590" max="13590" width="18.36328125" style="166" customWidth="1"/>
    <col min="13591" max="13591" width="19.81640625" style="166" customWidth="1"/>
    <col min="13592" max="13592" width="23.26953125" style="166" customWidth="1"/>
    <col min="13593" max="13593" width="19.81640625" style="166" customWidth="1"/>
    <col min="13594" max="13594" width="17.08984375" style="166" customWidth="1"/>
    <col min="13595" max="13596" width="24.81640625" style="166" customWidth="1"/>
    <col min="13597" max="13597" width="21.6328125" style="166" customWidth="1"/>
    <col min="13598" max="13598" width="0" style="166" hidden="1" customWidth="1"/>
    <col min="13599" max="13599" width="24.08984375" style="166" customWidth="1"/>
    <col min="13600" max="13600" width="21.1796875" style="166" customWidth="1"/>
    <col min="13601" max="13601" width="23.81640625" style="166" customWidth="1"/>
    <col min="13602" max="13602" width="21.453125" style="166" customWidth="1"/>
    <col min="13603" max="13603" width="15.36328125" style="166" customWidth="1"/>
    <col min="13604" max="13607" width="0" style="166" hidden="1" customWidth="1"/>
    <col min="13608" max="13608" width="2.08984375" style="166" customWidth="1"/>
    <col min="13609" max="13609" width="18.36328125" style="166" customWidth="1"/>
    <col min="13610" max="13610" width="20.26953125" style="166" customWidth="1"/>
    <col min="13611" max="13611" width="22.26953125" style="166" customWidth="1"/>
    <col min="13612" max="13612" width="23.81640625" style="166" customWidth="1"/>
    <col min="13613" max="13613" width="20.81640625" style="166" customWidth="1"/>
    <col min="13614" max="13614" width="9.36328125" style="166" customWidth="1"/>
    <col min="13615" max="13615" width="26.90625" style="166" customWidth="1"/>
    <col min="13616" max="13616" width="16.08984375" style="166" customWidth="1"/>
    <col min="13617" max="13825" width="7.90625" style="166"/>
    <col min="13826" max="13826" width="2.6328125" style="166" customWidth="1"/>
    <col min="13827" max="13827" width="5.90625" style="166" customWidth="1"/>
    <col min="13828" max="13828" width="5.54296875" style="166" customWidth="1"/>
    <col min="13829" max="13832" width="2.6328125" style="166" customWidth="1"/>
    <col min="13833" max="13833" width="8.453125" style="166" customWidth="1"/>
    <col min="13834" max="13834" width="2.6328125" style="166" customWidth="1"/>
    <col min="13835" max="13835" width="31.26953125" style="166" customWidth="1"/>
    <col min="13836" max="13838" width="0" style="166" hidden="1" customWidth="1"/>
    <col min="13839" max="13839" width="24.26953125" style="166" customWidth="1"/>
    <col min="13840" max="13840" width="17.7265625" style="166" customWidth="1"/>
    <col min="13841" max="13841" width="19.7265625" style="166" customWidth="1"/>
    <col min="13842" max="13842" width="20.81640625" style="166" customWidth="1"/>
    <col min="13843" max="13843" width="16.08984375" style="166" customWidth="1"/>
    <col min="13844" max="13844" width="16.7265625" style="166" customWidth="1"/>
    <col min="13845" max="13845" width="15.7265625" style="166" customWidth="1"/>
    <col min="13846" max="13846" width="18.36328125" style="166" customWidth="1"/>
    <col min="13847" max="13847" width="19.81640625" style="166" customWidth="1"/>
    <col min="13848" max="13848" width="23.26953125" style="166" customWidth="1"/>
    <col min="13849" max="13849" width="19.81640625" style="166" customWidth="1"/>
    <col min="13850" max="13850" width="17.08984375" style="166" customWidth="1"/>
    <col min="13851" max="13852" width="24.81640625" style="166" customWidth="1"/>
    <col min="13853" max="13853" width="21.6328125" style="166" customWidth="1"/>
    <col min="13854" max="13854" width="0" style="166" hidden="1" customWidth="1"/>
    <col min="13855" max="13855" width="24.08984375" style="166" customWidth="1"/>
    <col min="13856" max="13856" width="21.1796875" style="166" customWidth="1"/>
    <col min="13857" max="13857" width="23.81640625" style="166" customWidth="1"/>
    <col min="13858" max="13858" width="21.453125" style="166" customWidth="1"/>
    <col min="13859" max="13859" width="15.36328125" style="166" customWidth="1"/>
    <col min="13860" max="13863" width="0" style="166" hidden="1" customWidth="1"/>
    <col min="13864" max="13864" width="2.08984375" style="166" customWidth="1"/>
    <col min="13865" max="13865" width="18.36328125" style="166" customWidth="1"/>
    <col min="13866" max="13866" width="20.26953125" style="166" customWidth="1"/>
    <col min="13867" max="13867" width="22.26953125" style="166" customWidth="1"/>
    <col min="13868" max="13868" width="23.81640625" style="166" customWidth="1"/>
    <col min="13869" max="13869" width="20.81640625" style="166" customWidth="1"/>
    <col min="13870" max="13870" width="9.36328125" style="166" customWidth="1"/>
    <col min="13871" max="13871" width="26.90625" style="166" customWidth="1"/>
    <col min="13872" max="13872" width="16.08984375" style="166" customWidth="1"/>
    <col min="13873" max="14081" width="7.90625" style="166"/>
    <col min="14082" max="14082" width="2.6328125" style="166" customWidth="1"/>
    <col min="14083" max="14083" width="5.90625" style="166" customWidth="1"/>
    <col min="14084" max="14084" width="5.54296875" style="166" customWidth="1"/>
    <col min="14085" max="14088" width="2.6328125" style="166" customWidth="1"/>
    <col min="14089" max="14089" width="8.453125" style="166" customWidth="1"/>
    <col min="14090" max="14090" width="2.6328125" style="166" customWidth="1"/>
    <col min="14091" max="14091" width="31.26953125" style="166" customWidth="1"/>
    <col min="14092" max="14094" width="0" style="166" hidden="1" customWidth="1"/>
    <col min="14095" max="14095" width="24.26953125" style="166" customWidth="1"/>
    <col min="14096" max="14096" width="17.7265625" style="166" customWidth="1"/>
    <col min="14097" max="14097" width="19.7265625" style="166" customWidth="1"/>
    <col min="14098" max="14098" width="20.81640625" style="166" customWidth="1"/>
    <col min="14099" max="14099" width="16.08984375" style="166" customWidth="1"/>
    <col min="14100" max="14100" width="16.7265625" style="166" customWidth="1"/>
    <col min="14101" max="14101" width="15.7265625" style="166" customWidth="1"/>
    <col min="14102" max="14102" width="18.36328125" style="166" customWidth="1"/>
    <col min="14103" max="14103" width="19.81640625" style="166" customWidth="1"/>
    <col min="14104" max="14104" width="23.26953125" style="166" customWidth="1"/>
    <col min="14105" max="14105" width="19.81640625" style="166" customWidth="1"/>
    <col min="14106" max="14106" width="17.08984375" style="166" customWidth="1"/>
    <col min="14107" max="14108" width="24.81640625" style="166" customWidth="1"/>
    <col min="14109" max="14109" width="21.6328125" style="166" customWidth="1"/>
    <col min="14110" max="14110" width="0" style="166" hidden="1" customWidth="1"/>
    <col min="14111" max="14111" width="24.08984375" style="166" customWidth="1"/>
    <col min="14112" max="14112" width="21.1796875" style="166" customWidth="1"/>
    <col min="14113" max="14113" width="23.81640625" style="166" customWidth="1"/>
    <col min="14114" max="14114" width="21.453125" style="166" customWidth="1"/>
    <col min="14115" max="14115" width="15.36328125" style="166" customWidth="1"/>
    <col min="14116" max="14119" width="0" style="166" hidden="1" customWidth="1"/>
    <col min="14120" max="14120" width="2.08984375" style="166" customWidth="1"/>
    <col min="14121" max="14121" width="18.36328125" style="166" customWidth="1"/>
    <col min="14122" max="14122" width="20.26953125" style="166" customWidth="1"/>
    <col min="14123" max="14123" width="22.26953125" style="166" customWidth="1"/>
    <col min="14124" max="14124" width="23.81640625" style="166" customWidth="1"/>
    <col min="14125" max="14125" width="20.81640625" style="166" customWidth="1"/>
    <col min="14126" max="14126" width="9.36328125" style="166" customWidth="1"/>
    <col min="14127" max="14127" width="26.90625" style="166" customWidth="1"/>
    <col min="14128" max="14128" width="16.08984375" style="166" customWidth="1"/>
    <col min="14129" max="14337" width="7.90625" style="166"/>
    <col min="14338" max="14338" width="2.6328125" style="166" customWidth="1"/>
    <col min="14339" max="14339" width="5.90625" style="166" customWidth="1"/>
    <col min="14340" max="14340" width="5.54296875" style="166" customWidth="1"/>
    <col min="14341" max="14344" width="2.6328125" style="166" customWidth="1"/>
    <col min="14345" max="14345" width="8.453125" style="166" customWidth="1"/>
    <col min="14346" max="14346" width="2.6328125" style="166" customWidth="1"/>
    <col min="14347" max="14347" width="31.26953125" style="166" customWidth="1"/>
    <col min="14348" max="14350" width="0" style="166" hidden="1" customWidth="1"/>
    <col min="14351" max="14351" width="24.26953125" style="166" customWidth="1"/>
    <col min="14352" max="14352" width="17.7265625" style="166" customWidth="1"/>
    <col min="14353" max="14353" width="19.7265625" style="166" customWidth="1"/>
    <col min="14354" max="14354" width="20.81640625" style="166" customWidth="1"/>
    <col min="14355" max="14355" width="16.08984375" style="166" customWidth="1"/>
    <col min="14356" max="14356" width="16.7265625" style="166" customWidth="1"/>
    <col min="14357" max="14357" width="15.7265625" style="166" customWidth="1"/>
    <col min="14358" max="14358" width="18.36328125" style="166" customWidth="1"/>
    <col min="14359" max="14359" width="19.81640625" style="166" customWidth="1"/>
    <col min="14360" max="14360" width="23.26953125" style="166" customWidth="1"/>
    <col min="14361" max="14361" width="19.81640625" style="166" customWidth="1"/>
    <col min="14362" max="14362" width="17.08984375" style="166" customWidth="1"/>
    <col min="14363" max="14364" width="24.81640625" style="166" customWidth="1"/>
    <col min="14365" max="14365" width="21.6328125" style="166" customWidth="1"/>
    <col min="14366" max="14366" width="0" style="166" hidden="1" customWidth="1"/>
    <col min="14367" max="14367" width="24.08984375" style="166" customWidth="1"/>
    <col min="14368" max="14368" width="21.1796875" style="166" customWidth="1"/>
    <col min="14369" max="14369" width="23.81640625" style="166" customWidth="1"/>
    <col min="14370" max="14370" width="21.453125" style="166" customWidth="1"/>
    <col min="14371" max="14371" width="15.36328125" style="166" customWidth="1"/>
    <col min="14372" max="14375" width="0" style="166" hidden="1" customWidth="1"/>
    <col min="14376" max="14376" width="2.08984375" style="166" customWidth="1"/>
    <col min="14377" max="14377" width="18.36328125" style="166" customWidth="1"/>
    <col min="14378" max="14378" width="20.26953125" style="166" customWidth="1"/>
    <col min="14379" max="14379" width="22.26953125" style="166" customWidth="1"/>
    <col min="14380" max="14380" width="23.81640625" style="166" customWidth="1"/>
    <col min="14381" max="14381" width="20.81640625" style="166" customWidth="1"/>
    <col min="14382" max="14382" width="9.36328125" style="166" customWidth="1"/>
    <col min="14383" max="14383" width="26.90625" style="166" customWidth="1"/>
    <col min="14384" max="14384" width="16.08984375" style="166" customWidth="1"/>
    <col min="14385" max="14593" width="7.90625" style="166"/>
    <col min="14594" max="14594" width="2.6328125" style="166" customWidth="1"/>
    <col min="14595" max="14595" width="5.90625" style="166" customWidth="1"/>
    <col min="14596" max="14596" width="5.54296875" style="166" customWidth="1"/>
    <col min="14597" max="14600" width="2.6328125" style="166" customWidth="1"/>
    <col min="14601" max="14601" width="8.453125" style="166" customWidth="1"/>
    <col min="14602" max="14602" width="2.6328125" style="166" customWidth="1"/>
    <col min="14603" max="14603" width="31.26953125" style="166" customWidth="1"/>
    <col min="14604" max="14606" width="0" style="166" hidden="1" customWidth="1"/>
    <col min="14607" max="14607" width="24.26953125" style="166" customWidth="1"/>
    <col min="14608" max="14608" width="17.7265625" style="166" customWidth="1"/>
    <col min="14609" max="14609" width="19.7265625" style="166" customWidth="1"/>
    <col min="14610" max="14610" width="20.81640625" style="166" customWidth="1"/>
    <col min="14611" max="14611" width="16.08984375" style="166" customWidth="1"/>
    <col min="14612" max="14612" width="16.7265625" style="166" customWidth="1"/>
    <col min="14613" max="14613" width="15.7265625" style="166" customWidth="1"/>
    <col min="14614" max="14614" width="18.36328125" style="166" customWidth="1"/>
    <col min="14615" max="14615" width="19.81640625" style="166" customWidth="1"/>
    <col min="14616" max="14616" width="23.26953125" style="166" customWidth="1"/>
    <col min="14617" max="14617" width="19.81640625" style="166" customWidth="1"/>
    <col min="14618" max="14618" width="17.08984375" style="166" customWidth="1"/>
    <col min="14619" max="14620" width="24.81640625" style="166" customWidth="1"/>
    <col min="14621" max="14621" width="21.6328125" style="166" customWidth="1"/>
    <col min="14622" max="14622" width="0" style="166" hidden="1" customWidth="1"/>
    <col min="14623" max="14623" width="24.08984375" style="166" customWidth="1"/>
    <col min="14624" max="14624" width="21.1796875" style="166" customWidth="1"/>
    <col min="14625" max="14625" width="23.81640625" style="166" customWidth="1"/>
    <col min="14626" max="14626" width="21.453125" style="166" customWidth="1"/>
    <col min="14627" max="14627" width="15.36328125" style="166" customWidth="1"/>
    <col min="14628" max="14631" width="0" style="166" hidden="1" customWidth="1"/>
    <col min="14632" max="14632" width="2.08984375" style="166" customWidth="1"/>
    <col min="14633" max="14633" width="18.36328125" style="166" customWidth="1"/>
    <col min="14634" max="14634" width="20.26953125" style="166" customWidth="1"/>
    <col min="14635" max="14635" width="22.26953125" style="166" customWidth="1"/>
    <col min="14636" max="14636" width="23.81640625" style="166" customWidth="1"/>
    <col min="14637" max="14637" width="20.81640625" style="166" customWidth="1"/>
    <col min="14638" max="14638" width="9.36328125" style="166" customWidth="1"/>
    <col min="14639" max="14639" width="26.90625" style="166" customWidth="1"/>
    <col min="14640" max="14640" width="16.08984375" style="166" customWidth="1"/>
    <col min="14641" max="14849" width="7.90625" style="166"/>
    <col min="14850" max="14850" width="2.6328125" style="166" customWidth="1"/>
    <col min="14851" max="14851" width="5.90625" style="166" customWidth="1"/>
    <col min="14852" max="14852" width="5.54296875" style="166" customWidth="1"/>
    <col min="14853" max="14856" width="2.6328125" style="166" customWidth="1"/>
    <col min="14857" max="14857" width="8.453125" style="166" customWidth="1"/>
    <col min="14858" max="14858" width="2.6328125" style="166" customWidth="1"/>
    <col min="14859" max="14859" width="31.26953125" style="166" customWidth="1"/>
    <col min="14860" max="14862" width="0" style="166" hidden="1" customWidth="1"/>
    <col min="14863" max="14863" width="24.26953125" style="166" customWidth="1"/>
    <col min="14864" max="14864" width="17.7265625" style="166" customWidth="1"/>
    <col min="14865" max="14865" width="19.7265625" style="166" customWidth="1"/>
    <col min="14866" max="14866" width="20.81640625" style="166" customWidth="1"/>
    <col min="14867" max="14867" width="16.08984375" style="166" customWidth="1"/>
    <col min="14868" max="14868" width="16.7265625" style="166" customWidth="1"/>
    <col min="14869" max="14869" width="15.7265625" style="166" customWidth="1"/>
    <col min="14870" max="14870" width="18.36328125" style="166" customWidth="1"/>
    <col min="14871" max="14871" width="19.81640625" style="166" customWidth="1"/>
    <col min="14872" max="14872" width="23.26953125" style="166" customWidth="1"/>
    <col min="14873" max="14873" width="19.81640625" style="166" customWidth="1"/>
    <col min="14874" max="14874" width="17.08984375" style="166" customWidth="1"/>
    <col min="14875" max="14876" width="24.81640625" style="166" customWidth="1"/>
    <col min="14877" max="14877" width="21.6328125" style="166" customWidth="1"/>
    <col min="14878" max="14878" width="0" style="166" hidden="1" customWidth="1"/>
    <col min="14879" max="14879" width="24.08984375" style="166" customWidth="1"/>
    <col min="14880" max="14880" width="21.1796875" style="166" customWidth="1"/>
    <col min="14881" max="14881" width="23.81640625" style="166" customWidth="1"/>
    <col min="14882" max="14882" width="21.453125" style="166" customWidth="1"/>
    <col min="14883" max="14883" width="15.36328125" style="166" customWidth="1"/>
    <col min="14884" max="14887" width="0" style="166" hidden="1" customWidth="1"/>
    <col min="14888" max="14888" width="2.08984375" style="166" customWidth="1"/>
    <col min="14889" max="14889" width="18.36328125" style="166" customWidth="1"/>
    <col min="14890" max="14890" width="20.26953125" style="166" customWidth="1"/>
    <col min="14891" max="14891" width="22.26953125" style="166" customWidth="1"/>
    <col min="14892" max="14892" width="23.81640625" style="166" customWidth="1"/>
    <col min="14893" max="14893" width="20.81640625" style="166" customWidth="1"/>
    <col min="14894" max="14894" width="9.36328125" style="166" customWidth="1"/>
    <col min="14895" max="14895" width="26.90625" style="166" customWidth="1"/>
    <col min="14896" max="14896" width="16.08984375" style="166" customWidth="1"/>
    <col min="14897" max="15105" width="7.90625" style="166"/>
    <col min="15106" max="15106" width="2.6328125" style="166" customWidth="1"/>
    <col min="15107" max="15107" width="5.90625" style="166" customWidth="1"/>
    <col min="15108" max="15108" width="5.54296875" style="166" customWidth="1"/>
    <col min="15109" max="15112" width="2.6328125" style="166" customWidth="1"/>
    <col min="15113" max="15113" width="8.453125" style="166" customWidth="1"/>
    <col min="15114" max="15114" width="2.6328125" style="166" customWidth="1"/>
    <col min="15115" max="15115" width="31.26953125" style="166" customWidth="1"/>
    <col min="15116" max="15118" width="0" style="166" hidden="1" customWidth="1"/>
    <col min="15119" max="15119" width="24.26953125" style="166" customWidth="1"/>
    <col min="15120" max="15120" width="17.7265625" style="166" customWidth="1"/>
    <col min="15121" max="15121" width="19.7265625" style="166" customWidth="1"/>
    <col min="15122" max="15122" width="20.81640625" style="166" customWidth="1"/>
    <col min="15123" max="15123" width="16.08984375" style="166" customWidth="1"/>
    <col min="15124" max="15124" width="16.7265625" style="166" customWidth="1"/>
    <col min="15125" max="15125" width="15.7265625" style="166" customWidth="1"/>
    <col min="15126" max="15126" width="18.36328125" style="166" customWidth="1"/>
    <col min="15127" max="15127" width="19.81640625" style="166" customWidth="1"/>
    <col min="15128" max="15128" width="23.26953125" style="166" customWidth="1"/>
    <col min="15129" max="15129" width="19.81640625" style="166" customWidth="1"/>
    <col min="15130" max="15130" width="17.08984375" style="166" customWidth="1"/>
    <col min="15131" max="15132" width="24.81640625" style="166" customWidth="1"/>
    <col min="15133" max="15133" width="21.6328125" style="166" customWidth="1"/>
    <col min="15134" max="15134" width="0" style="166" hidden="1" customWidth="1"/>
    <col min="15135" max="15135" width="24.08984375" style="166" customWidth="1"/>
    <col min="15136" max="15136" width="21.1796875" style="166" customWidth="1"/>
    <col min="15137" max="15137" width="23.81640625" style="166" customWidth="1"/>
    <col min="15138" max="15138" width="21.453125" style="166" customWidth="1"/>
    <col min="15139" max="15139" width="15.36328125" style="166" customWidth="1"/>
    <col min="15140" max="15143" width="0" style="166" hidden="1" customWidth="1"/>
    <col min="15144" max="15144" width="2.08984375" style="166" customWidth="1"/>
    <col min="15145" max="15145" width="18.36328125" style="166" customWidth="1"/>
    <col min="15146" max="15146" width="20.26953125" style="166" customWidth="1"/>
    <col min="15147" max="15147" width="22.26953125" style="166" customWidth="1"/>
    <col min="15148" max="15148" width="23.81640625" style="166" customWidth="1"/>
    <col min="15149" max="15149" width="20.81640625" style="166" customWidth="1"/>
    <col min="15150" max="15150" width="9.36328125" style="166" customWidth="1"/>
    <col min="15151" max="15151" width="26.90625" style="166" customWidth="1"/>
    <col min="15152" max="15152" width="16.08984375" style="166" customWidth="1"/>
    <col min="15153" max="15361" width="7.90625" style="166"/>
    <col min="15362" max="15362" width="2.6328125" style="166" customWidth="1"/>
    <col min="15363" max="15363" width="5.90625" style="166" customWidth="1"/>
    <col min="15364" max="15364" width="5.54296875" style="166" customWidth="1"/>
    <col min="15365" max="15368" width="2.6328125" style="166" customWidth="1"/>
    <col min="15369" max="15369" width="8.453125" style="166" customWidth="1"/>
    <col min="15370" max="15370" width="2.6328125" style="166" customWidth="1"/>
    <col min="15371" max="15371" width="31.26953125" style="166" customWidth="1"/>
    <col min="15372" max="15374" width="0" style="166" hidden="1" customWidth="1"/>
    <col min="15375" max="15375" width="24.26953125" style="166" customWidth="1"/>
    <col min="15376" max="15376" width="17.7265625" style="166" customWidth="1"/>
    <col min="15377" max="15377" width="19.7265625" style="166" customWidth="1"/>
    <col min="15378" max="15378" width="20.81640625" style="166" customWidth="1"/>
    <col min="15379" max="15379" width="16.08984375" style="166" customWidth="1"/>
    <col min="15380" max="15380" width="16.7265625" style="166" customWidth="1"/>
    <col min="15381" max="15381" width="15.7265625" style="166" customWidth="1"/>
    <col min="15382" max="15382" width="18.36328125" style="166" customWidth="1"/>
    <col min="15383" max="15383" width="19.81640625" style="166" customWidth="1"/>
    <col min="15384" max="15384" width="23.26953125" style="166" customWidth="1"/>
    <col min="15385" max="15385" width="19.81640625" style="166" customWidth="1"/>
    <col min="15386" max="15386" width="17.08984375" style="166" customWidth="1"/>
    <col min="15387" max="15388" width="24.81640625" style="166" customWidth="1"/>
    <col min="15389" max="15389" width="21.6328125" style="166" customWidth="1"/>
    <col min="15390" max="15390" width="0" style="166" hidden="1" customWidth="1"/>
    <col min="15391" max="15391" width="24.08984375" style="166" customWidth="1"/>
    <col min="15392" max="15392" width="21.1796875" style="166" customWidth="1"/>
    <col min="15393" max="15393" width="23.81640625" style="166" customWidth="1"/>
    <col min="15394" max="15394" width="21.453125" style="166" customWidth="1"/>
    <col min="15395" max="15395" width="15.36328125" style="166" customWidth="1"/>
    <col min="15396" max="15399" width="0" style="166" hidden="1" customWidth="1"/>
    <col min="15400" max="15400" width="2.08984375" style="166" customWidth="1"/>
    <col min="15401" max="15401" width="18.36328125" style="166" customWidth="1"/>
    <col min="15402" max="15402" width="20.26953125" style="166" customWidth="1"/>
    <col min="15403" max="15403" width="22.26953125" style="166" customWidth="1"/>
    <col min="15404" max="15404" width="23.81640625" style="166" customWidth="1"/>
    <col min="15405" max="15405" width="20.81640625" style="166" customWidth="1"/>
    <col min="15406" max="15406" width="9.36328125" style="166" customWidth="1"/>
    <col min="15407" max="15407" width="26.90625" style="166" customWidth="1"/>
    <col min="15408" max="15408" width="16.08984375" style="166" customWidth="1"/>
    <col min="15409" max="15617" width="7.90625" style="166"/>
    <col min="15618" max="15618" width="2.6328125" style="166" customWidth="1"/>
    <col min="15619" max="15619" width="5.90625" style="166" customWidth="1"/>
    <col min="15620" max="15620" width="5.54296875" style="166" customWidth="1"/>
    <col min="15621" max="15624" width="2.6328125" style="166" customWidth="1"/>
    <col min="15625" max="15625" width="8.453125" style="166" customWidth="1"/>
    <col min="15626" max="15626" width="2.6328125" style="166" customWidth="1"/>
    <col min="15627" max="15627" width="31.26953125" style="166" customWidth="1"/>
    <col min="15628" max="15630" width="0" style="166" hidden="1" customWidth="1"/>
    <col min="15631" max="15631" width="24.26953125" style="166" customWidth="1"/>
    <col min="15632" max="15632" width="17.7265625" style="166" customWidth="1"/>
    <col min="15633" max="15633" width="19.7265625" style="166" customWidth="1"/>
    <col min="15634" max="15634" width="20.81640625" style="166" customWidth="1"/>
    <col min="15635" max="15635" width="16.08984375" style="166" customWidth="1"/>
    <col min="15636" max="15636" width="16.7265625" style="166" customWidth="1"/>
    <col min="15637" max="15637" width="15.7265625" style="166" customWidth="1"/>
    <col min="15638" max="15638" width="18.36328125" style="166" customWidth="1"/>
    <col min="15639" max="15639" width="19.81640625" style="166" customWidth="1"/>
    <col min="15640" max="15640" width="23.26953125" style="166" customWidth="1"/>
    <col min="15641" max="15641" width="19.81640625" style="166" customWidth="1"/>
    <col min="15642" max="15642" width="17.08984375" style="166" customWidth="1"/>
    <col min="15643" max="15644" width="24.81640625" style="166" customWidth="1"/>
    <col min="15645" max="15645" width="21.6328125" style="166" customWidth="1"/>
    <col min="15646" max="15646" width="0" style="166" hidden="1" customWidth="1"/>
    <col min="15647" max="15647" width="24.08984375" style="166" customWidth="1"/>
    <col min="15648" max="15648" width="21.1796875" style="166" customWidth="1"/>
    <col min="15649" max="15649" width="23.81640625" style="166" customWidth="1"/>
    <col min="15650" max="15650" width="21.453125" style="166" customWidth="1"/>
    <col min="15651" max="15651" width="15.36328125" style="166" customWidth="1"/>
    <col min="15652" max="15655" width="0" style="166" hidden="1" customWidth="1"/>
    <col min="15656" max="15656" width="2.08984375" style="166" customWidth="1"/>
    <col min="15657" max="15657" width="18.36328125" style="166" customWidth="1"/>
    <col min="15658" max="15658" width="20.26953125" style="166" customWidth="1"/>
    <col min="15659" max="15659" width="22.26953125" style="166" customWidth="1"/>
    <col min="15660" max="15660" width="23.81640625" style="166" customWidth="1"/>
    <col min="15661" max="15661" width="20.81640625" style="166" customWidth="1"/>
    <col min="15662" max="15662" width="9.36328125" style="166" customWidth="1"/>
    <col min="15663" max="15663" width="26.90625" style="166" customWidth="1"/>
    <col min="15664" max="15664" width="16.08984375" style="166" customWidth="1"/>
    <col min="15665" max="15873" width="7.90625" style="166"/>
    <col min="15874" max="15874" width="2.6328125" style="166" customWidth="1"/>
    <col min="15875" max="15875" width="5.90625" style="166" customWidth="1"/>
    <col min="15876" max="15876" width="5.54296875" style="166" customWidth="1"/>
    <col min="15877" max="15880" width="2.6328125" style="166" customWidth="1"/>
    <col min="15881" max="15881" width="8.453125" style="166" customWidth="1"/>
    <col min="15882" max="15882" width="2.6328125" style="166" customWidth="1"/>
    <col min="15883" max="15883" width="31.26953125" style="166" customWidth="1"/>
    <col min="15884" max="15886" width="0" style="166" hidden="1" customWidth="1"/>
    <col min="15887" max="15887" width="24.26953125" style="166" customWidth="1"/>
    <col min="15888" max="15888" width="17.7265625" style="166" customWidth="1"/>
    <col min="15889" max="15889" width="19.7265625" style="166" customWidth="1"/>
    <col min="15890" max="15890" width="20.81640625" style="166" customWidth="1"/>
    <col min="15891" max="15891" width="16.08984375" style="166" customWidth="1"/>
    <col min="15892" max="15892" width="16.7265625" style="166" customWidth="1"/>
    <col min="15893" max="15893" width="15.7265625" style="166" customWidth="1"/>
    <col min="15894" max="15894" width="18.36328125" style="166" customWidth="1"/>
    <col min="15895" max="15895" width="19.81640625" style="166" customWidth="1"/>
    <col min="15896" max="15896" width="23.26953125" style="166" customWidth="1"/>
    <col min="15897" max="15897" width="19.81640625" style="166" customWidth="1"/>
    <col min="15898" max="15898" width="17.08984375" style="166" customWidth="1"/>
    <col min="15899" max="15900" width="24.81640625" style="166" customWidth="1"/>
    <col min="15901" max="15901" width="21.6328125" style="166" customWidth="1"/>
    <col min="15902" max="15902" width="0" style="166" hidden="1" customWidth="1"/>
    <col min="15903" max="15903" width="24.08984375" style="166" customWidth="1"/>
    <col min="15904" max="15904" width="21.1796875" style="166" customWidth="1"/>
    <col min="15905" max="15905" width="23.81640625" style="166" customWidth="1"/>
    <col min="15906" max="15906" width="21.453125" style="166" customWidth="1"/>
    <col min="15907" max="15907" width="15.36328125" style="166" customWidth="1"/>
    <col min="15908" max="15911" width="0" style="166" hidden="1" customWidth="1"/>
    <col min="15912" max="15912" width="2.08984375" style="166" customWidth="1"/>
    <col min="15913" max="15913" width="18.36328125" style="166" customWidth="1"/>
    <col min="15914" max="15914" width="20.26953125" style="166" customWidth="1"/>
    <col min="15915" max="15915" width="22.26953125" style="166" customWidth="1"/>
    <col min="15916" max="15916" width="23.81640625" style="166" customWidth="1"/>
    <col min="15917" max="15917" width="20.81640625" style="166" customWidth="1"/>
    <col min="15918" max="15918" width="9.36328125" style="166" customWidth="1"/>
    <col min="15919" max="15919" width="26.90625" style="166" customWidth="1"/>
    <col min="15920" max="15920" width="16.08984375" style="166" customWidth="1"/>
    <col min="15921" max="16129" width="7.90625" style="166"/>
    <col min="16130" max="16130" width="2.6328125" style="166" customWidth="1"/>
    <col min="16131" max="16131" width="5.90625" style="166" customWidth="1"/>
    <col min="16132" max="16132" width="5.54296875" style="166" customWidth="1"/>
    <col min="16133" max="16136" width="2.6328125" style="166" customWidth="1"/>
    <col min="16137" max="16137" width="8.453125" style="166" customWidth="1"/>
    <col min="16138" max="16138" width="2.6328125" style="166" customWidth="1"/>
    <col min="16139" max="16139" width="31.26953125" style="166" customWidth="1"/>
    <col min="16140" max="16142" width="0" style="166" hidden="1" customWidth="1"/>
    <col min="16143" max="16143" width="24.26953125" style="166" customWidth="1"/>
    <col min="16144" max="16144" width="17.7265625" style="166" customWidth="1"/>
    <col min="16145" max="16145" width="19.7265625" style="166" customWidth="1"/>
    <col min="16146" max="16146" width="20.81640625" style="166" customWidth="1"/>
    <col min="16147" max="16147" width="16.08984375" style="166" customWidth="1"/>
    <col min="16148" max="16148" width="16.7265625" style="166" customWidth="1"/>
    <col min="16149" max="16149" width="15.7265625" style="166" customWidth="1"/>
    <col min="16150" max="16150" width="18.36328125" style="166" customWidth="1"/>
    <col min="16151" max="16151" width="19.81640625" style="166" customWidth="1"/>
    <col min="16152" max="16152" width="23.26953125" style="166" customWidth="1"/>
    <col min="16153" max="16153" width="19.81640625" style="166" customWidth="1"/>
    <col min="16154" max="16154" width="17.08984375" style="166" customWidth="1"/>
    <col min="16155" max="16156" width="24.81640625" style="166" customWidth="1"/>
    <col min="16157" max="16157" width="21.6328125" style="166" customWidth="1"/>
    <col min="16158" max="16158" width="0" style="166" hidden="1" customWidth="1"/>
    <col min="16159" max="16159" width="24.08984375" style="166" customWidth="1"/>
    <col min="16160" max="16160" width="21.1796875" style="166" customWidth="1"/>
    <col min="16161" max="16161" width="23.81640625" style="166" customWidth="1"/>
    <col min="16162" max="16162" width="21.453125" style="166" customWidth="1"/>
    <col min="16163" max="16163" width="15.36328125" style="166" customWidth="1"/>
    <col min="16164" max="16167" width="0" style="166" hidden="1" customWidth="1"/>
    <col min="16168" max="16168" width="2.08984375" style="166" customWidth="1"/>
    <col min="16169" max="16169" width="18.36328125" style="166" customWidth="1"/>
    <col min="16170" max="16170" width="20.26953125" style="166" customWidth="1"/>
    <col min="16171" max="16171" width="22.26953125" style="166" customWidth="1"/>
    <col min="16172" max="16172" width="23.81640625" style="166" customWidth="1"/>
    <col min="16173" max="16173" width="20.81640625" style="166" customWidth="1"/>
    <col min="16174" max="16174" width="9.36328125" style="166" customWidth="1"/>
    <col min="16175" max="16175" width="26.90625" style="166" customWidth="1"/>
    <col min="16176" max="16176" width="16.08984375" style="166" customWidth="1"/>
    <col min="16177" max="16384" width="7.90625" style="166"/>
  </cols>
  <sheetData>
    <row r="1" spans="1:48" ht="18" customHeight="1" x14ac:dyDescent="0.35">
      <c r="A1" s="1028" t="s">
        <v>122</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839"/>
      <c r="AD1" s="839"/>
      <c r="AF1" s="276"/>
    </row>
    <row r="2" spans="1:48" ht="25.5" customHeight="1" x14ac:dyDescent="0.35">
      <c r="A2" s="1029" t="s">
        <v>123</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839"/>
      <c r="AD2" s="839"/>
      <c r="AE2" s="276"/>
      <c r="AF2" s="276"/>
      <c r="AG2" s="276"/>
      <c r="AH2" s="280"/>
      <c r="AR2" s="848">
        <f>SUM(AR4+AQ4)</f>
        <v>24384263.48</v>
      </c>
      <c r="AS2" s="526">
        <f>SUM(AQ4+AS4)</f>
        <v>24384263.48</v>
      </c>
    </row>
    <row r="3" spans="1:48" ht="36.75" customHeight="1" x14ac:dyDescent="0.4">
      <c r="A3" s="281"/>
      <c r="B3" s="1030"/>
      <c r="C3" s="1030"/>
      <c r="D3" s="1030"/>
      <c r="E3" s="1030"/>
      <c r="F3" s="1030"/>
      <c r="G3" s="1030"/>
      <c r="H3" s="1030"/>
      <c r="I3" s="1030"/>
      <c r="J3" s="29">
        <f>SUM(N12-N15)</f>
        <v>-1</v>
      </c>
      <c r="K3" s="281"/>
      <c r="L3" s="281"/>
      <c r="M3" s="281"/>
      <c r="N3" s="281"/>
      <c r="O3" s="30"/>
      <c r="P3" s="282"/>
      <c r="Q3" s="281"/>
      <c r="R3" s="281"/>
      <c r="S3" s="281"/>
      <c r="T3" s="281"/>
      <c r="U3" s="281"/>
      <c r="V3" s="281"/>
      <c r="W3" s="495"/>
      <c r="X3" s="281"/>
      <c r="Y3" s="283"/>
      <c r="Z3" s="281"/>
      <c r="AA3" s="281"/>
      <c r="AB3" s="281"/>
      <c r="AC3" s="839"/>
      <c r="AD3" s="839"/>
      <c r="AG3" s="166" t="s">
        <v>124</v>
      </c>
      <c r="AN3" s="284"/>
    </row>
    <row r="4" spans="1:48" ht="27.75" customHeight="1" x14ac:dyDescent="0.4">
      <c r="A4" s="31" t="s">
        <v>125</v>
      </c>
      <c r="B4" s="32" t="s">
        <v>125</v>
      </c>
      <c r="C4" s="32" t="s">
        <v>125</v>
      </c>
      <c r="D4" s="32" t="s">
        <v>125</v>
      </c>
      <c r="E4" s="32" t="s">
        <v>125</v>
      </c>
      <c r="F4" s="32" t="s">
        <v>125</v>
      </c>
      <c r="G4" s="32" t="s">
        <v>125</v>
      </c>
      <c r="H4" s="32" t="s">
        <v>125</v>
      </c>
      <c r="I4" s="32" t="s">
        <v>125</v>
      </c>
      <c r="J4" s="849">
        <f>SUM(O12-O127)</f>
        <v>-2584700001</v>
      </c>
      <c r="K4" s="1031" t="s">
        <v>126</v>
      </c>
      <c r="L4" s="1031" t="s">
        <v>127</v>
      </c>
      <c r="M4" s="1031" t="s">
        <v>128</v>
      </c>
      <c r="N4" s="33"/>
      <c r="O4" s="34"/>
      <c r="P4" s="35" t="s">
        <v>125</v>
      </c>
      <c r="Q4" s="35" t="s">
        <v>125</v>
      </c>
      <c r="R4" s="36" t="s">
        <v>287</v>
      </c>
      <c r="S4" s="37"/>
      <c r="T4" s="37"/>
      <c r="U4" s="37"/>
      <c r="V4" s="37"/>
      <c r="W4" s="38"/>
      <c r="X4" s="38"/>
      <c r="Y4" s="39"/>
      <c r="Z4" s="40"/>
      <c r="AA4" s="41"/>
      <c r="AB4" s="1033" t="s">
        <v>129</v>
      </c>
      <c r="AC4" s="1034"/>
      <c r="AD4" s="1034"/>
      <c r="AE4" s="1034"/>
      <c r="AF4" s="1034"/>
      <c r="AG4" s="42"/>
      <c r="AH4" s="43"/>
      <c r="AI4" s="44"/>
      <c r="AJ4" s="43"/>
      <c r="AK4" s="55"/>
      <c r="AL4" s="43"/>
      <c r="AM4" s="1011" t="s">
        <v>130</v>
      </c>
      <c r="AP4" s="276" t="e">
        <f>#REF!+#REF!</f>
        <v>#REF!</v>
      </c>
      <c r="AQ4" s="850">
        <f>SUM(AQ9+AQ10+AQ16+AQ42)</f>
        <v>0</v>
      </c>
      <c r="AR4" s="850">
        <f>SUM(AR9+AR10+AR16+AR42)</f>
        <v>24384263.48</v>
      </c>
      <c r="AS4" s="45">
        <f>AR4-AQ4</f>
        <v>24384263.48</v>
      </c>
      <c r="AT4" s="46"/>
      <c r="AU4" s="46" t="s">
        <v>131</v>
      </c>
    </row>
    <row r="5" spans="1:48" ht="102.75" customHeight="1" x14ac:dyDescent="0.35">
      <c r="A5" s="285" t="s">
        <v>132</v>
      </c>
      <c r="B5" s="47" t="s">
        <v>133</v>
      </c>
      <c r="C5" s="47" t="s">
        <v>134</v>
      </c>
      <c r="D5" s="47" t="s">
        <v>135</v>
      </c>
      <c r="E5" s="47" t="s">
        <v>136</v>
      </c>
      <c r="F5" s="47" t="s">
        <v>337</v>
      </c>
      <c r="G5" s="47" t="s">
        <v>137</v>
      </c>
      <c r="H5" s="47" t="s">
        <v>138</v>
      </c>
      <c r="I5" s="47" t="s">
        <v>139</v>
      </c>
      <c r="J5" s="840" t="s">
        <v>140</v>
      </c>
      <c r="K5" s="1032"/>
      <c r="L5" s="1032"/>
      <c r="M5" s="1032"/>
      <c r="N5" s="840" t="s">
        <v>141</v>
      </c>
      <c r="O5" s="840" t="s">
        <v>142</v>
      </c>
      <c r="P5" s="840" t="s">
        <v>143</v>
      </c>
      <c r="Q5" s="48" t="s">
        <v>144</v>
      </c>
      <c r="R5" s="840" t="s">
        <v>145</v>
      </c>
      <c r="S5" s="49" t="s">
        <v>146</v>
      </c>
      <c r="T5" s="49" t="s">
        <v>1159</v>
      </c>
      <c r="U5" s="49" t="s">
        <v>1160</v>
      </c>
      <c r="V5" s="49" t="s">
        <v>147</v>
      </c>
      <c r="W5" s="840" t="s">
        <v>148</v>
      </c>
      <c r="X5" s="840" t="s">
        <v>305</v>
      </c>
      <c r="Y5" s="50" t="s">
        <v>149</v>
      </c>
      <c r="Z5" s="51" t="s">
        <v>150</v>
      </c>
      <c r="AA5" s="840" t="s">
        <v>151</v>
      </c>
      <c r="AB5" s="52" t="s">
        <v>152</v>
      </c>
      <c r="AC5" s="53" t="s">
        <v>153</v>
      </c>
      <c r="AD5" s="53" t="s">
        <v>154</v>
      </c>
      <c r="AE5" s="54" t="s">
        <v>155</v>
      </c>
      <c r="AF5" s="54" t="s">
        <v>156</v>
      </c>
      <c r="AG5" s="54" t="s">
        <v>157</v>
      </c>
      <c r="AH5" s="55" t="s">
        <v>158</v>
      </c>
      <c r="AI5" s="851" t="s">
        <v>159</v>
      </c>
      <c r="AJ5" s="852" t="s">
        <v>160</v>
      </c>
      <c r="AK5" s="55" t="s">
        <v>161</v>
      </c>
      <c r="AL5" s="44" t="s">
        <v>162</v>
      </c>
      <c r="AM5" s="1012"/>
      <c r="AN5" s="853"/>
      <c r="AO5" s="56" t="s">
        <v>163</v>
      </c>
      <c r="AP5" s="56" t="s">
        <v>164</v>
      </c>
      <c r="AQ5" s="1013" t="s">
        <v>165</v>
      </c>
      <c r="AR5" s="1013"/>
    </row>
    <row r="6" spans="1:48" s="168" customFormat="1" ht="19.5" customHeight="1" x14ac:dyDescent="0.35">
      <c r="A6" s="286"/>
      <c r="B6" s="57"/>
      <c r="C6" s="57"/>
      <c r="D6" s="57"/>
      <c r="E6" s="57"/>
      <c r="F6" s="58"/>
      <c r="G6" s="58"/>
      <c r="H6" s="58"/>
      <c r="I6" s="58"/>
      <c r="J6" s="59"/>
      <c r="K6" s="60"/>
      <c r="L6" s="60"/>
      <c r="M6" s="60"/>
      <c r="N6" s="61"/>
      <c r="O6" s="59"/>
      <c r="P6" s="59"/>
      <c r="Q6" s="62"/>
      <c r="R6" s="59"/>
      <c r="S6" s="63"/>
      <c r="T6" s="63"/>
      <c r="U6" s="63"/>
      <c r="V6" s="63"/>
      <c r="W6" s="59"/>
      <c r="X6" s="59"/>
      <c r="Y6" s="64"/>
      <c r="Z6" s="65"/>
      <c r="AA6" s="59"/>
      <c r="AB6" s="66"/>
      <c r="AC6" s="67"/>
      <c r="AD6" s="67"/>
      <c r="AE6" s="68"/>
      <c r="AF6" s="68"/>
      <c r="AG6" s="68"/>
      <c r="AH6" s="69"/>
      <c r="AI6" s="854"/>
      <c r="AJ6" s="855"/>
      <c r="AK6" s="287"/>
      <c r="AL6" s="70"/>
      <c r="AM6" s="856"/>
      <c r="AN6" s="857"/>
      <c r="AO6" s="71"/>
      <c r="AP6" s="71"/>
      <c r="AQ6" s="858"/>
      <c r="AR6" s="859"/>
      <c r="AS6" s="288"/>
      <c r="AV6" s="289"/>
    </row>
    <row r="7" spans="1:48" s="299" customFormat="1" ht="81.599999999999994" customHeight="1" x14ac:dyDescent="0.35">
      <c r="A7" s="290" t="s">
        <v>29</v>
      </c>
      <c r="B7" s="291" t="s">
        <v>166</v>
      </c>
      <c r="C7" s="291" t="s">
        <v>167</v>
      </c>
      <c r="D7" s="291"/>
      <c r="E7" s="291"/>
      <c r="F7" s="292"/>
      <c r="G7" s="292"/>
      <c r="H7" s="292"/>
      <c r="I7" s="292"/>
      <c r="J7" s="72" t="s">
        <v>168</v>
      </c>
      <c r="K7" s="78"/>
      <c r="L7" s="78">
        <v>21561938</v>
      </c>
      <c r="M7" s="78"/>
      <c r="N7" s="258">
        <f t="shared" ref="N7:AH7" si="0">SUM(N8)</f>
        <v>0</v>
      </c>
      <c r="O7" s="73">
        <f t="shared" si="0"/>
        <v>42054900</v>
      </c>
      <c r="P7" s="73">
        <f t="shared" si="0"/>
        <v>2551300</v>
      </c>
      <c r="Q7" s="73">
        <f t="shared" si="0"/>
        <v>0</v>
      </c>
      <c r="R7" s="73">
        <f t="shared" si="0"/>
        <v>44606200</v>
      </c>
      <c r="S7" s="73">
        <f t="shared" si="0"/>
        <v>0</v>
      </c>
      <c r="T7" s="73">
        <f t="shared" si="0"/>
        <v>0</v>
      </c>
      <c r="U7" s="73">
        <f t="shared" si="0"/>
        <v>0</v>
      </c>
      <c r="V7" s="73">
        <f t="shared" si="0"/>
        <v>0</v>
      </c>
      <c r="W7" s="73">
        <f t="shared" si="0"/>
        <v>44606200</v>
      </c>
      <c r="X7" s="73">
        <f t="shared" si="0"/>
        <v>0</v>
      </c>
      <c r="Y7" s="73">
        <f t="shared" si="0"/>
        <v>0</v>
      </c>
      <c r="Z7" s="73">
        <f t="shared" si="0"/>
        <v>0</v>
      </c>
      <c r="AA7" s="73">
        <f t="shared" si="0"/>
        <v>0</v>
      </c>
      <c r="AB7" s="73">
        <f t="shared" si="0"/>
        <v>0</v>
      </c>
      <c r="AC7" s="73">
        <f t="shared" si="0"/>
        <v>0</v>
      </c>
      <c r="AD7" s="73">
        <f t="shared" si="0"/>
        <v>0</v>
      </c>
      <c r="AE7" s="73">
        <f t="shared" si="0"/>
        <v>0</v>
      </c>
      <c r="AF7" s="73">
        <f t="shared" si="0"/>
        <v>0</v>
      </c>
      <c r="AG7" s="73">
        <f t="shared" si="0"/>
        <v>0</v>
      </c>
      <c r="AH7" s="73">
        <f t="shared" si="0"/>
        <v>44606200</v>
      </c>
      <c r="AI7" s="860" t="s">
        <v>66</v>
      </c>
      <c r="AJ7" s="293"/>
      <c r="AK7" s="80"/>
      <c r="AL7" s="294" t="e">
        <f>SUM(AE7-AF7-#REF!-#REF!)</f>
        <v>#REF!</v>
      </c>
      <c r="AM7" s="295">
        <f>SUM(AH7-AO7)/(AH7)</f>
        <v>1</v>
      </c>
      <c r="AN7" s="296"/>
      <c r="AO7" s="297"/>
      <c r="AP7" s="861"/>
      <c r="AQ7" s="862"/>
      <c r="AR7" s="863"/>
      <c r="AS7" s="298"/>
      <c r="AV7" s="300"/>
    </row>
    <row r="8" spans="1:48" s="304" customFormat="1" ht="93" customHeight="1" x14ac:dyDescent="0.35">
      <c r="A8" s="301"/>
      <c r="B8" s="585" t="s">
        <v>166</v>
      </c>
      <c r="C8" s="585" t="s">
        <v>167</v>
      </c>
      <c r="D8" s="585" t="s">
        <v>169</v>
      </c>
      <c r="E8" s="585"/>
      <c r="F8" s="585"/>
      <c r="G8" s="585"/>
      <c r="H8" s="585"/>
      <c r="I8" s="585"/>
      <c r="J8" s="576" t="s">
        <v>170</v>
      </c>
      <c r="K8" s="577"/>
      <c r="L8" s="577"/>
      <c r="M8" s="577"/>
      <c r="N8" s="584">
        <f t="shared" ref="N8:AH8" si="1">SUM(N9:N10)</f>
        <v>0</v>
      </c>
      <c r="O8" s="584">
        <f t="shared" si="1"/>
        <v>42054900</v>
      </c>
      <c r="P8" s="584">
        <f t="shared" si="1"/>
        <v>2551300</v>
      </c>
      <c r="Q8" s="584">
        <f t="shared" si="1"/>
        <v>0</v>
      </c>
      <c r="R8" s="584">
        <f t="shared" si="1"/>
        <v>44606200</v>
      </c>
      <c r="S8" s="584">
        <f t="shared" si="1"/>
        <v>0</v>
      </c>
      <c r="T8" s="584">
        <f t="shared" si="1"/>
        <v>0</v>
      </c>
      <c r="U8" s="584">
        <f t="shared" si="1"/>
        <v>0</v>
      </c>
      <c r="V8" s="584">
        <f t="shared" si="1"/>
        <v>0</v>
      </c>
      <c r="W8" s="584">
        <f t="shared" si="1"/>
        <v>44606200</v>
      </c>
      <c r="X8" s="584">
        <f t="shared" si="1"/>
        <v>0</v>
      </c>
      <c r="Y8" s="584">
        <f t="shared" si="1"/>
        <v>0</v>
      </c>
      <c r="Z8" s="584">
        <f t="shared" si="1"/>
        <v>0</v>
      </c>
      <c r="AA8" s="584">
        <f t="shared" si="1"/>
        <v>0</v>
      </c>
      <c r="AB8" s="584">
        <f t="shared" si="1"/>
        <v>0</v>
      </c>
      <c r="AC8" s="584">
        <f t="shared" si="1"/>
        <v>0</v>
      </c>
      <c r="AD8" s="584">
        <f t="shared" si="1"/>
        <v>0</v>
      </c>
      <c r="AE8" s="584">
        <f t="shared" si="1"/>
        <v>0</v>
      </c>
      <c r="AF8" s="584">
        <f t="shared" si="1"/>
        <v>0</v>
      </c>
      <c r="AG8" s="584">
        <f t="shared" si="1"/>
        <v>0</v>
      </c>
      <c r="AH8" s="584">
        <f t="shared" si="1"/>
        <v>44606200</v>
      </c>
      <c r="AI8" s="864"/>
      <c r="AJ8" s="578"/>
      <c r="AK8" s="579"/>
      <c r="AL8" s="580"/>
      <c r="AM8" s="581"/>
      <c r="AN8" s="582"/>
      <c r="AO8" s="583"/>
      <c r="AP8" s="865"/>
      <c r="AQ8" s="866"/>
      <c r="AR8" s="867"/>
      <c r="AS8" s="278"/>
      <c r="AV8" s="279"/>
    </row>
    <row r="9" spans="1:48" s="304" customFormat="1" ht="81.95" customHeight="1" x14ac:dyDescent="0.35">
      <c r="A9" s="301" t="s">
        <v>29</v>
      </c>
      <c r="B9" s="606" t="s">
        <v>166</v>
      </c>
      <c r="C9" s="606" t="s">
        <v>167</v>
      </c>
      <c r="D9" s="606" t="s">
        <v>169</v>
      </c>
      <c r="E9" s="606" t="s">
        <v>171</v>
      </c>
      <c r="F9" s="591"/>
      <c r="G9" s="591"/>
      <c r="H9" s="591"/>
      <c r="I9" s="591"/>
      <c r="J9" s="607" t="s">
        <v>347</v>
      </c>
      <c r="K9" s="594"/>
      <c r="L9" s="594"/>
      <c r="M9" s="594"/>
      <c r="N9" s="595"/>
      <c r="O9" s="76">
        <v>41054900</v>
      </c>
      <c r="P9" s="608">
        <v>2119100</v>
      </c>
      <c r="Q9" s="608"/>
      <c r="R9" s="608">
        <f>SUM(O9+P9-Q9)</f>
        <v>43174000</v>
      </c>
      <c r="S9" s="608"/>
      <c r="T9" s="608"/>
      <c r="U9" s="608"/>
      <c r="V9" s="608">
        <f>SUM(T9-U9)</f>
        <v>0</v>
      </c>
      <c r="W9" s="608">
        <v>43174000</v>
      </c>
      <c r="X9" s="608"/>
      <c r="Y9" s="609"/>
      <c r="Z9" s="610"/>
      <c r="AA9" s="611">
        <f>SUM(R9-S9-U9-W9-X9-Y9-Z9)</f>
        <v>0</v>
      </c>
      <c r="AB9" s="612"/>
      <c r="AC9" s="612"/>
      <c r="AD9" s="611"/>
      <c r="AE9" s="610">
        <f>SUM(AA9-AC9)</f>
        <v>0</v>
      </c>
      <c r="AF9" s="610"/>
      <c r="AG9" s="652">
        <f>SUM(AE9-AF9)</f>
        <v>0</v>
      </c>
      <c r="AH9" s="609">
        <f>SUM(S9+U9+W9+Z9+X9+AC9)</f>
        <v>43174000</v>
      </c>
      <c r="AI9" s="868" t="s">
        <v>66</v>
      </c>
      <c r="AJ9" s="609"/>
      <c r="AK9" s="613"/>
      <c r="AL9" s="614" t="e">
        <f>SUM(AE9-AF9-#REF!-#REF!)</f>
        <v>#REF!</v>
      </c>
      <c r="AM9" s="615">
        <f>SUM(AH9-AO9)/(AH9)</f>
        <v>1</v>
      </c>
      <c r="AN9" s="869"/>
      <c r="AO9" s="616"/>
      <c r="AP9" s="870"/>
      <c r="AQ9" s="871"/>
      <c r="AR9" s="872"/>
      <c r="AS9" s="278"/>
      <c r="AV9" s="279"/>
    </row>
    <row r="10" spans="1:48" s="304" customFormat="1" ht="86.45" customHeight="1" x14ac:dyDescent="0.35">
      <c r="A10" s="301"/>
      <c r="B10" s="606" t="s">
        <v>166</v>
      </c>
      <c r="C10" s="606" t="s">
        <v>167</v>
      </c>
      <c r="D10" s="606" t="s">
        <v>169</v>
      </c>
      <c r="E10" s="606" t="s">
        <v>172</v>
      </c>
      <c r="F10" s="591"/>
      <c r="G10" s="591"/>
      <c r="H10" s="591"/>
      <c r="I10" s="591"/>
      <c r="J10" s="607" t="s">
        <v>348</v>
      </c>
      <c r="K10" s="594"/>
      <c r="L10" s="594"/>
      <c r="M10" s="594"/>
      <c r="N10" s="595"/>
      <c r="O10" s="76">
        <v>1000000</v>
      </c>
      <c r="P10" s="608">
        <v>432200</v>
      </c>
      <c r="Q10" s="608"/>
      <c r="R10" s="608">
        <f>SUM(O10+P10-Q10)</f>
        <v>1432200</v>
      </c>
      <c r="S10" s="608"/>
      <c r="T10" s="608"/>
      <c r="U10" s="608"/>
      <c r="V10" s="608">
        <f>SUM(T10-U10)</f>
        <v>0</v>
      </c>
      <c r="W10" s="608">
        <v>1432200</v>
      </c>
      <c r="X10" s="608"/>
      <c r="Y10" s="609"/>
      <c r="Z10" s="610"/>
      <c r="AA10" s="611">
        <f>SUM(R10-S10-U10-W10-X10-Y10-Z10)</f>
        <v>0</v>
      </c>
      <c r="AB10" s="612"/>
      <c r="AC10" s="612"/>
      <c r="AD10" s="611"/>
      <c r="AE10" s="610">
        <f>SUM(AA10-AC10)</f>
        <v>0</v>
      </c>
      <c r="AF10" s="610"/>
      <c r="AG10" s="652">
        <f>SUM(AE10-AF10)</f>
        <v>0</v>
      </c>
      <c r="AH10" s="609">
        <f>SUM(S10+U10+W10+Z10+X10+AC10)</f>
        <v>1432200</v>
      </c>
      <c r="AI10" s="868" t="s">
        <v>66</v>
      </c>
      <c r="AJ10" s="609"/>
      <c r="AK10" s="613"/>
      <c r="AL10" s="614" t="e">
        <f>SUM(AE10-AF10-#REF!-#REF!)</f>
        <v>#REF!</v>
      </c>
      <c r="AM10" s="615">
        <f>SUM(AH10-AO10)/(AH10)</f>
        <v>1</v>
      </c>
      <c r="AN10" s="869"/>
      <c r="AO10" s="616"/>
      <c r="AP10" s="870"/>
      <c r="AQ10" s="871"/>
      <c r="AR10" s="873"/>
      <c r="AS10" s="278"/>
      <c r="AV10" s="279"/>
    </row>
    <row r="11" spans="1:48" s="209" customFormat="1" ht="44.25" customHeight="1" x14ac:dyDescent="0.35">
      <c r="A11" s="308" t="s">
        <v>29</v>
      </c>
      <c r="B11" s="309"/>
      <c r="C11" s="309"/>
      <c r="D11" s="309"/>
      <c r="E11" s="309"/>
      <c r="F11" s="309"/>
      <c r="G11" s="309"/>
      <c r="H11" s="309"/>
      <c r="I11" s="309"/>
      <c r="J11" s="72"/>
      <c r="K11" s="78"/>
      <c r="L11" s="78"/>
      <c r="M11" s="78"/>
      <c r="N11" s="78"/>
      <c r="O11" s="310"/>
      <c r="P11" s="310"/>
      <c r="Q11" s="310"/>
      <c r="R11" s="310"/>
      <c r="S11" s="310"/>
      <c r="T11" s="310"/>
      <c r="U11" s="310"/>
      <c r="V11" s="310"/>
      <c r="W11" s="310"/>
      <c r="X11" s="311"/>
      <c r="Y11" s="312"/>
      <c r="Z11" s="312"/>
      <c r="AA11" s="313"/>
      <c r="AB11" s="314"/>
      <c r="AC11" s="314"/>
      <c r="AD11" s="314">
        <f>SUM(AB11-AC11)</f>
        <v>0</v>
      </c>
      <c r="AE11" s="315">
        <f>SUM(AE7:AE9)</f>
        <v>0</v>
      </c>
      <c r="AF11" s="315"/>
      <c r="AG11" s="315"/>
      <c r="AH11" s="293"/>
      <c r="AI11" s="860" t="s">
        <v>66</v>
      </c>
      <c r="AJ11" s="79"/>
      <c r="AK11" s="80"/>
      <c r="AL11" s="316" t="e">
        <f>SUM(AE11-AF11-#REF!+#REF!)</f>
        <v>#REF!</v>
      </c>
      <c r="AM11" s="317" t="e">
        <f>SUM(R11-(AE11+Y11))/R11</f>
        <v>#DIV/0!</v>
      </c>
      <c r="AN11" s="318"/>
      <c r="AO11" s="319"/>
      <c r="AP11" s="320"/>
      <c r="AQ11" s="874"/>
      <c r="AR11" s="874"/>
      <c r="AS11" s="843">
        <f>119717609.81-AS12</f>
        <v>95333346.329999998</v>
      </c>
      <c r="AV11" s="289"/>
    </row>
    <row r="12" spans="1:48" s="304" customFormat="1" ht="45" customHeight="1" x14ac:dyDescent="0.35">
      <c r="A12" s="301" t="s">
        <v>29</v>
      </c>
      <c r="B12" s="305">
        <v>2</v>
      </c>
      <c r="C12" s="305">
        <v>0</v>
      </c>
      <c r="D12" s="305">
        <v>4</v>
      </c>
      <c r="E12" s="305"/>
      <c r="F12" s="305"/>
      <c r="G12" s="305"/>
      <c r="H12" s="305"/>
      <c r="I12" s="305"/>
      <c r="J12" s="321" t="s">
        <v>173</v>
      </c>
      <c r="K12" s="322"/>
      <c r="L12" s="322"/>
      <c r="M12" s="322"/>
      <c r="N12" s="259">
        <v>2584700000</v>
      </c>
      <c r="O12" s="323"/>
      <c r="P12" s="306"/>
      <c r="Q12" s="306"/>
      <c r="R12" s="306"/>
      <c r="S12" s="267"/>
      <c r="T12" s="307"/>
      <c r="U12" s="267"/>
      <c r="V12" s="267"/>
      <c r="W12" s="267"/>
      <c r="X12" s="267"/>
      <c r="Y12" s="324"/>
      <c r="Z12" s="77"/>
      <c r="AA12" s="119"/>
      <c r="AB12" s="119"/>
      <c r="AC12" s="119"/>
      <c r="AD12" s="119">
        <f>SUM(AB12-AC12)</f>
        <v>0</v>
      </c>
      <c r="AE12" s="77"/>
      <c r="AF12" s="77"/>
      <c r="AG12" s="77"/>
      <c r="AH12" s="324"/>
      <c r="AI12" s="325"/>
      <c r="AJ12" s="81"/>
      <c r="AK12" s="82"/>
      <c r="AL12" s="326" t="e">
        <f>SUM(AE12-AF12-#REF!+#REF!)</f>
        <v>#REF!</v>
      </c>
      <c r="AM12" s="327"/>
      <c r="AN12" s="328"/>
      <c r="AO12" s="329"/>
      <c r="AP12" s="330"/>
      <c r="AQ12" s="875"/>
      <c r="AR12" s="875"/>
      <c r="AS12" s="526">
        <f>AR15-AQ15</f>
        <v>24384263.48</v>
      </c>
      <c r="AV12" s="279"/>
    </row>
    <row r="13" spans="1:48" ht="8.25" customHeight="1" x14ac:dyDescent="0.35">
      <c r="A13" s="331"/>
      <c r="B13" s="332"/>
      <c r="C13" s="332"/>
      <c r="D13" s="332"/>
      <c r="E13" s="332"/>
      <c r="F13" s="332"/>
      <c r="G13" s="332"/>
      <c r="H13" s="332"/>
      <c r="I13" s="332"/>
      <c r="J13" s="333"/>
      <c r="K13" s="334"/>
      <c r="L13" s="334"/>
      <c r="M13" s="335"/>
      <c r="N13" s="336"/>
      <c r="O13" s="83"/>
      <c r="P13" s="83"/>
      <c r="Q13" s="83"/>
      <c r="R13" s="84"/>
      <c r="S13" s="84"/>
      <c r="T13" s="84"/>
      <c r="U13" s="84"/>
      <c r="V13" s="84"/>
      <c r="W13" s="84"/>
      <c r="X13" s="84"/>
      <c r="Y13" s="84"/>
      <c r="Z13" s="85"/>
      <c r="AA13" s="85"/>
      <c r="AB13" s="85"/>
      <c r="AC13" s="85"/>
      <c r="AD13" s="85"/>
      <c r="AE13" s="85"/>
      <c r="AF13" s="85"/>
      <c r="AG13" s="85"/>
      <c r="AH13" s="86"/>
      <c r="AI13" s="87"/>
      <c r="AJ13" s="88"/>
      <c r="AK13" s="88"/>
      <c r="AL13" s="89"/>
      <c r="AM13" s="87"/>
      <c r="AN13" s="90"/>
      <c r="AO13" s="319"/>
      <c r="AP13" s="337"/>
      <c r="AQ13" s="874"/>
      <c r="AR13" s="874"/>
    </row>
    <row r="14" spans="1:48" ht="8.25" customHeight="1" x14ac:dyDescent="0.35">
      <c r="A14" s="331"/>
      <c r="B14" s="338"/>
      <c r="C14" s="338"/>
      <c r="D14" s="338"/>
      <c r="E14" s="338"/>
      <c r="F14" s="338"/>
      <c r="G14" s="338"/>
      <c r="H14" s="338"/>
      <c r="I14" s="338"/>
      <c r="J14" s="339"/>
      <c r="K14" s="340"/>
      <c r="L14" s="340"/>
      <c r="M14" s="341"/>
      <c r="N14" s="342"/>
      <c r="O14" s="91"/>
      <c r="P14" s="91"/>
      <c r="Q14" s="91"/>
      <c r="R14" s="92"/>
      <c r="S14" s="92"/>
      <c r="T14" s="92"/>
      <c r="U14" s="92"/>
      <c r="V14" s="92"/>
      <c r="W14" s="92"/>
      <c r="X14" s="92"/>
      <c r="Y14" s="92"/>
      <c r="Z14" s="93"/>
      <c r="AA14" s="93"/>
      <c r="AB14" s="93"/>
      <c r="AC14" s="93"/>
      <c r="AD14" s="93"/>
      <c r="AE14" s="93"/>
      <c r="AF14" s="93"/>
      <c r="AG14" s="93"/>
      <c r="AH14" s="86"/>
      <c r="AI14" s="94"/>
      <c r="AJ14" s="92"/>
      <c r="AK14" s="92"/>
      <c r="AL14" s="95"/>
      <c r="AM14" s="94"/>
      <c r="AN14" s="90"/>
      <c r="AO14" s="319"/>
      <c r="AP14" s="337"/>
      <c r="AQ14" s="874"/>
      <c r="AR14" s="874"/>
    </row>
    <row r="15" spans="1:48" s="106" customFormat="1" ht="99" customHeight="1" x14ac:dyDescent="0.5">
      <c r="A15" s="876" t="s">
        <v>29</v>
      </c>
      <c r="B15" s="96" t="s">
        <v>169</v>
      </c>
      <c r="C15" s="96"/>
      <c r="D15" s="96"/>
      <c r="E15" s="96"/>
      <c r="F15" s="96"/>
      <c r="G15" s="96"/>
      <c r="H15" s="96"/>
      <c r="I15" s="96"/>
      <c r="J15" s="97" t="s">
        <v>174</v>
      </c>
      <c r="K15" s="98" t="s">
        <v>174</v>
      </c>
      <c r="L15" s="73">
        <v>100121585</v>
      </c>
      <c r="M15" s="73">
        <v>22000000</v>
      </c>
      <c r="N15" s="258">
        <f t="shared" ref="N15:AC15" si="2">SUM(N16+N42)</f>
        <v>2584700001</v>
      </c>
      <c r="O15" s="73">
        <f>SUM(O16+O42)</f>
        <v>2584700001</v>
      </c>
      <c r="P15" s="73">
        <f t="shared" si="2"/>
        <v>491926802.72999996</v>
      </c>
      <c r="Q15" s="73">
        <f t="shared" si="2"/>
        <v>543276071.73000002</v>
      </c>
      <c r="R15" s="73">
        <f t="shared" si="2"/>
        <v>2533650732</v>
      </c>
      <c r="S15" s="73">
        <f t="shared" si="2"/>
        <v>14000000</v>
      </c>
      <c r="T15" s="73">
        <f t="shared" si="2"/>
        <v>19599230.559999999</v>
      </c>
      <c r="U15" s="73">
        <f t="shared" si="2"/>
        <v>19599230.559999999</v>
      </c>
      <c r="V15" s="73">
        <f t="shared" si="2"/>
        <v>0</v>
      </c>
      <c r="W15" s="73">
        <f t="shared" si="2"/>
        <v>265443412</v>
      </c>
      <c r="X15" s="73">
        <f t="shared" si="2"/>
        <v>1108731634.4400001</v>
      </c>
      <c r="Y15" s="73">
        <f t="shared" si="2"/>
        <v>0</v>
      </c>
      <c r="Z15" s="73">
        <f t="shared" si="2"/>
        <v>286175162.03000003</v>
      </c>
      <c r="AA15" s="73">
        <f t="shared" si="2"/>
        <v>839701292.96999991</v>
      </c>
      <c r="AB15" s="73">
        <f t="shared" si="2"/>
        <v>989848778.72000003</v>
      </c>
      <c r="AC15" s="73">
        <f t="shared" si="2"/>
        <v>761901809.49000001</v>
      </c>
      <c r="AD15" s="73">
        <f>SUM(AB15-AC15)</f>
        <v>227946969.23000002</v>
      </c>
      <c r="AE15" s="99">
        <f>SUM(AE16+AE42)</f>
        <v>77799483.479999989</v>
      </c>
      <c r="AF15" s="99">
        <f>SUM(AF16+AF42)</f>
        <v>35000000</v>
      </c>
      <c r="AG15" s="99">
        <f>SUM(AG16+AG42)</f>
        <v>42799483.479999997</v>
      </c>
      <c r="AH15" s="99">
        <f>SUM(S15+U15+W15+Z15+X15+AC15)</f>
        <v>2455851248.5200005</v>
      </c>
      <c r="AI15" s="877"/>
      <c r="AJ15" s="99"/>
      <c r="AK15" s="100"/>
      <c r="AL15" s="101" t="e">
        <f>SUM(AE15-AF15-#REF!-#REF!)</f>
        <v>#REF!</v>
      </c>
      <c r="AM15" s="102">
        <f t="shared" ref="AM15:AM23" si="3">SUM(R15-(AE15+Y15))/R15</f>
        <v>0.96929352475564501</v>
      </c>
      <c r="AN15" s="103"/>
      <c r="AO15" s="104"/>
      <c r="AP15" s="105"/>
      <c r="AQ15" s="878">
        <f>SUM(AQ16+AQ42)</f>
        <v>0</v>
      </c>
      <c r="AR15" s="878">
        <f>SUM(AR16+AR42)</f>
        <v>24384263.48</v>
      </c>
      <c r="AS15" s="668">
        <f>SUM(AQ15-AR15)</f>
        <v>-24384263.48</v>
      </c>
      <c r="AV15" s="107"/>
    </row>
    <row r="16" spans="1:48" s="352" customFormat="1" ht="40.5" x14ac:dyDescent="0.35">
      <c r="A16" s="343" t="s">
        <v>29</v>
      </c>
      <c r="B16" s="838" t="s">
        <v>169</v>
      </c>
      <c r="C16" s="838" t="s">
        <v>167</v>
      </c>
      <c r="D16" s="838"/>
      <c r="E16" s="838"/>
      <c r="F16" s="838"/>
      <c r="G16" s="838"/>
      <c r="H16" s="344"/>
      <c r="I16" s="344"/>
      <c r="J16" s="108" t="s">
        <v>175</v>
      </c>
      <c r="K16" s="118"/>
      <c r="L16" s="118">
        <v>223529923</v>
      </c>
      <c r="M16" s="118">
        <v>36257167</v>
      </c>
      <c r="N16" s="109">
        <f t="shared" ref="N16:AH16" si="4">SUM(N17)</f>
        <v>88600000</v>
      </c>
      <c r="O16" s="109">
        <f t="shared" si="4"/>
        <v>88600000</v>
      </c>
      <c r="P16" s="109">
        <f t="shared" si="4"/>
        <v>3845100</v>
      </c>
      <c r="Q16" s="109">
        <f t="shared" si="4"/>
        <v>58151300</v>
      </c>
      <c r="R16" s="109">
        <f t="shared" si="4"/>
        <v>34293800</v>
      </c>
      <c r="S16" s="109">
        <f t="shared" si="4"/>
        <v>0</v>
      </c>
      <c r="T16" s="109">
        <f t="shared" si="4"/>
        <v>0</v>
      </c>
      <c r="U16" s="109">
        <f t="shared" si="4"/>
        <v>0</v>
      </c>
      <c r="V16" s="109">
        <f t="shared" si="4"/>
        <v>0</v>
      </c>
      <c r="W16" s="345">
        <f t="shared" si="4"/>
        <v>0</v>
      </c>
      <c r="X16" s="345">
        <f t="shared" si="4"/>
        <v>0</v>
      </c>
      <c r="Y16" s="624">
        <f t="shared" si="4"/>
        <v>0</v>
      </c>
      <c r="Z16" s="345">
        <f t="shared" si="4"/>
        <v>3414000</v>
      </c>
      <c r="AA16" s="345">
        <f t="shared" si="4"/>
        <v>30879800</v>
      </c>
      <c r="AB16" s="345">
        <f t="shared" si="4"/>
        <v>30000000</v>
      </c>
      <c r="AC16" s="345">
        <f t="shared" si="4"/>
        <v>9464580</v>
      </c>
      <c r="AD16" s="345">
        <f t="shared" si="4"/>
        <v>20535420</v>
      </c>
      <c r="AE16" s="345">
        <f t="shared" si="4"/>
        <v>21415220</v>
      </c>
      <c r="AF16" s="345">
        <f t="shared" si="4"/>
        <v>3000000</v>
      </c>
      <c r="AG16" s="345">
        <f>SUM(AG17)</f>
        <v>18415220</v>
      </c>
      <c r="AH16" s="345">
        <f t="shared" si="4"/>
        <v>12878580</v>
      </c>
      <c r="AI16" s="879">
        <f t="shared" ref="AI16:AI23" si="5">AC16/(AC16+AF16+AG16)</f>
        <v>0.30649745140836404</v>
      </c>
      <c r="AJ16" s="346"/>
      <c r="AK16" s="347"/>
      <c r="AL16" s="348" t="e">
        <f>SUM(AE16-AF16-#REF!-#REF!)</f>
        <v>#REF!</v>
      </c>
      <c r="AM16" s="349">
        <f t="shared" si="3"/>
        <v>0.3755366859315678</v>
      </c>
      <c r="AN16" s="117"/>
      <c r="AO16" s="350"/>
      <c r="AP16" s="351"/>
      <c r="AQ16" s="880">
        <f>AQ17</f>
        <v>0</v>
      </c>
      <c r="AR16" s="880">
        <f>AR17</f>
        <v>0</v>
      </c>
      <c r="AS16" s="115"/>
      <c r="AV16" s="353"/>
    </row>
    <row r="17" spans="1:48" s="364" customFormat="1" ht="27.75" x14ac:dyDescent="0.35">
      <c r="A17" s="354"/>
      <c r="B17" s="302" t="s">
        <v>169</v>
      </c>
      <c r="C17" s="302" t="s">
        <v>167</v>
      </c>
      <c r="D17" s="302" t="s">
        <v>167</v>
      </c>
      <c r="E17" s="302"/>
      <c r="F17" s="302"/>
      <c r="G17" s="302"/>
      <c r="H17" s="355"/>
      <c r="I17" s="355"/>
      <c r="J17" s="74" t="s">
        <v>176</v>
      </c>
      <c r="K17" s="303"/>
      <c r="L17" s="303"/>
      <c r="M17" s="303"/>
      <c r="N17" s="75">
        <f t="shared" ref="N17:AH17" si="6">SUM(N18+N24)</f>
        <v>88600000</v>
      </c>
      <c r="O17" s="75">
        <f t="shared" si="6"/>
        <v>88600000</v>
      </c>
      <c r="P17" s="75">
        <f t="shared" si="6"/>
        <v>3845100</v>
      </c>
      <c r="Q17" s="75">
        <f t="shared" si="6"/>
        <v>58151300</v>
      </c>
      <c r="R17" s="75">
        <f t="shared" si="6"/>
        <v>34293800</v>
      </c>
      <c r="S17" s="75">
        <f t="shared" si="6"/>
        <v>0</v>
      </c>
      <c r="T17" s="75">
        <f t="shared" si="6"/>
        <v>0</v>
      </c>
      <c r="U17" s="75">
        <f t="shared" si="6"/>
        <v>0</v>
      </c>
      <c r="V17" s="75">
        <f t="shared" si="6"/>
        <v>0</v>
      </c>
      <c r="W17" s="356">
        <f t="shared" si="6"/>
        <v>0</v>
      </c>
      <c r="X17" s="356">
        <f t="shared" si="6"/>
        <v>0</v>
      </c>
      <c r="Y17" s="356">
        <f t="shared" si="6"/>
        <v>0</v>
      </c>
      <c r="Z17" s="356">
        <f t="shared" si="6"/>
        <v>3414000</v>
      </c>
      <c r="AA17" s="356">
        <f t="shared" si="6"/>
        <v>30879800</v>
      </c>
      <c r="AB17" s="356">
        <f t="shared" si="6"/>
        <v>30000000</v>
      </c>
      <c r="AC17" s="356">
        <f t="shared" si="6"/>
        <v>9464580</v>
      </c>
      <c r="AD17" s="356">
        <f t="shared" si="6"/>
        <v>20535420</v>
      </c>
      <c r="AE17" s="356">
        <f t="shared" si="6"/>
        <v>21415220</v>
      </c>
      <c r="AF17" s="356">
        <f t="shared" si="6"/>
        <v>3000000</v>
      </c>
      <c r="AG17" s="356">
        <f>SUM(AG18+AG24)</f>
        <v>18415220</v>
      </c>
      <c r="AH17" s="356">
        <f t="shared" si="6"/>
        <v>12878580</v>
      </c>
      <c r="AI17" s="881">
        <f t="shared" si="5"/>
        <v>0.30649745140836404</v>
      </c>
      <c r="AJ17" s="357"/>
      <c r="AK17" s="358"/>
      <c r="AL17" s="359" t="e">
        <f>SUM(AE17-AF17-#REF!-#REF!)</f>
        <v>#REF!</v>
      </c>
      <c r="AM17" s="360">
        <f t="shared" si="3"/>
        <v>0.3755366859315678</v>
      </c>
      <c r="AN17" s="361"/>
      <c r="AO17" s="362"/>
      <c r="AP17" s="363"/>
      <c r="AQ17" s="882">
        <f>SUM(AQ18+AQ24)</f>
        <v>0</v>
      </c>
      <c r="AR17" s="882">
        <f>SUM(AR18+AR24)</f>
        <v>0</v>
      </c>
      <c r="AS17" s="669">
        <f>SUM(AR17-AQ17)</f>
        <v>0</v>
      </c>
      <c r="AV17" s="365"/>
    </row>
    <row r="18" spans="1:48" s="368" customFormat="1" ht="74.099999999999994" customHeight="1" x14ac:dyDescent="0.35">
      <c r="A18" s="366"/>
      <c r="B18" s="591" t="s">
        <v>169</v>
      </c>
      <c r="C18" s="591" t="s">
        <v>167</v>
      </c>
      <c r="D18" s="591" t="s">
        <v>167</v>
      </c>
      <c r="E18" s="591" t="s">
        <v>177</v>
      </c>
      <c r="F18" s="591"/>
      <c r="G18" s="591"/>
      <c r="H18" s="592"/>
      <c r="I18" s="592"/>
      <c r="J18" s="593" t="s">
        <v>178</v>
      </c>
      <c r="K18" s="594"/>
      <c r="L18" s="594"/>
      <c r="M18" s="594"/>
      <c r="N18" s="595">
        <f>SUM(N19)</f>
        <v>5800000</v>
      </c>
      <c r="O18" s="595">
        <f t="shared" ref="O18:AH18" si="7">SUM(O19)</f>
        <v>5800000</v>
      </c>
      <c r="P18" s="595">
        <f t="shared" si="7"/>
        <v>3845100</v>
      </c>
      <c r="Q18" s="595">
        <f t="shared" si="7"/>
        <v>8351300</v>
      </c>
      <c r="R18" s="595">
        <f t="shared" si="7"/>
        <v>1293800</v>
      </c>
      <c r="S18" s="595">
        <f t="shared" si="7"/>
        <v>0</v>
      </c>
      <c r="T18" s="595">
        <f t="shared" si="7"/>
        <v>0</v>
      </c>
      <c r="U18" s="595">
        <f t="shared" si="7"/>
        <v>0</v>
      </c>
      <c r="V18" s="595">
        <f t="shared" si="7"/>
        <v>0</v>
      </c>
      <c r="W18" s="595">
        <f t="shared" si="7"/>
        <v>0</v>
      </c>
      <c r="X18" s="595">
        <f t="shared" si="7"/>
        <v>0</v>
      </c>
      <c r="Y18" s="595">
        <f t="shared" si="7"/>
        <v>0</v>
      </c>
      <c r="Z18" s="595">
        <f t="shared" si="7"/>
        <v>0</v>
      </c>
      <c r="AA18" s="595">
        <f t="shared" si="7"/>
        <v>1293800</v>
      </c>
      <c r="AB18" s="595">
        <f t="shared" si="7"/>
        <v>0</v>
      </c>
      <c r="AC18" s="595">
        <f t="shared" si="7"/>
        <v>0</v>
      </c>
      <c r="AD18" s="595">
        <f t="shared" si="7"/>
        <v>0</v>
      </c>
      <c r="AE18" s="595">
        <f t="shared" si="7"/>
        <v>1293800</v>
      </c>
      <c r="AF18" s="595">
        <f t="shared" si="7"/>
        <v>0</v>
      </c>
      <c r="AG18" s="595">
        <f t="shared" si="7"/>
        <v>1293800</v>
      </c>
      <c r="AH18" s="595">
        <f t="shared" si="7"/>
        <v>0</v>
      </c>
      <c r="AI18" s="883">
        <f t="shared" si="5"/>
        <v>0</v>
      </c>
      <c r="AJ18" s="601"/>
      <c r="AK18" s="602"/>
      <c r="AL18" s="603" t="e">
        <f>SUM(AE18-AF18-#REF!-#REF!)</f>
        <v>#REF!</v>
      </c>
      <c r="AM18" s="604">
        <f t="shared" si="3"/>
        <v>0</v>
      </c>
      <c r="AN18" s="597"/>
      <c r="AO18" s="605"/>
      <c r="AP18" s="599"/>
      <c r="AQ18" s="872">
        <f>SUM(AQ19)</f>
        <v>0</v>
      </c>
      <c r="AR18" s="872">
        <f>SUM(AR19)</f>
        <v>0</v>
      </c>
      <c r="AS18" s="116"/>
      <c r="AV18" s="369"/>
    </row>
    <row r="19" spans="1:48" s="352" customFormat="1" ht="60.75" x14ac:dyDescent="0.35">
      <c r="A19" s="343"/>
      <c r="B19" s="506" t="s">
        <v>169</v>
      </c>
      <c r="C19" s="506" t="s">
        <v>167</v>
      </c>
      <c r="D19" s="506" t="s">
        <v>167</v>
      </c>
      <c r="E19" s="506" t="s">
        <v>177</v>
      </c>
      <c r="F19" s="506" t="s">
        <v>179</v>
      </c>
      <c r="G19" s="506"/>
      <c r="H19" s="566"/>
      <c r="I19" s="566"/>
      <c r="J19" s="567" t="s">
        <v>180</v>
      </c>
      <c r="K19" s="568"/>
      <c r="L19" s="568"/>
      <c r="M19" s="568"/>
      <c r="N19" s="569">
        <f>SUM(N20:N23)</f>
        <v>5800000</v>
      </c>
      <c r="O19" s="569">
        <f t="shared" ref="O19:AH19" si="8">SUM(O20:O23)</f>
        <v>5800000</v>
      </c>
      <c r="P19" s="569">
        <f t="shared" si="8"/>
        <v>3845100</v>
      </c>
      <c r="Q19" s="569">
        <f t="shared" si="8"/>
        <v>8351300</v>
      </c>
      <c r="R19" s="569">
        <f t="shared" si="8"/>
        <v>1293800</v>
      </c>
      <c r="S19" s="569">
        <f t="shared" si="8"/>
        <v>0</v>
      </c>
      <c r="T19" s="569">
        <f t="shared" si="8"/>
        <v>0</v>
      </c>
      <c r="U19" s="569">
        <f t="shared" si="8"/>
        <v>0</v>
      </c>
      <c r="V19" s="569">
        <f t="shared" si="8"/>
        <v>0</v>
      </c>
      <c r="W19" s="569">
        <f t="shared" si="8"/>
        <v>0</v>
      </c>
      <c r="X19" s="569">
        <f t="shared" si="8"/>
        <v>0</v>
      </c>
      <c r="Y19" s="569">
        <f t="shared" si="8"/>
        <v>0</v>
      </c>
      <c r="Z19" s="569">
        <f t="shared" si="8"/>
        <v>0</v>
      </c>
      <c r="AA19" s="569">
        <f t="shared" si="8"/>
        <v>1293800</v>
      </c>
      <c r="AB19" s="569">
        <f t="shared" si="8"/>
        <v>0</v>
      </c>
      <c r="AC19" s="569">
        <f t="shared" si="8"/>
        <v>0</v>
      </c>
      <c r="AD19" s="569">
        <f t="shared" si="8"/>
        <v>0</v>
      </c>
      <c r="AE19" s="569">
        <f t="shared" si="8"/>
        <v>1293800</v>
      </c>
      <c r="AF19" s="569">
        <f t="shared" si="8"/>
        <v>0</v>
      </c>
      <c r="AG19" s="569">
        <f t="shared" si="8"/>
        <v>1293800</v>
      </c>
      <c r="AH19" s="569">
        <f t="shared" si="8"/>
        <v>0</v>
      </c>
      <c r="AI19" s="884">
        <f t="shared" si="5"/>
        <v>0</v>
      </c>
      <c r="AJ19" s="570"/>
      <c r="AK19" s="571"/>
      <c r="AL19" s="572" t="e">
        <f>SUM(AE19-AF19-#REF!-#REF!)</f>
        <v>#REF!</v>
      </c>
      <c r="AM19" s="573">
        <f t="shared" si="3"/>
        <v>0</v>
      </c>
      <c r="AN19" s="574"/>
      <c r="AO19" s="575">
        <f>SUM(AO20:AO23)</f>
        <v>0</v>
      </c>
      <c r="AP19" s="575">
        <f>SUM(AP20:AP23)</f>
        <v>0</v>
      </c>
      <c r="AQ19" s="575">
        <f>SUM(AQ20:AQ23)</f>
        <v>0</v>
      </c>
      <c r="AR19" s="667">
        <f>SUM(AR20:AR23)</f>
        <v>0</v>
      </c>
      <c r="AS19" s="115"/>
      <c r="AV19" s="353"/>
    </row>
    <row r="20" spans="1:48" s="352" customFormat="1" ht="26.25" x14ac:dyDescent="0.35">
      <c r="A20" s="343"/>
      <c r="B20" s="838" t="s">
        <v>169</v>
      </c>
      <c r="C20" s="838" t="s">
        <v>167</v>
      </c>
      <c r="D20" s="838" t="s">
        <v>167</v>
      </c>
      <c r="E20" s="838" t="s">
        <v>177</v>
      </c>
      <c r="F20" s="838" t="s">
        <v>179</v>
      </c>
      <c r="G20" s="838" t="s">
        <v>167</v>
      </c>
      <c r="H20" s="344"/>
      <c r="I20" s="344"/>
      <c r="J20" s="110" t="s">
        <v>181</v>
      </c>
      <c r="K20" s="118"/>
      <c r="L20" s="118"/>
      <c r="M20" s="118"/>
      <c r="N20" s="76"/>
      <c r="O20" s="76"/>
      <c r="P20" s="76"/>
      <c r="Q20" s="76"/>
      <c r="R20" s="76">
        <f>SUM(O20+P20-Q20)</f>
        <v>0</v>
      </c>
      <c r="S20" s="370"/>
      <c r="T20" s="370"/>
      <c r="U20" s="371"/>
      <c r="V20" s="370">
        <f>SUM(T20-U20)</f>
        <v>0</v>
      </c>
      <c r="W20" s="345"/>
      <c r="X20" s="345"/>
      <c r="Y20" s="372">
        <f>SUM(V20)</f>
        <v>0</v>
      </c>
      <c r="Z20" s="257"/>
      <c r="AA20" s="345">
        <f>SUM(R20-S20-U20-W20-X20-Y20-Z20)</f>
        <v>0</v>
      </c>
      <c r="AB20" s="274"/>
      <c r="AC20" s="885"/>
      <c r="AD20" s="345">
        <f>SUM(AB20-AC20)</f>
        <v>0</v>
      </c>
      <c r="AE20" s="257">
        <f>SUM(AA20-AC20)</f>
        <v>0</v>
      </c>
      <c r="AF20" s="257"/>
      <c r="AG20" s="257">
        <f>SUM(AE20-AF20)</f>
        <v>0</v>
      </c>
      <c r="AH20" s="590">
        <f>SUM(S20+U20+W20+Z20+X20+AC20)</f>
        <v>0</v>
      </c>
      <c r="AI20" s="879" t="e">
        <f t="shared" si="5"/>
        <v>#DIV/0!</v>
      </c>
      <c r="AJ20" s="346"/>
      <c r="AK20" s="347"/>
      <c r="AL20" s="348" t="e">
        <f>SUM(AE20-AF20-#REF!-#REF!)</f>
        <v>#REF!</v>
      </c>
      <c r="AM20" s="349" t="e">
        <f t="shared" si="3"/>
        <v>#DIV/0!</v>
      </c>
      <c r="AN20" s="117"/>
      <c r="AO20" s="350"/>
      <c r="AP20" s="351"/>
      <c r="AQ20" s="886"/>
      <c r="AR20" s="880"/>
      <c r="AS20" s="115"/>
      <c r="AV20" s="353"/>
    </row>
    <row r="21" spans="1:48" s="352" customFormat="1" ht="26.25" x14ac:dyDescent="0.35">
      <c r="A21" s="343"/>
      <c r="B21" s="838" t="s">
        <v>169</v>
      </c>
      <c r="C21" s="838" t="s">
        <v>167</v>
      </c>
      <c r="D21" s="838" t="s">
        <v>167</v>
      </c>
      <c r="E21" s="838" t="s">
        <v>177</v>
      </c>
      <c r="F21" s="838" t="s">
        <v>179</v>
      </c>
      <c r="G21" s="838" t="s">
        <v>167</v>
      </c>
      <c r="H21" s="344" t="s">
        <v>182</v>
      </c>
      <c r="I21" s="344"/>
      <c r="J21" s="110" t="s">
        <v>183</v>
      </c>
      <c r="K21" s="118"/>
      <c r="L21" s="118"/>
      <c r="M21" s="118"/>
      <c r="N21" s="76"/>
      <c r="O21" s="76"/>
      <c r="P21" s="76"/>
      <c r="Q21" s="76"/>
      <c r="R21" s="76">
        <f>SUM(O21+P21-Q21)</f>
        <v>0</v>
      </c>
      <c r="S21" s="370"/>
      <c r="T21" s="370"/>
      <c r="U21" s="371"/>
      <c r="V21" s="370">
        <f>SUM(T21-U21)</f>
        <v>0</v>
      </c>
      <c r="W21" s="345"/>
      <c r="X21" s="345"/>
      <c r="Y21" s="372">
        <f>SUM(V21)</f>
        <v>0</v>
      </c>
      <c r="Z21" s="257"/>
      <c r="AA21" s="345">
        <f>SUM(R21-S21-U21-W21-X21-Y21-Z21)</f>
        <v>0</v>
      </c>
      <c r="AB21" s="274"/>
      <c r="AC21" s="885"/>
      <c r="AD21" s="345">
        <f>SUM(AB21-AC21)</f>
        <v>0</v>
      </c>
      <c r="AE21" s="257">
        <f>SUM(AA21-AC21)</f>
        <v>0</v>
      </c>
      <c r="AF21" s="257"/>
      <c r="AG21" s="257">
        <f>SUM(AE21-AF21)</f>
        <v>0</v>
      </c>
      <c r="AH21" s="590">
        <f>SUM(S21+U21+W21+Z21+X21+AC21)</f>
        <v>0</v>
      </c>
      <c r="AI21" s="879" t="e">
        <f t="shared" si="5"/>
        <v>#DIV/0!</v>
      </c>
      <c r="AJ21" s="346"/>
      <c r="AK21" s="347"/>
      <c r="AL21" s="348" t="e">
        <f>SUM(AE21-AF21-#REF!-#REF!)</f>
        <v>#REF!</v>
      </c>
      <c r="AM21" s="349" t="e">
        <f t="shared" si="3"/>
        <v>#DIV/0!</v>
      </c>
      <c r="AN21" s="117"/>
      <c r="AO21" s="350"/>
      <c r="AP21" s="351"/>
      <c r="AQ21" s="886"/>
      <c r="AR21" s="880"/>
      <c r="AS21" s="115"/>
      <c r="AV21" s="353"/>
    </row>
    <row r="22" spans="1:48" s="352" customFormat="1" ht="40.5" x14ac:dyDescent="0.35">
      <c r="A22" s="343"/>
      <c r="B22" s="838" t="s">
        <v>169</v>
      </c>
      <c r="C22" s="838" t="s">
        <v>167</v>
      </c>
      <c r="D22" s="838" t="s">
        <v>167</v>
      </c>
      <c r="E22" s="838" t="s">
        <v>177</v>
      </c>
      <c r="F22" s="838" t="s">
        <v>179</v>
      </c>
      <c r="G22" s="838" t="s">
        <v>167</v>
      </c>
      <c r="H22" s="344" t="s">
        <v>184</v>
      </c>
      <c r="I22" s="344"/>
      <c r="J22" s="110" t="s">
        <v>185</v>
      </c>
      <c r="K22" s="118"/>
      <c r="L22" s="118"/>
      <c r="M22" s="118"/>
      <c r="N22" s="76"/>
      <c r="O22" s="76"/>
      <c r="P22" s="76"/>
      <c r="Q22" s="76"/>
      <c r="R22" s="76">
        <f>SUM(O22+P22-Q22)</f>
        <v>0</v>
      </c>
      <c r="S22" s="370"/>
      <c r="T22" s="370"/>
      <c r="U22" s="371"/>
      <c r="V22" s="370">
        <f>SUM(T22-U22)</f>
        <v>0</v>
      </c>
      <c r="W22" s="345"/>
      <c r="X22" s="345"/>
      <c r="Y22" s="372">
        <f>SUM(V22)</f>
        <v>0</v>
      </c>
      <c r="Z22" s="257"/>
      <c r="AA22" s="345">
        <f>SUM(R22-S22-U22-W22-X22-Y22-Z22)</f>
        <v>0</v>
      </c>
      <c r="AB22" s="274"/>
      <c r="AC22" s="885"/>
      <c r="AD22" s="345">
        <f>SUM(AB22-AC22)</f>
        <v>0</v>
      </c>
      <c r="AE22" s="257">
        <f>SUM(AA22-AC22)</f>
        <v>0</v>
      </c>
      <c r="AF22" s="257"/>
      <c r="AG22" s="257">
        <f>SUM(AE22-AF22)</f>
        <v>0</v>
      </c>
      <c r="AH22" s="590">
        <f>SUM(S22+U22+W22+Z22+X22+AC22)</f>
        <v>0</v>
      </c>
      <c r="AI22" s="879" t="e">
        <f t="shared" si="5"/>
        <v>#DIV/0!</v>
      </c>
      <c r="AJ22" s="346"/>
      <c r="AK22" s="347"/>
      <c r="AL22" s="348" t="e">
        <f>SUM(AE22-AF22-#REF!-#REF!)</f>
        <v>#REF!</v>
      </c>
      <c r="AM22" s="349" t="e">
        <f t="shared" si="3"/>
        <v>#DIV/0!</v>
      </c>
      <c r="AN22" s="117"/>
      <c r="AO22" s="350"/>
      <c r="AP22" s="351"/>
      <c r="AQ22" s="886"/>
      <c r="AR22" s="880"/>
      <c r="AS22" s="115"/>
      <c r="AV22" s="353"/>
    </row>
    <row r="23" spans="1:48" s="352" customFormat="1" ht="39" customHeight="1" x14ac:dyDescent="0.35">
      <c r="A23" s="343"/>
      <c r="B23" s="838" t="s">
        <v>169</v>
      </c>
      <c r="C23" s="838" t="s">
        <v>167</v>
      </c>
      <c r="D23" s="838" t="s">
        <v>167</v>
      </c>
      <c r="E23" s="838" t="s">
        <v>177</v>
      </c>
      <c r="F23" s="838" t="s">
        <v>179</v>
      </c>
      <c r="G23" s="838" t="s">
        <v>167</v>
      </c>
      <c r="H23" s="344" t="s">
        <v>186</v>
      </c>
      <c r="I23" s="344"/>
      <c r="J23" s="110" t="s">
        <v>187</v>
      </c>
      <c r="K23" s="118"/>
      <c r="L23" s="118"/>
      <c r="M23" s="118"/>
      <c r="N23" s="76">
        <v>5800000</v>
      </c>
      <c r="O23" s="76">
        <v>5800000</v>
      </c>
      <c r="P23" s="916">
        <f>3845100</f>
        <v>3845100</v>
      </c>
      <c r="Q23" s="76">
        <f>1954900+3845100+2551300</f>
        <v>8351300</v>
      </c>
      <c r="R23" s="76">
        <f>SUM(O23+P23-Q23)</f>
        <v>1293800</v>
      </c>
      <c r="S23" s="370"/>
      <c r="T23" s="370"/>
      <c r="U23" s="371"/>
      <c r="V23" s="370">
        <f>SUM(T23-U23)</f>
        <v>0</v>
      </c>
      <c r="W23" s="345"/>
      <c r="X23" s="345"/>
      <c r="Y23" s="372">
        <f>SUM(V23)</f>
        <v>0</v>
      </c>
      <c r="Z23" s="257"/>
      <c r="AA23" s="345">
        <f>SUM(R23-S23-U23-W23-X23-Y23-Z23)</f>
        <v>1293800</v>
      </c>
      <c r="AB23" s="274"/>
      <c r="AC23" s="885"/>
      <c r="AD23" s="345">
        <f>SUM(AB23-AC23)</f>
        <v>0</v>
      </c>
      <c r="AE23" s="257">
        <f>SUM(AA23-AC23)</f>
        <v>1293800</v>
      </c>
      <c r="AF23" s="257"/>
      <c r="AG23" s="394">
        <f>SUM(AE23-AF23)</f>
        <v>1293800</v>
      </c>
      <c r="AH23" s="590">
        <f>SUM(S23+U23+W23+Z23+X23+AC23)</f>
        <v>0</v>
      </c>
      <c r="AI23" s="879">
        <f t="shared" si="5"/>
        <v>0</v>
      </c>
      <c r="AJ23" s="346"/>
      <c r="AK23" s="347"/>
      <c r="AL23" s="348" t="e">
        <f>SUM(AE23-AF23-#REF!-#REF!)</f>
        <v>#REF!</v>
      </c>
      <c r="AM23" s="349">
        <f t="shared" si="3"/>
        <v>0</v>
      </c>
      <c r="AN23" s="117"/>
      <c r="AO23" s="350"/>
      <c r="AP23" s="351"/>
      <c r="AQ23" s="925"/>
      <c r="AR23" s="880"/>
      <c r="AS23" s="670">
        <f>SUM(AG23-AR23)</f>
        <v>1293800</v>
      </c>
      <c r="AV23" s="353"/>
    </row>
    <row r="24" spans="1:48" s="368" customFormat="1" ht="60" customHeight="1" x14ac:dyDescent="0.35">
      <c r="A24" s="366"/>
      <c r="B24" s="591" t="s">
        <v>169</v>
      </c>
      <c r="C24" s="591" t="s">
        <v>167</v>
      </c>
      <c r="D24" s="591" t="s">
        <v>167</v>
      </c>
      <c r="E24" s="591" t="s">
        <v>188</v>
      </c>
      <c r="F24" s="591"/>
      <c r="G24" s="591"/>
      <c r="H24" s="592"/>
      <c r="I24" s="592"/>
      <c r="J24" s="593" t="s">
        <v>189</v>
      </c>
      <c r="K24" s="594"/>
      <c r="L24" s="594"/>
      <c r="M24" s="594"/>
      <c r="N24" s="600">
        <f>SUM(N25+N28+N31+N34+N38)</f>
        <v>82800000</v>
      </c>
      <c r="O24" s="600">
        <f t="shared" ref="O24:AH24" si="9">SUM(O25+O28+O31+O34+O38)</f>
        <v>82800000</v>
      </c>
      <c r="P24" s="600">
        <f t="shared" si="9"/>
        <v>0</v>
      </c>
      <c r="Q24" s="600">
        <f t="shared" si="9"/>
        <v>49800000</v>
      </c>
      <c r="R24" s="600">
        <f t="shared" si="9"/>
        <v>33000000</v>
      </c>
      <c r="S24" s="600">
        <f t="shared" si="9"/>
        <v>0</v>
      </c>
      <c r="T24" s="600">
        <f t="shared" si="9"/>
        <v>0</v>
      </c>
      <c r="U24" s="600">
        <f t="shared" si="9"/>
        <v>0</v>
      </c>
      <c r="V24" s="600">
        <f t="shared" si="9"/>
        <v>0</v>
      </c>
      <c r="W24" s="600">
        <f t="shared" si="9"/>
        <v>0</v>
      </c>
      <c r="X24" s="600">
        <f t="shared" si="9"/>
        <v>0</v>
      </c>
      <c r="Y24" s="600">
        <f t="shared" si="9"/>
        <v>0</v>
      </c>
      <c r="Z24" s="600">
        <f t="shared" si="9"/>
        <v>3414000</v>
      </c>
      <c r="AA24" s="600">
        <f t="shared" si="9"/>
        <v>29586000</v>
      </c>
      <c r="AB24" s="600">
        <f t="shared" si="9"/>
        <v>30000000</v>
      </c>
      <c r="AC24" s="600">
        <f t="shared" si="9"/>
        <v>9464580</v>
      </c>
      <c r="AD24" s="600">
        <f t="shared" si="9"/>
        <v>20535420</v>
      </c>
      <c r="AE24" s="600">
        <f t="shared" si="9"/>
        <v>20121420</v>
      </c>
      <c r="AF24" s="600">
        <f t="shared" si="9"/>
        <v>3000000</v>
      </c>
      <c r="AG24" s="600">
        <f t="shared" si="9"/>
        <v>17121420</v>
      </c>
      <c r="AH24" s="600">
        <f t="shared" si="9"/>
        <v>12878580</v>
      </c>
      <c r="AI24" s="595" t="e">
        <f>SUM(AI25:AI40)</f>
        <v>#DIV/0!</v>
      </c>
      <c r="AJ24" s="595">
        <f>SUM(AJ25:AJ40)</f>
        <v>0</v>
      </c>
      <c r="AK24" s="595">
        <f>SUM(AK25:AK40)</f>
        <v>0</v>
      </c>
      <c r="AL24" s="595" t="e">
        <f>SUM(AL25:AL40)</f>
        <v>#REF!</v>
      </c>
      <c r="AM24" s="595" t="e">
        <f>SUM(AM25:AM40)</f>
        <v>#DIV/0!</v>
      </c>
      <c r="AN24" s="597"/>
      <c r="AO24" s="600">
        <f>SUM(AO25+AO28+AO31+AO34+AO38)</f>
        <v>0</v>
      </c>
      <c r="AP24" s="600">
        <f>SUM(AP25+AP28+AP31+AP34+AP38)</f>
        <v>0</v>
      </c>
      <c r="AQ24" s="600">
        <f>SUM(AQ25+AQ28+AQ31+AQ34+AQ38)</f>
        <v>0</v>
      </c>
      <c r="AR24" s="600">
        <f>SUM(AR25+AR28+AR31+AR34+AR38)</f>
        <v>0</v>
      </c>
      <c r="AS24" s="844">
        <f>AR24-AQ24</f>
        <v>0</v>
      </c>
      <c r="AV24" s="369"/>
    </row>
    <row r="25" spans="1:48" s="352" customFormat="1" ht="51" customHeight="1" x14ac:dyDescent="0.35">
      <c r="A25" s="343"/>
      <c r="B25" s="541" t="s">
        <v>169</v>
      </c>
      <c r="C25" s="541" t="s">
        <v>167</v>
      </c>
      <c r="D25" s="541" t="s">
        <v>167</v>
      </c>
      <c r="E25" s="541" t="s">
        <v>188</v>
      </c>
      <c r="F25" s="541" t="s">
        <v>177</v>
      </c>
      <c r="G25" s="541"/>
      <c r="H25" s="542"/>
      <c r="I25" s="542"/>
      <c r="J25" s="543" t="s">
        <v>190</v>
      </c>
      <c r="K25" s="544"/>
      <c r="L25" s="544"/>
      <c r="M25" s="544"/>
      <c r="N25" s="545"/>
      <c r="O25" s="545"/>
      <c r="P25" s="545"/>
      <c r="Q25" s="545"/>
      <c r="R25" s="545">
        <f t="shared" ref="R25:AD25" si="10">SUM(R26:R27)</f>
        <v>0</v>
      </c>
      <c r="S25" s="545">
        <f t="shared" si="10"/>
        <v>0</v>
      </c>
      <c r="T25" s="545">
        <f t="shared" si="10"/>
        <v>0</v>
      </c>
      <c r="U25" s="545">
        <f t="shared" si="10"/>
        <v>0</v>
      </c>
      <c r="V25" s="545">
        <f t="shared" si="10"/>
        <v>0</v>
      </c>
      <c r="W25" s="545">
        <f t="shared" si="10"/>
        <v>0</v>
      </c>
      <c r="X25" s="545">
        <f t="shared" si="10"/>
        <v>0</v>
      </c>
      <c r="Y25" s="545">
        <f t="shared" si="10"/>
        <v>0</v>
      </c>
      <c r="Z25" s="545">
        <f t="shared" si="10"/>
        <v>0</v>
      </c>
      <c r="AA25" s="545">
        <f t="shared" si="10"/>
        <v>0</v>
      </c>
      <c r="AB25" s="545">
        <f t="shared" si="10"/>
        <v>0</v>
      </c>
      <c r="AC25" s="545">
        <f t="shared" si="10"/>
        <v>0</v>
      </c>
      <c r="AD25" s="545">
        <f t="shared" si="10"/>
        <v>0</v>
      </c>
      <c r="AE25" s="545">
        <f>SUM(AE26:AE27)</f>
        <v>0</v>
      </c>
      <c r="AF25" s="545">
        <f>SUM(AF26:AF27)</f>
        <v>0</v>
      </c>
      <c r="AG25" s="545">
        <f>SUM(AG26:AG27)</f>
        <v>0</v>
      </c>
      <c r="AH25" s="545">
        <f>SUM(AH26:AH27)</f>
        <v>0</v>
      </c>
      <c r="AI25" s="887" t="e">
        <f t="shared" ref="AI25:AI40" si="11">AC25/(AC25+AF25+AG25)</f>
        <v>#DIV/0!</v>
      </c>
      <c r="AJ25" s="548"/>
      <c r="AK25" s="549"/>
      <c r="AL25" s="550" t="e">
        <f>SUM(AE25-AF25-#REF!-#REF!)</f>
        <v>#REF!</v>
      </c>
      <c r="AM25" s="551" t="e">
        <f t="shared" ref="AM25:AM40" si="12">SUM(R25-(AE25+Y25))/R25</f>
        <v>#DIV/0!</v>
      </c>
      <c r="AN25" s="552"/>
      <c r="AO25" s="553">
        <f>SUM(AO26:AO27)</f>
        <v>0</v>
      </c>
      <c r="AP25" s="553">
        <f>SUM(AP26:AP27)</f>
        <v>0</v>
      </c>
      <c r="AQ25" s="553">
        <f>SUM(AQ26:AQ27)</f>
        <v>0</v>
      </c>
      <c r="AR25" s="553">
        <f>SUM(AR26:AR27)</f>
        <v>0</v>
      </c>
      <c r="AS25" s="115"/>
      <c r="AV25" s="353"/>
    </row>
    <row r="26" spans="1:48" s="352" customFormat="1" ht="45.6" customHeight="1" x14ac:dyDescent="0.35">
      <c r="A26" s="343"/>
      <c r="B26" s="838" t="s">
        <v>169</v>
      </c>
      <c r="C26" s="838" t="s">
        <v>167</v>
      </c>
      <c r="D26" s="838" t="s">
        <v>167</v>
      </c>
      <c r="E26" s="838" t="s">
        <v>188</v>
      </c>
      <c r="F26" s="838" t="s">
        <v>177</v>
      </c>
      <c r="G26" s="838" t="s">
        <v>191</v>
      </c>
      <c r="H26" s="344"/>
      <c r="I26" s="344"/>
      <c r="J26" s="110" t="s">
        <v>192</v>
      </c>
      <c r="K26" s="118"/>
      <c r="L26" s="118"/>
      <c r="M26" s="118"/>
      <c r="N26" s="76"/>
      <c r="O26" s="76"/>
      <c r="P26" s="76"/>
      <c r="Q26" s="76"/>
      <c r="R26" s="76">
        <f t="shared" ref="R26:R40" si="13">SUM(O26+P26-Q26)</f>
        <v>0</v>
      </c>
      <c r="S26" s="370"/>
      <c r="T26" s="370"/>
      <c r="U26" s="371"/>
      <c r="V26" s="370">
        <f t="shared" ref="V26:V40" si="14">SUM(T26-U26)</f>
        <v>0</v>
      </c>
      <c r="W26" s="345"/>
      <c r="X26" s="345"/>
      <c r="Y26" s="372">
        <f t="shared" ref="Y26:Y40" si="15">SUM(V26)</f>
        <v>0</v>
      </c>
      <c r="Z26" s="257"/>
      <c r="AA26" s="345">
        <f t="shared" ref="AA26:AA40" si="16">SUM(R26-S26-U26-W26-X26-Y26-Z26)</f>
        <v>0</v>
      </c>
      <c r="AB26" s="274"/>
      <c r="AC26" s="885"/>
      <c r="AD26" s="345">
        <f t="shared" ref="AD26:AD40" si="17">SUM(AB26-AC26)</f>
        <v>0</v>
      </c>
      <c r="AE26" s="257">
        <f t="shared" ref="AE26:AE40" si="18">SUM(AA26-AC26)</f>
        <v>0</v>
      </c>
      <c r="AF26" s="257"/>
      <c r="AG26" s="257">
        <f>SUM(AE26-AF26)</f>
        <v>0</v>
      </c>
      <c r="AH26" s="373">
        <f t="shared" ref="AH26:AH40" si="19">SUM(S26+U26+W26+Z26+X26+AC26)</f>
        <v>0</v>
      </c>
      <c r="AI26" s="879" t="e">
        <f t="shared" si="11"/>
        <v>#DIV/0!</v>
      </c>
      <c r="AJ26" s="346"/>
      <c r="AK26" s="347"/>
      <c r="AL26" s="348" t="e">
        <f>SUM(AE26-AF26-#REF!-#REF!)</f>
        <v>#REF!</v>
      </c>
      <c r="AM26" s="349" t="e">
        <f t="shared" si="12"/>
        <v>#DIV/0!</v>
      </c>
      <c r="AN26" s="117"/>
      <c r="AO26" s="350"/>
      <c r="AP26" s="351"/>
      <c r="AQ26" s="886"/>
      <c r="AR26" s="880"/>
      <c r="AS26" s="115"/>
      <c r="AV26" s="353"/>
    </row>
    <row r="27" spans="1:48" s="352" customFormat="1" ht="61.5" customHeight="1" x14ac:dyDescent="0.35">
      <c r="A27" s="343"/>
      <c r="B27" s="838" t="s">
        <v>169</v>
      </c>
      <c r="C27" s="838" t="s">
        <v>167</v>
      </c>
      <c r="D27" s="838" t="s">
        <v>167</v>
      </c>
      <c r="E27" s="838" t="s">
        <v>188</v>
      </c>
      <c r="F27" s="838" t="s">
        <v>177</v>
      </c>
      <c r="G27" s="838" t="s">
        <v>193</v>
      </c>
      <c r="H27" s="344"/>
      <c r="I27" s="344"/>
      <c r="J27" s="110" t="s">
        <v>194</v>
      </c>
      <c r="K27" s="118"/>
      <c r="L27" s="118"/>
      <c r="M27" s="118"/>
      <c r="N27" s="76"/>
      <c r="O27" s="76"/>
      <c r="P27" s="76"/>
      <c r="Q27" s="76"/>
      <c r="R27" s="76">
        <f t="shared" si="13"/>
        <v>0</v>
      </c>
      <c r="S27" s="370"/>
      <c r="T27" s="370"/>
      <c r="U27" s="371"/>
      <c r="V27" s="370">
        <f t="shared" si="14"/>
        <v>0</v>
      </c>
      <c r="W27" s="345"/>
      <c r="X27" s="345"/>
      <c r="Y27" s="372">
        <f t="shared" si="15"/>
        <v>0</v>
      </c>
      <c r="Z27" s="257"/>
      <c r="AA27" s="345">
        <f t="shared" si="16"/>
        <v>0</v>
      </c>
      <c r="AB27" s="274"/>
      <c r="AC27" s="885"/>
      <c r="AD27" s="345">
        <f t="shared" si="17"/>
        <v>0</v>
      </c>
      <c r="AE27" s="257">
        <f t="shared" si="18"/>
        <v>0</v>
      </c>
      <c r="AF27" s="257"/>
      <c r="AG27" s="257">
        <f t="shared" ref="AG27:AG40" si="20">SUM(AE27-AF27)</f>
        <v>0</v>
      </c>
      <c r="AH27" s="373">
        <f t="shared" si="19"/>
        <v>0</v>
      </c>
      <c r="AI27" s="879" t="e">
        <f t="shared" si="11"/>
        <v>#DIV/0!</v>
      </c>
      <c r="AJ27" s="346"/>
      <c r="AK27" s="347"/>
      <c r="AL27" s="348" t="e">
        <f>SUM(AE27-AF27-#REF!-#REF!)</f>
        <v>#REF!</v>
      </c>
      <c r="AM27" s="349" t="e">
        <f t="shared" si="12"/>
        <v>#DIV/0!</v>
      </c>
      <c r="AN27" s="117"/>
      <c r="AO27" s="350"/>
      <c r="AP27" s="351"/>
      <c r="AQ27" s="886"/>
      <c r="AR27" s="880"/>
      <c r="AS27" s="115"/>
      <c r="AV27" s="353"/>
    </row>
    <row r="28" spans="1:48" s="209" customFormat="1" ht="48.95" customHeight="1" x14ac:dyDescent="0.35">
      <c r="A28" s="308"/>
      <c r="B28" s="541" t="s">
        <v>169</v>
      </c>
      <c r="C28" s="541" t="s">
        <v>167</v>
      </c>
      <c r="D28" s="541" t="s">
        <v>167</v>
      </c>
      <c r="E28" s="541" t="s">
        <v>188</v>
      </c>
      <c r="F28" s="541" t="s">
        <v>188</v>
      </c>
      <c r="G28" s="541"/>
      <c r="H28" s="542"/>
      <c r="I28" s="542"/>
      <c r="J28" s="543" t="s">
        <v>195</v>
      </c>
      <c r="K28" s="544"/>
      <c r="L28" s="544"/>
      <c r="M28" s="544"/>
      <c r="N28" s="545">
        <f>SUM(N29:N30)</f>
        <v>0</v>
      </c>
      <c r="O28" s="545">
        <f t="shared" ref="O28:AH28" si="21">SUM(O29:O30)</f>
        <v>0</v>
      </c>
      <c r="P28" s="545">
        <f t="shared" si="21"/>
        <v>0</v>
      </c>
      <c r="Q28" s="545">
        <f t="shared" si="21"/>
        <v>0</v>
      </c>
      <c r="R28" s="545">
        <f t="shared" si="21"/>
        <v>0</v>
      </c>
      <c r="S28" s="545">
        <f t="shared" si="21"/>
        <v>0</v>
      </c>
      <c r="T28" s="545">
        <f t="shared" si="21"/>
        <v>0</v>
      </c>
      <c r="U28" s="545">
        <f t="shared" si="21"/>
        <v>0</v>
      </c>
      <c r="V28" s="545">
        <f t="shared" si="21"/>
        <v>0</v>
      </c>
      <c r="W28" s="545">
        <f t="shared" si="21"/>
        <v>0</v>
      </c>
      <c r="X28" s="545">
        <f t="shared" si="21"/>
        <v>0</v>
      </c>
      <c r="Y28" s="545">
        <f t="shared" si="21"/>
        <v>0</v>
      </c>
      <c r="Z28" s="545">
        <f t="shared" si="21"/>
        <v>0</v>
      </c>
      <c r="AA28" s="545">
        <f t="shared" si="21"/>
        <v>0</v>
      </c>
      <c r="AB28" s="545">
        <f t="shared" si="21"/>
        <v>0</v>
      </c>
      <c r="AC28" s="545">
        <f t="shared" si="21"/>
        <v>0</v>
      </c>
      <c r="AD28" s="545">
        <f t="shared" si="21"/>
        <v>0</v>
      </c>
      <c r="AE28" s="545">
        <f t="shared" si="21"/>
        <v>0</v>
      </c>
      <c r="AF28" s="545">
        <f t="shared" si="21"/>
        <v>0</v>
      </c>
      <c r="AG28" s="545">
        <f t="shared" si="21"/>
        <v>0</v>
      </c>
      <c r="AH28" s="545">
        <f t="shared" si="21"/>
        <v>0</v>
      </c>
      <c r="AI28" s="887" t="e">
        <f t="shared" si="11"/>
        <v>#DIV/0!</v>
      </c>
      <c r="AJ28" s="548"/>
      <c r="AK28" s="549"/>
      <c r="AL28" s="550" t="e">
        <f>SUM(AE28-AF28-#REF!-#REF!)</f>
        <v>#REF!</v>
      </c>
      <c r="AM28" s="551" t="e">
        <f t="shared" si="12"/>
        <v>#DIV/0!</v>
      </c>
      <c r="AN28" s="552"/>
      <c r="AO28" s="545">
        <f>SUM(AO29:AO30)</f>
        <v>0</v>
      </c>
      <c r="AP28" s="545">
        <f>SUM(AP29:AP30)</f>
        <v>0</v>
      </c>
      <c r="AQ28" s="545">
        <f>SUM(AQ29:AQ30)</f>
        <v>0</v>
      </c>
      <c r="AR28" s="545">
        <f>SUM(AR29:AR30)</f>
        <v>0</v>
      </c>
      <c r="AS28" s="288"/>
      <c r="AV28" s="289"/>
    </row>
    <row r="29" spans="1:48" s="352" customFormat="1" ht="77.099999999999994" customHeight="1" x14ac:dyDescent="0.35">
      <c r="A29" s="343"/>
      <c r="B29" s="838" t="s">
        <v>169</v>
      </c>
      <c r="C29" s="838" t="s">
        <v>167</v>
      </c>
      <c r="D29" s="838" t="s">
        <v>167</v>
      </c>
      <c r="E29" s="838" t="s">
        <v>188</v>
      </c>
      <c r="F29" s="838" t="s">
        <v>188</v>
      </c>
      <c r="G29" s="838" t="s">
        <v>169</v>
      </c>
      <c r="H29" s="344"/>
      <c r="I29" s="344"/>
      <c r="J29" s="110" t="s">
        <v>196</v>
      </c>
      <c r="K29" s="118"/>
      <c r="L29" s="118"/>
      <c r="M29" s="118"/>
      <c r="N29" s="76"/>
      <c r="O29" s="76"/>
      <c r="P29" s="76"/>
      <c r="Q29" s="76"/>
      <c r="R29" s="76">
        <f t="shared" si="13"/>
        <v>0</v>
      </c>
      <c r="S29" s="370"/>
      <c r="T29" s="370"/>
      <c r="U29" s="371"/>
      <c r="V29" s="370">
        <f t="shared" si="14"/>
        <v>0</v>
      </c>
      <c r="W29" s="345"/>
      <c r="X29" s="345"/>
      <c r="Y29" s="372">
        <f t="shared" si="15"/>
        <v>0</v>
      </c>
      <c r="Z29" s="257"/>
      <c r="AA29" s="345">
        <f t="shared" si="16"/>
        <v>0</v>
      </c>
      <c r="AB29" s="274"/>
      <c r="AC29" s="885"/>
      <c r="AD29" s="345">
        <f t="shared" si="17"/>
        <v>0</v>
      </c>
      <c r="AE29" s="257">
        <f t="shared" si="18"/>
        <v>0</v>
      </c>
      <c r="AF29" s="257"/>
      <c r="AG29" s="257">
        <f t="shared" si="20"/>
        <v>0</v>
      </c>
      <c r="AH29" s="373">
        <f t="shared" si="19"/>
        <v>0</v>
      </c>
      <c r="AI29" s="879" t="e">
        <f t="shared" si="11"/>
        <v>#DIV/0!</v>
      </c>
      <c r="AJ29" s="346"/>
      <c r="AK29" s="347"/>
      <c r="AL29" s="348" t="e">
        <f>SUM(AE29-AF29-#REF!-#REF!)</f>
        <v>#REF!</v>
      </c>
      <c r="AM29" s="349" t="e">
        <f t="shared" si="12"/>
        <v>#DIV/0!</v>
      </c>
      <c r="AN29" s="117"/>
      <c r="AO29" s="350"/>
      <c r="AP29" s="351"/>
      <c r="AQ29" s="886"/>
      <c r="AR29" s="880"/>
      <c r="AS29" s="115"/>
      <c r="AV29" s="353"/>
    </row>
    <row r="30" spans="1:48" s="352" customFormat="1" ht="69.599999999999994" customHeight="1" x14ac:dyDescent="0.35">
      <c r="A30" s="343"/>
      <c r="B30" s="838" t="s">
        <v>169</v>
      </c>
      <c r="C30" s="838" t="s">
        <v>167</v>
      </c>
      <c r="D30" s="838" t="s">
        <v>167</v>
      </c>
      <c r="E30" s="838" t="s">
        <v>188</v>
      </c>
      <c r="F30" s="838" t="s">
        <v>188</v>
      </c>
      <c r="G30" s="838" t="s">
        <v>166</v>
      </c>
      <c r="H30" s="344"/>
      <c r="I30" s="344"/>
      <c r="J30" s="110" t="s">
        <v>197</v>
      </c>
      <c r="K30" s="118"/>
      <c r="L30" s="118"/>
      <c r="M30" s="118"/>
      <c r="N30" s="76"/>
      <c r="O30" s="76"/>
      <c r="P30" s="76"/>
      <c r="Q30" s="76"/>
      <c r="R30" s="76">
        <f t="shared" si="13"/>
        <v>0</v>
      </c>
      <c r="S30" s="370"/>
      <c r="T30" s="370"/>
      <c r="U30" s="371"/>
      <c r="V30" s="370">
        <f t="shared" si="14"/>
        <v>0</v>
      </c>
      <c r="W30" s="345"/>
      <c r="X30" s="345"/>
      <c r="Y30" s="372">
        <f t="shared" si="15"/>
        <v>0</v>
      </c>
      <c r="Z30" s="257"/>
      <c r="AA30" s="345">
        <f t="shared" si="16"/>
        <v>0</v>
      </c>
      <c r="AB30" s="274"/>
      <c r="AC30" s="885"/>
      <c r="AD30" s="345">
        <f t="shared" si="17"/>
        <v>0</v>
      </c>
      <c r="AE30" s="257">
        <f t="shared" si="18"/>
        <v>0</v>
      </c>
      <c r="AF30" s="257"/>
      <c r="AG30" s="257">
        <f t="shared" si="20"/>
        <v>0</v>
      </c>
      <c r="AH30" s="373">
        <f t="shared" si="19"/>
        <v>0</v>
      </c>
      <c r="AI30" s="879" t="e">
        <f t="shared" si="11"/>
        <v>#DIV/0!</v>
      </c>
      <c r="AJ30" s="346"/>
      <c r="AK30" s="347"/>
      <c r="AL30" s="348" t="e">
        <f>SUM(AE30-AF30-#REF!-#REF!)</f>
        <v>#REF!</v>
      </c>
      <c r="AM30" s="349" t="e">
        <f t="shared" si="12"/>
        <v>#DIV/0!</v>
      </c>
      <c r="AN30" s="117"/>
      <c r="AO30" s="350"/>
      <c r="AP30" s="351"/>
      <c r="AQ30" s="886"/>
      <c r="AR30" s="880"/>
      <c r="AS30" s="115"/>
      <c r="AV30" s="353"/>
    </row>
    <row r="31" spans="1:48" s="352" customFormat="1" ht="72" customHeight="1" x14ac:dyDescent="0.35">
      <c r="A31" s="343"/>
      <c r="B31" s="541" t="s">
        <v>169</v>
      </c>
      <c r="C31" s="541" t="s">
        <v>167</v>
      </c>
      <c r="D31" s="541" t="s">
        <v>167</v>
      </c>
      <c r="E31" s="541" t="s">
        <v>188</v>
      </c>
      <c r="F31" s="541" t="s">
        <v>198</v>
      </c>
      <c r="G31" s="541"/>
      <c r="H31" s="542"/>
      <c r="I31" s="542"/>
      <c r="J31" s="543" t="s">
        <v>288</v>
      </c>
      <c r="K31" s="544"/>
      <c r="L31" s="544"/>
      <c r="M31" s="544"/>
      <c r="N31" s="545">
        <f>SUM(N32:N33)</f>
        <v>60700000</v>
      </c>
      <c r="O31" s="545">
        <f t="shared" ref="O31:AH31" si="22">SUM(O32:O33)</f>
        <v>60700000</v>
      </c>
      <c r="P31" s="545">
        <f t="shared" si="22"/>
        <v>0</v>
      </c>
      <c r="Q31" s="545">
        <f t="shared" si="22"/>
        <v>40700000</v>
      </c>
      <c r="R31" s="545">
        <f t="shared" si="22"/>
        <v>20000000</v>
      </c>
      <c r="S31" s="545">
        <f t="shared" si="22"/>
        <v>0</v>
      </c>
      <c r="T31" s="545">
        <f t="shared" si="22"/>
        <v>0</v>
      </c>
      <c r="U31" s="545">
        <f t="shared" si="22"/>
        <v>0</v>
      </c>
      <c r="V31" s="545">
        <f t="shared" si="22"/>
        <v>0</v>
      </c>
      <c r="W31" s="545">
        <f t="shared" si="22"/>
        <v>0</v>
      </c>
      <c r="X31" s="545">
        <f t="shared" si="22"/>
        <v>0</v>
      </c>
      <c r="Y31" s="545">
        <f t="shared" si="22"/>
        <v>0</v>
      </c>
      <c r="Z31" s="545">
        <f t="shared" si="22"/>
        <v>3414000</v>
      </c>
      <c r="AA31" s="545">
        <f t="shared" si="22"/>
        <v>16586000</v>
      </c>
      <c r="AB31" s="545">
        <f t="shared" si="22"/>
        <v>20000000</v>
      </c>
      <c r="AC31" s="545">
        <f t="shared" si="22"/>
        <v>6283200</v>
      </c>
      <c r="AD31" s="545">
        <f t="shared" si="22"/>
        <v>13716800</v>
      </c>
      <c r="AE31" s="545">
        <f t="shared" si="22"/>
        <v>10302800</v>
      </c>
      <c r="AF31" s="545">
        <f t="shared" si="22"/>
        <v>0</v>
      </c>
      <c r="AG31" s="545">
        <f t="shared" si="22"/>
        <v>10302800</v>
      </c>
      <c r="AH31" s="545">
        <f t="shared" si="22"/>
        <v>9697200</v>
      </c>
      <c r="AI31" s="887">
        <f t="shared" si="11"/>
        <v>0.37882551549499577</v>
      </c>
      <c r="AJ31" s="548"/>
      <c r="AK31" s="549"/>
      <c r="AL31" s="550" t="e">
        <f>SUM(AE31-AF31-#REF!-#REF!)</f>
        <v>#REF!</v>
      </c>
      <c r="AM31" s="551">
        <f t="shared" si="12"/>
        <v>0.48486000000000001</v>
      </c>
      <c r="AN31" s="552"/>
      <c r="AO31" s="545">
        <f>SUM(AO32:AO33)</f>
        <v>0</v>
      </c>
      <c r="AP31" s="545">
        <f>SUM(AP32:AP33)</f>
        <v>0</v>
      </c>
      <c r="AQ31" s="545">
        <f>SUM(AQ32:AQ33)</f>
        <v>0</v>
      </c>
      <c r="AR31" s="545">
        <f>SUM(AR32:AR33)</f>
        <v>0</v>
      </c>
      <c r="AS31" s="115"/>
      <c r="AV31" s="353"/>
    </row>
    <row r="32" spans="1:48" s="352" customFormat="1" ht="60.75" x14ac:dyDescent="0.35">
      <c r="A32" s="343"/>
      <c r="B32" s="838" t="s">
        <v>169</v>
      </c>
      <c r="C32" s="838" t="s">
        <v>167</v>
      </c>
      <c r="D32" s="838" t="s">
        <v>167</v>
      </c>
      <c r="E32" s="838" t="s">
        <v>188</v>
      </c>
      <c r="F32" s="528" t="s">
        <v>198</v>
      </c>
      <c r="G32" s="838" t="s">
        <v>167</v>
      </c>
      <c r="H32" s="344"/>
      <c r="I32" s="344"/>
      <c r="J32" s="110" t="s">
        <v>199</v>
      </c>
      <c r="K32" s="118"/>
      <c r="L32" s="118"/>
      <c r="M32" s="118"/>
      <c r="N32" s="76">
        <v>17900000</v>
      </c>
      <c r="O32" s="76">
        <v>17900000</v>
      </c>
      <c r="P32" s="916"/>
      <c r="Q32" s="76">
        <v>17900000</v>
      </c>
      <c r="R32" s="76">
        <f t="shared" si="13"/>
        <v>0</v>
      </c>
      <c r="S32" s="370"/>
      <c r="T32" s="370"/>
      <c r="U32" s="371"/>
      <c r="V32" s="370">
        <f t="shared" si="14"/>
        <v>0</v>
      </c>
      <c r="W32" s="345"/>
      <c r="X32" s="345"/>
      <c r="Y32" s="372">
        <f t="shared" si="15"/>
        <v>0</v>
      </c>
      <c r="Z32" s="687"/>
      <c r="AA32" s="345">
        <f t="shared" si="16"/>
        <v>0</v>
      </c>
      <c r="AB32" s="274"/>
      <c r="AC32" s="885"/>
      <c r="AD32" s="345">
        <f t="shared" si="17"/>
        <v>0</v>
      </c>
      <c r="AE32" s="257">
        <f t="shared" si="18"/>
        <v>0</v>
      </c>
      <c r="AF32" s="257"/>
      <c r="AG32" s="394">
        <f t="shared" si="20"/>
        <v>0</v>
      </c>
      <c r="AH32" s="373">
        <f t="shared" si="19"/>
        <v>0</v>
      </c>
      <c r="AI32" s="879" t="e">
        <f t="shared" si="11"/>
        <v>#DIV/0!</v>
      </c>
      <c r="AJ32" s="346"/>
      <c r="AK32" s="347"/>
      <c r="AL32" s="348" t="e">
        <f>SUM(AE32-AF32-#REF!-#REF!)</f>
        <v>#REF!</v>
      </c>
      <c r="AM32" s="349" t="e">
        <f t="shared" si="12"/>
        <v>#DIV/0!</v>
      </c>
      <c r="AN32" s="117"/>
      <c r="AO32" s="350"/>
      <c r="AP32" s="351"/>
      <c r="AQ32" s="925"/>
      <c r="AR32" s="880"/>
      <c r="AS32" s="115"/>
      <c r="AV32" s="353"/>
    </row>
    <row r="33" spans="1:48" s="352" customFormat="1" ht="78.599999999999994" customHeight="1" x14ac:dyDescent="0.35">
      <c r="A33" s="343"/>
      <c r="B33" s="838" t="s">
        <v>169</v>
      </c>
      <c r="C33" s="838" t="s">
        <v>167</v>
      </c>
      <c r="D33" s="838" t="s">
        <v>167</v>
      </c>
      <c r="E33" s="838" t="s">
        <v>188</v>
      </c>
      <c r="F33" s="528" t="s">
        <v>198</v>
      </c>
      <c r="G33" s="838" t="s">
        <v>169</v>
      </c>
      <c r="H33" s="344"/>
      <c r="I33" s="344"/>
      <c r="J33" s="110" t="s">
        <v>341</v>
      </c>
      <c r="K33" s="118"/>
      <c r="L33" s="118"/>
      <c r="M33" s="118"/>
      <c r="N33" s="76">
        <v>42800000</v>
      </c>
      <c r="O33" s="76">
        <v>42800000</v>
      </c>
      <c r="P33" s="916"/>
      <c r="Q33" s="76">
        <f>22800000</f>
        <v>22800000</v>
      </c>
      <c r="R33" s="76">
        <f t="shared" si="13"/>
        <v>20000000</v>
      </c>
      <c r="S33" s="370"/>
      <c r="T33" s="370"/>
      <c r="U33" s="371"/>
      <c r="V33" s="370">
        <f t="shared" si="14"/>
        <v>0</v>
      </c>
      <c r="W33" s="345"/>
      <c r="X33" s="345"/>
      <c r="Y33" s="372">
        <f t="shared" si="15"/>
        <v>0</v>
      </c>
      <c r="Z33" s="257">
        <v>3414000</v>
      </c>
      <c r="AA33" s="345">
        <f t="shared" si="16"/>
        <v>16586000</v>
      </c>
      <c r="AB33" s="274">
        <v>20000000</v>
      </c>
      <c r="AC33" s="885">
        <v>6283200</v>
      </c>
      <c r="AD33" s="345">
        <f t="shared" si="17"/>
        <v>13716800</v>
      </c>
      <c r="AE33" s="257">
        <f t="shared" si="18"/>
        <v>10302800</v>
      </c>
      <c r="AF33" s="257"/>
      <c r="AG33" s="394">
        <f t="shared" si="20"/>
        <v>10302800</v>
      </c>
      <c r="AH33" s="373">
        <f t="shared" si="19"/>
        <v>9697200</v>
      </c>
      <c r="AI33" s="879">
        <f t="shared" si="11"/>
        <v>0.37882551549499577</v>
      </c>
      <c r="AJ33" s="346"/>
      <c r="AK33" s="347"/>
      <c r="AL33" s="348" t="e">
        <f>SUM(AE33-AF33-#REF!-#REF!)</f>
        <v>#REF!</v>
      </c>
      <c r="AM33" s="349">
        <f t="shared" si="12"/>
        <v>0.48486000000000001</v>
      </c>
      <c r="AN33" s="117"/>
      <c r="AO33" s="350"/>
      <c r="AP33" s="889"/>
      <c r="AQ33" s="925"/>
      <c r="AR33" s="880"/>
      <c r="AS33" s="115"/>
      <c r="AV33" s="353"/>
    </row>
    <row r="34" spans="1:48" s="352" customFormat="1" ht="72.95" customHeight="1" x14ac:dyDescent="0.35">
      <c r="A34" s="343"/>
      <c r="B34" s="541" t="s">
        <v>169</v>
      </c>
      <c r="C34" s="541" t="s">
        <v>167</v>
      </c>
      <c r="D34" s="541" t="s">
        <v>167</v>
      </c>
      <c r="E34" s="541" t="s">
        <v>188</v>
      </c>
      <c r="F34" s="541" t="s">
        <v>172</v>
      </c>
      <c r="G34" s="541"/>
      <c r="H34" s="542"/>
      <c r="I34" s="542"/>
      <c r="J34" s="543" t="s">
        <v>200</v>
      </c>
      <c r="K34" s="544"/>
      <c r="L34" s="544"/>
      <c r="M34" s="544"/>
      <c r="N34" s="545">
        <f>SUM(N35:N37)</f>
        <v>13100000</v>
      </c>
      <c r="O34" s="545">
        <f t="shared" ref="O34:AH34" si="23">SUM(O35:O37)</f>
        <v>13100000</v>
      </c>
      <c r="P34" s="545">
        <f t="shared" si="23"/>
        <v>0</v>
      </c>
      <c r="Q34" s="545">
        <f t="shared" si="23"/>
        <v>100000</v>
      </c>
      <c r="R34" s="545">
        <f t="shared" si="23"/>
        <v>13000000</v>
      </c>
      <c r="S34" s="545">
        <f t="shared" si="23"/>
        <v>0</v>
      </c>
      <c r="T34" s="545">
        <f t="shared" si="23"/>
        <v>0</v>
      </c>
      <c r="U34" s="545">
        <f t="shared" si="23"/>
        <v>0</v>
      </c>
      <c r="V34" s="545">
        <f t="shared" si="23"/>
        <v>0</v>
      </c>
      <c r="W34" s="545">
        <f t="shared" si="23"/>
        <v>0</v>
      </c>
      <c r="X34" s="545">
        <f t="shared" si="23"/>
        <v>0</v>
      </c>
      <c r="Y34" s="545">
        <f t="shared" si="23"/>
        <v>0</v>
      </c>
      <c r="Z34" s="545">
        <f t="shared" si="23"/>
        <v>0</v>
      </c>
      <c r="AA34" s="545">
        <f t="shared" si="23"/>
        <v>13000000</v>
      </c>
      <c r="AB34" s="545">
        <f t="shared" si="23"/>
        <v>10000000</v>
      </c>
      <c r="AC34" s="545">
        <f t="shared" si="23"/>
        <v>3181380</v>
      </c>
      <c r="AD34" s="545">
        <f t="shared" si="23"/>
        <v>6818620</v>
      </c>
      <c r="AE34" s="545">
        <f t="shared" si="23"/>
        <v>9818620</v>
      </c>
      <c r="AF34" s="545">
        <f t="shared" si="23"/>
        <v>3000000</v>
      </c>
      <c r="AG34" s="545">
        <f t="shared" si="23"/>
        <v>6818620</v>
      </c>
      <c r="AH34" s="545">
        <f t="shared" si="23"/>
        <v>3181380</v>
      </c>
      <c r="AI34" s="887">
        <f t="shared" si="11"/>
        <v>0.24472153846153846</v>
      </c>
      <c r="AJ34" s="548"/>
      <c r="AK34" s="549"/>
      <c r="AL34" s="550" t="e">
        <f>SUM(AE34-AF34-#REF!-#REF!)</f>
        <v>#REF!</v>
      </c>
      <c r="AM34" s="551">
        <f t="shared" si="12"/>
        <v>0.24472153846153846</v>
      </c>
      <c r="AN34" s="552"/>
      <c r="AO34" s="545">
        <f>SUM(AO35:AO37)</f>
        <v>0</v>
      </c>
      <c r="AP34" s="545">
        <f>SUM(AP35:AP37)</f>
        <v>0</v>
      </c>
      <c r="AQ34" s="545">
        <f>SUM(AQ35:AQ37)</f>
        <v>0</v>
      </c>
      <c r="AR34" s="545">
        <f>SUM(AR35:AR37)</f>
        <v>0</v>
      </c>
      <c r="AS34" s="115"/>
      <c r="AV34" s="353"/>
    </row>
    <row r="35" spans="1:48" s="352" customFormat="1" ht="116.25" customHeight="1" x14ac:dyDescent="0.35">
      <c r="A35" s="343"/>
      <c r="B35" s="838" t="s">
        <v>169</v>
      </c>
      <c r="C35" s="838" t="s">
        <v>167</v>
      </c>
      <c r="D35" s="838" t="s">
        <v>167</v>
      </c>
      <c r="E35" s="838" t="s">
        <v>188</v>
      </c>
      <c r="F35" s="529" t="s">
        <v>172</v>
      </c>
      <c r="G35" s="838" t="s">
        <v>167</v>
      </c>
      <c r="H35" s="344"/>
      <c r="I35" s="344"/>
      <c r="J35" s="110" t="s">
        <v>289</v>
      </c>
      <c r="K35" s="118"/>
      <c r="L35" s="118"/>
      <c r="M35" s="118"/>
      <c r="N35" s="76"/>
      <c r="O35" s="76"/>
      <c r="P35" s="76"/>
      <c r="Q35" s="76"/>
      <c r="R35" s="76">
        <f t="shared" si="13"/>
        <v>0</v>
      </c>
      <c r="S35" s="370"/>
      <c r="T35" s="370"/>
      <c r="U35" s="371"/>
      <c r="V35" s="370">
        <f t="shared" si="14"/>
        <v>0</v>
      </c>
      <c r="W35" s="345"/>
      <c r="X35" s="345"/>
      <c r="Y35" s="372">
        <f t="shared" si="15"/>
        <v>0</v>
      </c>
      <c r="Z35" s="257"/>
      <c r="AA35" s="345">
        <f t="shared" si="16"/>
        <v>0</v>
      </c>
      <c r="AB35" s="274"/>
      <c r="AC35" s="885"/>
      <c r="AD35" s="345">
        <f t="shared" si="17"/>
        <v>0</v>
      </c>
      <c r="AE35" s="257">
        <f t="shared" si="18"/>
        <v>0</v>
      </c>
      <c r="AF35" s="257"/>
      <c r="AG35" s="257">
        <f t="shared" si="20"/>
        <v>0</v>
      </c>
      <c r="AH35" s="373">
        <f t="shared" si="19"/>
        <v>0</v>
      </c>
      <c r="AI35" s="879" t="e">
        <f t="shared" si="11"/>
        <v>#DIV/0!</v>
      </c>
      <c r="AJ35" s="346"/>
      <c r="AK35" s="347"/>
      <c r="AL35" s="348" t="e">
        <f>SUM(AE35-AF35-#REF!-#REF!)</f>
        <v>#REF!</v>
      </c>
      <c r="AM35" s="349" t="e">
        <f t="shared" si="12"/>
        <v>#DIV/0!</v>
      </c>
      <c r="AN35" s="117"/>
      <c r="AO35" s="350"/>
      <c r="AP35" s="351"/>
      <c r="AQ35" s="886"/>
      <c r="AR35" s="880"/>
      <c r="AS35" s="115"/>
      <c r="AV35" s="353"/>
    </row>
    <row r="36" spans="1:48" s="352" customFormat="1" ht="70.5" customHeight="1" x14ac:dyDescent="0.35">
      <c r="A36" s="343"/>
      <c r="B36" s="838" t="s">
        <v>169</v>
      </c>
      <c r="C36" s="838" t="s">
        <v>167</v>
      </c>
      <c r="D36" s="838" t="s">
        <v>167</v>
      </c>
      <c r="E36" s="838" t="s">
        <v>188</v>
      </c>
      <c r="F36" s="529" t="s">
        <v>172</v>
      </c>
      <c r="G36" s="838" t="s">
        <v>191</v>
      </c>
      <c r="H36" s="344"/>
      <c r="I36" s="344"/>
      <c r="J36" s="110" t="s">
        <v>201</v>
      </c>
      <c r="K36" s="118"/>
      <c r="L36" s="118"/>
      <c r="M36" s="118"/>
      <c r="N36" s="76"/>
      <c r="O36" s="76"/>
      <c r="P36" s="76"/>
      <c r="Q36" s="76"/>
      <c r="R36" s="76">
        <f t="shared" si="13"/>
        <v>0</v>
      </c>
      <c r="S36" s="370"/>
      <c r="T36" s="370"/>
      <c r="U36" s="371"/>
      <c r="V36" s="370">
        <f t="shared" si="14"/>
        <v>0</v>
      </c>
      <c r="W36" s="345"/>
      <c r="X36" s="345"/>
      <c r="Y36" s="372">
        <f t="shared" si="15"/>
        <v>0</v>
      </c>
      <c r="Z36" s="257"/>
      <c r="AA36" s="345">
        <f t="shared" si="16"/>
        <v>0</v>
      </c>
      <c r="AB36" s="274"/>
      <c r="AC36" s="885"/>
      <c r="AD36" s="345">
        <f t="shared" si="17"/>
        <v>0</v>
      </c>
      <c r="AE36" s="257">
        <f t="shared" si="18"/>
        <v>0</v>
      </c>
      <c r="AF36" s="257"/>
      <c r="AG36" s="257">
        <f t="shared" si="20"/>
        <v>0</v>
      </c>
      <c r="AH36" s="373">
        <f t="shared" si="19"/>
        <v>0</v>
      </c>
      <c r="AI36" s="879" t="e">
        <f t="shared" si="11"/>
        <v>#DIV/0!</v>
      </c>
      <c r="AJ36" s="346"/>
      <c r="AK36" s="347"/>
      <c r="AL36" s="348" t="e">
        <f>SUM(AE36-AF36-#REF!-#REF!)</f>
        <v>#REF!</v>
      </c>
      <c r="AM36" s="349" t="e">
        <f t="shared" si="12"/>
        <v>#DIV/0!</v>
      </c>
      <c r="AN36" s="117"/>
      <c r="AO36" s="350"/>
      <c r="AP36" s="351"/>
      <c r="AQ36" s="886"/>
      <c r="AR36" s="880"/>
      <c r="AS36" s="115"/>
      <c r="AV36" s="353"/>
    </row>
    <row r="37" spans="1:48" s="352" customFormat="1" ht="54.6" customHeight="1" x14ac:dyDescent="0.35">
      <c r="A37" s="343"/>
      <c r="B37" s="838" t="s">
        <v>169</v>
      </c>
      <c r="C37" s="838" t="s">
        <v>167</v>
      </c>
      <c r="D37" s="838" t="s">
        <v>167</v>
      </c>
      <c r="E37" s="838" t="s">
        <v>188</v>
      </c>
      <c r="F37" s="529" t="s">
        <v>172</v>
      </c>
      <c r="G37" s="838" t="s">
        <v>193</v>
      </c>
      <c r="H37" s="344"/>
      <c r="I37" s="344"/>
      <c r="J37" s="110" t="s">
        <v>202</v>
      </c>
      <c r="K37" s="118"/>
      <c r="L37" s="118"/>
      <c r="M37" s="118"/>
      <c r="N37" s="76">
        <v>13100000</v>
      </c>
      <c r="O37" s="76">
        <v>13100000</v>
      </c>
      <c r="P37" s="916"/>
      <c r="Q37" s="76">
        <f>100000</f>
        <v>100000</v>
      </c>
      <c r="R37" s="76">
        <f t="shared" si="13"/>
        <v>13000000</v>
      </c>
      <c r="S37" s="370"/>
      <c r="T37" s="370"/>
      <c r="U37" s="371"/>
      <c r="V37" s="370">
        <f t="shared" si="14"/>
        <v>0</v>
      </c>
      <c r="W37" s="345"/>
      <c r="X37" s="345"/>
      <c r="Y37" s="372">
        <f t="shared" si="15"/>
        <v>0</v>
      </c>
      <c r="Z37" s="257"/>
      <c r="AA37" s="345">
        <f t="shared" si="16"/>
        <v>13000000</v>
      </c>
      <c r="AB37" s="274">
        <v>10000000</v>
      </c>
      <c r="AC37" s="885">
        <v>3181380</v>
      </c>
      <c r="AD37" s="345">
        <f t="shared" si="17"/>
        <v>6818620</v>
      </c>
      <c r="AE37" s="257">
        <f t="shared" si="18"/>
        <v>9818620</v>
      </c>
      <c r="AF37" s="257">
        <v>3000000</v>
      </c>
      <c r="AG37" s="394">
        <f t="shared" si="20"/>
        <v>6818620</v>
      </c>
      <c r="AH37" s="373">
        <f t="shared" si="19"/>
        <v>3181380</v>
      </c>
      <c r="AI37" s="879">
        <f t="shared" si="11"/>
        <v>0.24472153846153846</v>
      </c>
      <c r="AJ37" s="346"/>
      <c r="AK37" s="347"/>
      <c r="AL37" s="348" t="e">
        <f>SUM(AE37-AF37-#REF!-#REF!)</f>
        <v>#REF!</v>
      </c>
      <c r="AM37" s="349">
        <f t="shared" si="12"/>
        <v>0.24472153846153846</v>
      </c>
      <c r="AN37" s="117"/>
      <c r="AO37" s="350"/>
      <c r="AP37" s="351"/>
      <c r="AQ37" s="925"/>
      <c r="AR37" s="880"/>
      <c r="AS37" s="115"/>
      <c r="AV37" s="353"/>
    </row>
    <row r="38" spans="1:48" s="352" customFormat="1" ht="86.25" customHeight="1" x14ac:dyDescent="0.35">
      <c r="A38" s="343"/>
      <c r="B38" s="541" t="s">
        <v>169</v>
      </c>
      <c r="C38" s="541" t="s">
        <v>167</v>
      </c>
      <c r="D38" s="541" t="s">
        <v>167</v>
      </c>
      <c r="E38" s="541" t="s">
        <v>188</v>
      </c>
      <c r="F38" s="541" t="s">
        <v>203</v>
      </c>
      <c r="G38" s="541"/>
      <c r="H38" s="542"/>
      <c r="I38" s="542"/>
      <c r="J38" s="543" t="s">
        <v>320</v>
      </c>
      <c r="K38" s="544"/>
      <c r="L38" s="544"/>
      <c r="M38" s="544"/>
      <c r="N38" s="545">
        <f>SUM(N39:N40)</f>
        <v>9000000</v>
      </c>
      <c r="O38" s="545">
        <f t="shared" ref="O38:AH38" si="24">SUM(O39:O40)</f>
        <v>9000000</v>
      </c>
      <c r="P38" s="545">
        <f t="shared" si="24"/>
        <v>0</v>
      </c>
      <c r="Q38" s="545">
        <f t="shared" si="24"/>
        <v>9000000</v>
      </c>
      <c r="R38" s="545">
        <f t="shared" si="24"/>
        <v>0</v>
      </c>
      <c r="S38" s="545">
        <f t="shared" si="24"/>
        <v>0</v>
      </c>
      <c r="T38" s="545">
        <f t="shared" si="24"/>
        <v>0</v>
      </c>
      <c r="U38" s="545">
        <f t="shared" si="24"/>
        <v>0</v>
      </c>
      <c r="V38" s="545">
        <f t="shared" si="24"/>
        <v>0</v>
      </c>
      <c r="W38" s="545">
        <f t="shared" si="24"/>
        <v>0</v>
      </c>
      <c r="X38" s="545">
        <f t="shared" si="24"/>
        <v>0</v>
      </c>
      <c r="Y38" s="545">
        <f t="shared" si="24"/>
        <v>0</v>
      </c>
      <c r="Z38" s="545">
        <f t="shared" si="24"/>
        <v>0</v>
      </c>
      <c r="AA38" s="545">
        <f t="shared" si="24"/>
        <v>0</v>
      </c>
      <c r="AB38" s="545">
        <f t="shared" si="24"/>
        <v>0</v>
      </c>
      <c r="AC38" s="545">
        <f t="shared" si="24"/>
        <v>0</v>
      </c>
      <c r="AD38" s="545">
        <f t="shared" si="24"/>
        <v>0</v>
      </c>
      <c r="AE38" s="545">
        <f t="shared" si="24"/>
        <v>0</v>
      </c>
      <c r="AF38" s="545">
        <f t="shared" si="24"/>
        <v>0</v>
      </c>
      <c r="AG38" s="545">
        <f t="shared" si="24"/>
        <v>0</v>
      </c>
      <c r="AH38" s="545">
        <f t="shared" si="24"/>
        <v>0</v>
      </c>
      <c r="AI38" s="887"/>
      <c r="AJ38" s="548"/>
      <c r="AK38" s="549"/>
      <c r="AL38" s="550"/>
      <c r="AM38" s="551"/>
      <c r="AN38" s="552"/>
      <c r="AO38" s="545">
        <f>SUM(AO39:AO40)</f>
        <v>0</v>
      </c>
      <c r="AP38" s="545">
        <f>SUM(AP39:AP40)</f>
        <v>0</v>
      </c>
      <c r="AQ38" s="545">
        <f>SUM(AQ39:AQ40)</f>
        <v>0</v>
      </c>
      <c r="AR38" s="545">
        <f>SUM(AR39:AR40)</f>
        <v>0</v>
      </c>
      <c r="AS38" s="115"/>
      <c r="AV38" s="353"/>
    </row>
    <row r="39" spans="1:48" s="352" customFormat="1" ht="117.6" customHeight="1" x14ac:dyDescent="0.35">
      <c r="A39" s="343"/>
      <c r="B39" s="838" t="s">
        <v>169</v>
      </c>
      <c r="C39" s="838" t="s">
        <v>167</v>
      </c>
      <c r="D39" s="838" t="s">
        <v>167</v>
      </c>
      <c r="E39" s="838" t="s">
        <v>188</v>
      </c>
      <c r="F39" s="838" t="s">
        <v>203</v>
      </c>
      <c r="G39" s="838" t="s">
        <v>169</v>
      </c>
      <c r="H39" s="344"/>
      <c r="I39" s="344"/>
      <c r="J39" s="110" t="s">
        <v>204</v>
      </c>
      <c r="K39" s="118"/>
      <c r="L39" s="118"/>
      <c r="M39" s="118"/>
      <c r="N39" s="76">
        <v>9000000</v>
      </c>
      <c r="O39" s="76">
        <v>9000000</v>
      </c>
      <c r="P39" s="76"/>
      <c r="Q39" s="496">
        <v>9000000</v>
      </c>
      <c r="R39" s="76">
        <f t="shared" si="13"/>
        <v>0</v>
      </c>
      <c r="S39" s="370"/>
      <c r="T39" s="370"/>
      <c r="U39" s="371"/>
      <c r="V39" s="370">
        <f t="shared" si="14"/>
        <v>0</v>
      </c>
      <c r="W39" s="345"/>
      <c r="X39" s="345"/>
      <c r="Y39" s="372">
        <f t="shared" si="15"/>
        <v>0</v>
      </c>
      <c r="Z39" s="257"/>
      <c r="AA39" s="345">
        <f t="shared" si="16"/>
        <v>0</v>
      </c>
      <c r="AB39" s="274"/>
      <c r="AC39" s="885"/>
      <c r="AD39" s="345">
        <f t="shared" si="17"/>
        <v>0</v>
      </c>
      <c r="AE39" s="257">
        <f t="shared" si="18"/>
        <v>0</v>
      </c>
      <c r="AF39" s="257"/>
      <c r="AG39" s="257">
        <f t="shared" si="20"/>
        <v>0</v>
      </c>
      <c r="AH39" s="373">
        <f t="shared" si="19"/>
        <v>0</v>
      </c>
      <c r="AI39" s="879" t="e">
        <f t="shared" si="11"/>
        <v>#DIV/0!</v>
      </c>
      <c r="AJ39" s="346"/>
      <c r="AK39" s="347"/>
      <c r="AL39" s="348" t="e">
        <f>SUM(AE39-AF39-#REF!-#REF!)</f>
        <v>#REF!</v>
      </c>
      <c r="AM39" s="349" t="e">
        <f t="shared" si="12"/>
        <v>#DIV/0!</v>
      </c>
      <c r="AN39" s="117"/>
      <c r="AO39" s="350"/>
      <c r="AP39" s="351"/>
      <c r="AQ39" s="886"/>
      <c r="AR39" s="880"/>
      <c r="AS39" s="115"/>
      <c r="AV39" s="353"/>
    </row>
    <row r="40" spans="1:48" s="352" customFormat="1" ht="168.75" customHeight="1" x14ac:dyDescent="0.35">
      <c r="A40" s="343"/>
      <c r="B40" s="838" t="s">
        <v>169</v>
      </c>
      <c r="C40" s="838" t="s">
        <v>167</v>
      </c>
      <c r="D40" s="838" t="s">
        <v>167</v>
      </c>
      <c r="E40" s="838" t="s">
        <v>188</v>
      </c>
      <c r="F40" s="838" t="s">
        <v>203</v>
      </c>
      <c r="G40" s="838" t="s">
        <v>205</v>
      </c>
      <c r="H40" s="344"/>
      <c r="I40" s="344"/>
      <c r="J40" s="111" t="s">
        <v>290</v>
      </c>
      <c r="K40" s="118"/>
      <c r="L40" s="118"/>
      <c r="M40" s="118"/>
      <c r="N40" s="76"/>
      <c r="O40" s="76"/>
      <c r="P40" s="76"/>
      <c r="Q40" s="76"/>
      <c r="R40" s="76">
        <f t="shared" si="13"/>
        <v>0</v>
      </c>
      <c r="S40" s="370"/>
      <c r="T40" s="370"/>
      <c r="U40" s="371"/>
      <c r="V40" s="370">
        <f t="shared" si="14"/>
        <v>0</v>
      </c>
      <c r="W40" s="345"/>
      <c r="X40" s="345"/>
      <c r="Y40" s="372">
        <f t="shared" si="15"/>
        <v>0</v>
      </c>
      <c r="Z40" s="257"/>
      <c r="AA40" s="345">
        <f t="shared" si="16"/>
        <v>0</v>
      </c>
      <c r="AB40" s="274"/>
      <c r="AC40" s="885"/>
      <c r="AD40" s="345">
        <f t="shared" si="17"/>
        <v>0</v>
      </c>
      <c r="AE40" s="257">
        <f t="shared" si="18"/>
        <v>0</v>
      </c>
      <c r="AF40" s="257"/>
      <c r="AG40" s="257">
        <f t="shared" si="20"/>
        <v>0</v>
      </c>
      <c r="AH40" s="373">
        <f t="shared" si="19"/>
        <v>0</v>
      </c>
      <c r="AI40" s="879" t="e">
        <f t="shared" si="11"/>
        <v>#DIV/0!</v>
      </c>
      <c r="AJ40" s="346"/>
      <c r="AK40" s="347"/>
      <c r="AL40" s="348" t="e">
        <f>SUM(AE40-AF40-#REF!-#REF!)</f>
        <v>#REF!</v>
      </c>
      <c r="AM40" s="349" t="e">
        <f t="shared" si="12"/>
        <v>#DIV/0!</v>
      </c>
      <c r="AN40" s="117"/>
      <c r="AO40" s="374"/>
      <c r="AP40" s="351"/>
      <c r="AQ40" s="886"/>
      <c r="AR40" s="880"/>
      <c r="AS40" s="115"/>
      <c r="AV40" s="353"/>
    </row>
    <row r="41" spans="1:48" s="388" customFormat="1" ht="26.25" x14ac:dyDescent="0.35">
      <c r="A41" s="375"/>
      <c r="B41" s="376"/>
      <c r="C41" s="376"/>
      <c r="D41" s="376"/>
      <c r="E41" s="376"/>
      <c r="F41" s="376"/>
      <c r="G41" s="376"/>
      <c r="H41" s="377"/>
      <c r="I41" s="377"/>
      <c r="J41" s="112"/>
      <c r="K41" s="378">
        <f>SUM(K15:K40)</f>
        <v>0</v>
      </c>
      <c r="L41" s="378">
        <f>SUM(L15:L40)</f>
        <v>323651508</v>
      </c>
      <c r="M41" s="378">
        <f>SUM(M15:M40)</f>
        <v>58257167</v>
      </c>
      <c r="N41" s="113"/>
      <c r="O41" s="113"/>
      <c r="P41" s="113"/>
      <c r="Q41" s="113"/>
      <c r="R41" s="311"/>
      <c r="S41" s="379"/>
      <c r="T41" s="379"/>
      <c r="U41" s="379"/>
      <c r="V41" s="379"/>
      <c r="W41" s="380"/>
      <c r="X41" s="380"/>
      <c r="Y41" s="380"/>
      <c r="Z41" s="380"/>
      <c r="AA41" s="380"/>
      <c r="AB41" s="380"/>
      <c r="AC41" s="380"/>
      <c r="AD41" s="380"/>
      <c r="AE41" s="380"/>
      <c r="AF41" s="380"/>
      <c r="AG41" s="380"/>
      <c r="AH41" s="381"/>
      <c r="AI41" s="890"/>
      <c r="AJ41" s="381"/>
      <c r="AK41" s="380"/>
      <c r="AL41" s="382"/>
      <c r="AM41" s="383"/>
      <c r="AN41" s="384"/>
      <c r="AO41" s="385"/>
      <c r="AP41" s="386"/>
      <c r="AQ41" s="891"/>
      <c r="AR41" s="891"/>
      <c r="AS41" s="387"/>
      <c r="AV41" s="389"/>
    </row>
    <row r="42" spans="1:48" s="391" customFormat="1" ht="46.5" customHeight="1" x14ac:dyDescent="0.35">
      <c r="A42" s="343" t="s">
        <v>29</v>
      </c>
      <c r="B42" s="838" t="s">
        <v>169</v>
      </c>
      <c r="C42" s="838" t="s">
        <v>169</v>
      </c>
      <c r="D42" s="838"/>
      <c r="E42" s="838"/>
      <c r="F42" s="838"/>
      <c r="G42" s="838"/>
      <c r="H42" s="344"/>
      <c r="I42" s="344"/>
      <c r="J42" s="108" t="s">
        <v>206</v>
      </c>
      <c r="K42" s="118"/>
      <c r="L42" s="118"/>
      <c r="M42" s="118"/>
      <c r="N42" s="109">
        <f>SUM(N43+N64)</f>
        <v>2496100001</v>
      </c>
      <c r="O42" s="109">
        <f t="shared" ref="O42:AR42" si="25">SUM(O43+O64)</f>
        <v>2496100001</v>
      </c>
      <c r="P42" s="109">
        <f t="shared" si="25"/>
        <v>488081702.72999996</v>
      </c>
      <c r="Q42" s="109">
        <f t="shared" si="25"/>
        <v>485124771.73000002</v>
      </c>
      <c r="R42" s="109">
        <f t="shared" si="25"/>
        <v>2499356932</v>
      </c>
      <c r="S42" s="109">
        <f t="shared" si="25"/>
        <v>14000000</v>
      </c>
      <c r="T42" s="109">
        <f t="shared" si="25"/>
        <v>19599230.559999999</v>
      </c>
      <c r="U42" s="109">
        <f t="shared" si="25"/>
        <v>19599230.559999999</v>
      </c>
      <c r="V42" s="109">
        <f t="shared" si="25"/>
        <v>0</v>
      </c>
      <c r="W42" s="109">
        <f t="shared" si="25"/>
        <v>265443412</v>
      </c>
      <c r="X42" s="109">
        <f t="shared" si="25"/>
        <v>1108731634.4400001</v>
      </c>
      <c r="Y42" s="109">
        <f t="shared" si="25"/>
        <v>0</v>
      </c>
      <c r="Z42" s="109">
        <f t="shared" si="25"/>
        <v>282761162.03000003</v>
      </c>
      <c r="AA42" s="109">
        <f t="shared" si="25"/>
        <v>808821492.96999991</v>
      </c>
      <c r="AB42" s="109">
        <f t="shared" si="25"/>
        <v>959848778.72000003</v>
      </c>
      <c r="AC42" s="109">
        <f t="shared" si="25"/>
        <v>752437229.49000001</v>
      </c>
      <c r="AD42" s="109">
        <f t="shared" si="25"/>
        <v>207411549.23000002</v>
      </c>
      <c r="AE42" s="109">
        <f t="shared" si="25"/>
        <v>56384263.479999989</v>
      </c>
      <c r="AF42" s="109">
        <f t="shared" si="25"/>
        <v>32000000</v>
      </c>
      <c r="AG42" s="109">
        <f t="shared" si="25"/>
        <v>24384263.479999997</v>
      </c>
      <c r="AH42" s="109">
        <f t="shared" si="25"/>
        <v>2442972668.5199995</v>
      </c>
      <c r="AI42" s="109" t="e">
        <f t="shared" si="25"/>
        <v>#DIV/0!</v>
      </c>
      <c r="AJ42" s="109">
        <f t="shared" si="25"/>
        <v>0</v>
      </c>
      <c r="AK42" s="109">
        <f t="shared" si="25"/>
        <v>0</v>
      </c>
      <c r="AL42" s="109" t="e">
        <f t="shared" si="25"/>
        <v>#REF!</v>
      </c>
      <c r="AM42" s="109" t="e">
        <f t="shared" si="25"/>
        <v>#DIV/0!</v>
      </c>
      <c r="AN42" s="109">
        <f t="shared" si="25"/>
        <v>0</v>
      </c>
      <c r="AO42" s="109">
        <f t="shared" si="25"/>
        <v>0</v>
      </c>
      <c r="AP42" s="109">
        <f t="shared" si="25"/>
        <v>0</v>
      </c>
      <c r="AQ42" s="109">
        <f t="shared" si="25"/>
        <v>0</v>
      </c>
      <c r="AR42" s="109">
        <f t="shared" si="25"/>
        <v>24384263.48</v>
      </c>
      <c r="AS42" s="671">
        <f>AQ42-AR42</f>
        <v>-24384263.48</v>
      </c>
      <c r="AV42" s="392"/>
    </row>
    <row r="43" spans="1:48" s="364" customFormat="1" ht="53.1" customHeight="1" x14ac:dyDescent="0.35">
      <c r="A43" s="354" t="s">
        <v>29</v>
      </c>
      <c r="B43" s="617" t="s">
        <v>169</v>
      </c>
      <c r="C43" s="617" t="s">
        <v>169</v>
      </c>
      <c r="D43" s="617" t="s">
        <v>167</v>
      </c>
      <c r="E43" s="617"/>
      <c r="F43" s="617"/>
      <c r="G43" s="617"/>
      <c r="H43" s="618"/>
      <c r="I43" s="618"/>
      <c r="J43" s="74" t="s">
        <v>207</v>
      </c>
      <c r="K43" s="619"/>
      <c r="L43" s="619"/>
      <c r="M43" s="619"/>
      <c r="N43" s="620">
        <f>SUM(N44+N46+N61)</f>
        <v>184744060</v>
      </c>
      <c r="O43" s="620">
        <f t="shared" ref="O43:AM43" si="26">SUM(O44+O46+O61)</f>
        <v>184744060</v>
      </c>
      <c r="P43" s="620">
        <f t="shared" si="26"/>
        <v>47755940</v>
      </c>
      <c r="Q43" s="620">
        <f t="shared" si="26"/>
        <v>111240999.34</v>
      </c>
      <c r="R43" s="620">
        <f t="shared" si="26"/>
        <v>121259000.66</v>
      </c>
      <c r="S43" s="620">
        <f t="shared" si="26"/>
        <v>1200000</v>
      </c>
      <c r="T43" s="620">
        <f t="shared" si="26"/>
        <v>2639313.79</v>
      </c>
      <c r="U43" s="620">
        <f t="shared" si="26"/>
        <v>2639313.79</v>
      </c>
      <c r="V43" s="620">
        <f t="shared" si="26"/>
        <v>0</v>
      </c>
      <c r="W43" s="620">
        <f t="shared" si="26"/>
        <v>0</v>
      </c>
      <c r="X43" s="620">
        <f t="shared" si="26"/>
        <v>7687093</v>
      </c>
      <c r="Y43" s="620">
        <f t="shared" si="26"/>
        <v>0</v>
      </c>
      <c r="Z43" s="620">
        <f t="shared" si="26"/>
        <v>0</v>
      </c>
      <c r="AA43" s="620">
        <f t="shared" si="26"/>
        <v>109732593.86999999</v>
      </c>
      <c r="AB43" s="620">
        <f t="shared" si="26"/>
        <v>119116518.72</v>
      </c>
      <c r="AC43" s="620">
        <f t="shared" si="26"/>
        <v>87695614.659999996</v>
      </c>
      <c r="AD43" s="620">
        <f t="shared" si="26"/>
        <v>31420904.059999999</v>
      </c>
      <c r="AE43" s="620">
        <f t="shared" si="26"/>
        <v>22036979.209999997</v>
      </c>
      <c r="AF43" s="620">
        <f t="shared" si="26"/>
        <v>11000000</v>
      </c>
      <c r="AG43" s="620">
        <f t="shared" si="26"/>
        <v>11036979.209999997</v>
      </c>
      <c r="AH43" s="620">
        <f t="shared" si="26"/>
        <v>99222021.449999988</v>
      </c>
      <c r="AI43" s="620" t="e">
        <f t="shared" si="26"/>
        <v>#DIV/0!</v>
      </c>
      <c r="AJ43" s="620">
        <f t="shared" si="26"/>
        <v>0</v>
      </c>
      <c r="AK43" s="620">
        <f t="shared" si="26"/>
        <v>0</v>
      </c>
      <c r="AL43" s="620" t="e">
        <f t="shared" si="26"/>
        <v>#REF!</v>
      </c>
      <c r="AM43" s="620" t="e">
        <f t="shared" si="26"/>
        <v>#DIV/0!</v>
      </c>
      <c r="AN43" s="621"/>
      <c r="AO43" s="622"/>
      <c r="AP43" s="623"/>
      <c r="AQ43" s="892">
        <f>SUM(AQ44+AQ46+AQ61)</f>
        <v>0</v>
      </c>
      <c r="AR43" s="893">
        <f>SUM(AR44+AR46+AR61)</f>
        <v>11036979.210000001</v>
      </c>
      <c r="AS43" s="669">
        <f>AR43-AQ43</f>
        <v>11036979.210000001</v>
      </c>
      <c r="AV43" s="365"/>
    </row>
    <row r="44" spans="1:48" s="368" customFormat="1" ht="98.1" customHeight="1" x14ac:dyDescent="0.35">
      <c r="A44" s="366" t="s">
        <v>29</v>
      </c>
      <c r="B44" s="591" t="s">
        <v>169</v>
      </c>
      <c r="C44" s="591" t="s">
        <v>169</v>
      </c>
      <c r="D44" s="591" t="s">
        <v>167</v>
      </c>
      <c r="E44" s="591" t="s">
        <v>208</v>
      </c>
      <c r="F44" s="591"/>
      <c r="G44" s="591"/>
      <c r="H44" s="592"/>
      <c r="I44" s="592"/>
      <c r="J44" s="593" t="s">
        <v>209</v>
      </c>
      <c r="K44" s="594"/>
      <c r="L44" s="594"/>
      <c r="M44" s="594"/>
      <c r="N44" s="595">
        <f t="shared" ref="N44:AM44" si="27">SUM(N45)</f>
        <v>32000000</v>
      </c>
      <c r="O44" s="596">
        <f t="shared" si="27"/>
        <v>32000000</v>
      </c>
      <c r="P44" s="596">
        <f t="shared" si="27"/>
        <v>18000000</v>
      </c>
      <c r="Q44" s="596">
        <f t="shared" si="27"/>
        <v>14909181.279999999</v>
      </c>
      <c r="R44" s="596">
        <f t="shared" si="27"/>
        <v>35090818.719999999</v>
      </c>
      <c r="S44" s="629">
        <f t="shared" si="27"/>
        <v>0</v>
      </c>
      <c r="T44" s="629">
        <f t="shared" si="27"/>
        <v>0</v>
      </c>
      <c r="U44" s="629">
        <f t="shared" si="27"/>
        <v>0</v>
      </c>
      <c r="V44" s="629">
        <f t="shared" si="27"/>
        <v>0</v>
      </c>
      <c r="W44" s="596">
        <f t="shared" si="27"/>
        <v>0</v>
      </c>
      <c r="X44" s="596">
        <f t="shared" si="27"/>
        <v>0</v>
      </c>
      <c r="Y44" s="596">
        <f t="shared" si="27"/>
        <v>0</v>
      </c>
      <c r="Z44" s="596">
        <f t="shared" si="27"/>
        <v>0</v>
      </c>
      <c r="AA44" s="596">
        <f t="shared" si="27"/>
        <v>35090818.719999999</v>
      </c>
      <c r="AB44" s="625">
        <f t="shared" si="27"/>
        <v>40916518.719999999</v>
      </c>
      <c r="AC44" s="625">
        <f t="shared" si="27"/>
        <v>32045700.719999999</v>
      </c>
      <c r="AD44" s="596">
        <f t="shared" si="27"/>
        <v>8870818</v>
      </c>
      <c r="AE44" s="596">
        <f t="shared" si="27"/>
        <v>3045118</v>
      </c>
      <c r="AF44" s="596">
        <f t="shared" si="27"/>
        <v>0</v>
      </c>
      <c r="AG44" s="596">
        <f t="shared" si="27"/>
        <v>3045118</v>
      </c>
      <c r="AH44" s="596">
        <f t="shared" si="27"/>
        <v>32045700.719999999</v>
      </c>
      <c r="AI44" s="596">
        <f t="shared" si="27"/>
        <v>0.91322180242365114</v>
      </c>
      <c r="AJ44" s="596">
        <f t="shared" si="27"/>
        <v>0</v>
      </c>
      <c r="AK44" s="596">
        <f t="shared" si="27"/>
        <v>0</v>
      </c>
      <c r="AL44" s="596" t="e">
        <f t="shared" si="27"/>
        <v>#REF!</v>
      </c>
      <c r="AM44" s="596">
        <f t="shared" si="27"/>
        <v>0.91322180242365114</v>
      </c>
      <c r="AN44" s="597"/>
      <c r="AO44" s="598"/>
      <c r="AP44" s="599"/>
      <c r="AQ44" s="872">
        <f>SUM(AQ45)</f>
        <v>0</v>
      </c>
      <c r="AR44" s="872">
        <f>SUM(AR45)</f>
        <v>3045118</v>
      </c>
      <c r="AS44" s="116"/>
      <c r="AV44" s="369"/>
    </row>
    <row r="45" spans="1:48" s="391" customFormat="1" ht="132.94999999999999" customHeight="1" x14ac:dyDescent="0.35">
      <c r="A45" s="343" t="s">
        <v>29</v>
      </c>
      <c r="B45" s="541" t="s">
        <v>169</v>
      </c>
      <c r="C45" s="541" t="s">
        <v>169</v>
      </c>
      <c r="D45" s="541" t="s">
        <v>167</v>
      </c>
      <c r="E45" s="541" t="s">
        <v>208</v>
      </c>
      <c r="F45" s="541" t="s">
        <v>179</v>
      </c>
      <c r="G45" s="541"/>
      <c r="H45" s="542"/>
      <c r="I45" s="542"/>
      <c r="J45" s="543" t="s">
        <v>210</v>
      </c>
      <c r="K45" s="544"/>
      <c r="L45" s="544"/>
      <c r="M45" s="544"/>
      <c r="N45" s="545">
        <v>32000000</v>
      </c>
      <c r="O45" s="545">
        <v>32000000</v>
      </c>
      <c r="P45" s="545">
        <v>18000000</v>
      </c>
      <c r="Q45" s="916">
        <v>14909181.279999999</v>
      </c>
      <c r="R45" s="586">
        <f>SUM(O45+P45-Q45)</f>
        <v>35090818.719999999</v>
      </c>
      <c r="S45" s="370"/>
      <c r="T45" s="370"/>
      <c r="U45" s="370"/>
      <c r="V45" s="370">
        <f>SUM(T45-U45)</f>
        <v>0</v>
      </c>
      <c r="W45" s="547"/>
      <c r="X45" s="547"/>
      <c r="Y45" s="548">
        <f>SUM(V45)</f>
        <v>0</v>
      </c>
      <c r="Z45" s="559"/>
      <c r="AA45" s="547">
        <f>SUM(R45-S45-U45-W45-X45-Y45-Z45)</f>
        <v>35090818.719999999</v>
      </c>
      <c r="AB45" s="274">
        <v>40916518.719999999</v>
      </c>
      <c r="AC45" s="274">
        <v>32045700.719999999</v>
      </c>
      <c r="AD45" s="547">
        <f>SUM(AB45-AC45)</f>
        <v>8870818</v>
      </c>
      <c r="AE45" s="548">
        <f>SUM(AA45-AC45)</f>
        <v>3045118</v>
      </c>
      <c r="AF45" s="548"/>
      <c r="AG45" s="548">
        <f>SUM(AE45-AF45)</f>
        <v>3045118</v>
      </c>
      <c r="AH45" s="548">
        <f>SUM(S45+U45+W45+Z45+X45+AC45)</f>
        <v>32045700.719999999</v>
      </c>
      <c r="AI45" s="887">
        <f>AC45/(AC45+AF45+AG45)</f>
        <v>0.91322180242365114</v>
      </c>
      <c r="AJ45" s="548"/>
      <c r="AK45" s="549"/>
      <c r="AL45" s="550" t="e">
        <f>SUM(AE45-AF45-#REF!-#REF!)</f>
        <v>#REF!</v>
      </c>
      <c r="AM45" s="551">
        <f>SUM(R45-(AE45+Y45))/R45</f>
        <v>0.91322180242365114</v>
      </c>
      <c r="AN45" s="552"/>
      <c r="AO45" s="558"/>
      <c r="AP45" s="560"/>
      <c r="AQ45" s="894"/>
      <c r="AR45" s="971">
        <v>3045118</v>
      </c>
      <c r="AS45" s="390"/>
      <c r="AV45" s="392"/>
    </row>
    <row r="46" spans="1:48" s="368" customFormat="1" ht="142.5" customHeight="1" x14ac:dyDescent="0.2">
      <c r="A46" s="366"/>
      <c r="B46" s="591" t="s">
        <v>169</v>
      </c>
      <c r="C46" s="591" t="s">
        <v>169</v>
      </c>
      <c r="D46" s="591" t="s">
        <v>167</v>
      </c>
      <c r="E46" s="591" t="s">
        <v>177</v>
      </c>
      <c r="F46" s="591"/>
      <c r="G46" s="591"/>
      <c r="H46" s="592"/>
      <c r="I46" s="592"/>
      <c r="J46" s="593" t="s">
        <v>211</v>
      </c>
      <c r="K46" s="594"/>
      <c r="L46" s="594"/>
      <c r="M46" s="594"/>
      <c r="N46" s="596">
        <f>SUM(N47+N50+N52+N54+N57+N59)</f>
        <v>142744060</v>
      </c>
      <c r="O46" s="596">
        <f>SUM(O47+O50+O52+O54+O57+O59)</f>
        <v>142744060</v>
      </c>
      <c r="P46" s="596">
        <f t="shared" ref="P46:AR46" si="28">SUM(P47+P50+P52+P54+P57+P59)</f>
        <v>29755940</v>
      </c>
      <c r="Q46" s="596">
        <f t="shared" si="28"/>
        <v>91331818.060000002</v>
      </c>
      <c r="R46" s="596">
        <f t="shared" si="28"/>
        <v>81168181.939999998</v>
      </c>
      <c r="S46" s="629">
        <f t="shared" si="28"/>
        <v>1200000</v>
      </c>
      <c r="T46" s="629">
        <f t="shared" si="28"/>
        <v>2639313.79</v>
      </c>
      <c r="U46" s="629">
        <f t="shared" si="28"/>
        <v>2639313.79</v>
      </c>
      <c r="V46" s="629">
        <f t="shared" si="28"/>
        <v>0</v>
      </c>
      <c r="W46" s="596">
        <f t="shared" si="28"/>
        <v>0</v>
      </c>
      <c r="X46" s="596">
        <f t="shared" si="28"/>
        <v>7687093</v>
      </c>
      <c r="Y46" s="596">
        <f t="shared" si="28"/>
        <v>0</v>
      </c>
      <c r="Z46" s="596">
        <f t="shared" si="28"/>
        <v>0</v>
      </c>
      <c r="AA46" s="596">
        <f t="shared" si="28"/>
        <v>69641775.149999991</v>
      </c>
      <c r="AB46" s="596">
        <f t="shared" si="28"/>
        <v>73200000</v>
      </c>
      <c r="AC46" s="596">
        <f t="shared" si="28"/>
        <v>50662531.939999998</v>
      </c>
      <c r="AD46" s="596">
        <f t="shared" si="28"/>
        <v>22537468.059999999</v>
      </c>
      <c r="AE46" s="596">
        <f t="shared" si="28"/>
        <v>18979243.209999997</v>
      </c>
      <c r="AF46" s="596">
        <f t="shared" si="28"/>
        <v>11000000</v>
      </c>
      <c r="AG46" s="596">
        <f t="shared" si="28"/>
        <v>7979243.2099999962</v>
      </c>
      <c r="AH46" s="596">
        <f t="shared" si="28"/>
        <v>62188938.729999997</v>
      </c>
      <c r="AI46" s="596" t="e">
        <f t="shared" si="28"/>
        <v>#DIV/0!</v>
      </c>
      <c r="AJ46" s="596">
        <f t="shared" si="28"/>
        <v>0</v>
      </c>
      <c r="AK46" s="596">
        <f t="shared" si="28"/>
        <v>0</v>
      </c>
      <c r="AL46" s="596" t="e">
        <f t="shared" si="28"/>
        <v>#REF!</v>
      </c>
      <c r="AM46" s="596" t="e">
        <f t="shared" si="28"/>
        <v>#DIV/0!</v>
      </c>
      <c r="AN46" s="596">
        <f t="shared" si="28"/>
        <v>0</v>
      </c>
      <c r="AO46" s="596">
        <f t="shared" si="28"/>
        <v>0</v>
      </c>
      <c r="AP46" s="596">
        <f t="shared" si="28"/>
        <v>0</v>
      </c>
      <c r="AQ46" s="596">
        <f t="shared" si="28"/>
        <v>0</v>
      </c>
      <c r="AR46" s="596">
        <f t="shared" si="28"/>
        <v>7979243.21</v>
      </c>
      <c r="AS46" s="846">
        <f>AR46-AQ46</f>
        <v>7979243.21</v>
      </c>
      <c r="AV46" s="369"/>
    </row>
    <row r="47" spans="1:48" s="368" customFormat="1" ht="142.5" customHeight="1" x14ac:dyDescent="0.35">
      <c r="A47" s="555"/>
      <c r="B47" s="541" t="s">
        <v>169</v>
      </c>
      <c r="C47" s="541" t="s">
        <v>169</v>
      </c>
      <c r="D47" s="541" t="s">
        <v>167</v>
      </c>
      <c r="E47" s="541" t="s">
        <v>177</v>
      </c>
      <c r="F47" s="541" t="s">
        <v>208</v>
      </c>
      <c r="G47" s="541"/>
      <c r="H47" s="542"/>
      <c r="I47" s="542"/>
      <c r="J47" s="543" t="s">
        <v>321</v>
      </c>
      <c r="K47" s="544"/>
      <c r="L47" s="544"/>
      <c r="M47" s="544"/>
      <c r="N47" s="587">
        <f>SUM(N48:N49)</f>
        <v>20000000</v>
      </c>
      <c r="O47" s="587">
        <f t="shared" ref="O47:AH47" si="29">SUM(O48:O49)</f>
        <v>20000000</v>
      </c>
      <c r="P47" s="587">
        <f t="shared" si="29"/>
        <v>3500000</v>
      </c>
      <c r="Q47" s="587">
        <f t="shared" si="29"/>
        <v>15500000</v>
      </c>
      <c r="R47" s="587">
        <f t="shared" si="29"/>
        <v>8000000</v>
      </c>
      <c r="S47" s="630">
        <f t="shared" si="29"/>
        <v>1000000</v>
      </c>
      <c r="T47" s="630">
        <f t="shared" si="29"/>
        <v>1944280.78</v>
      </c>
      <c r="U47" s="630">
        <f t="shared" si="29"/>
        <v>1944280.78</v>
      </c>
      <c r="V47" s="630">
        <f t="shared" si="29"/>
        <v>0</v>
      </c>
      <c r="W47" s="587">
        <f t="shared" si="29"/>
        <v>0</v>
      </c>
      <c r="X47" s="587">
        <f t="shared" si="29"/>
        <v>0</v>
      </c>
      <c r="Y47" s="587">
        <f t="shared" si="29"/>
        <v>0</v>
      </c>
      <c r="Z47" s="587">
        <f t="shared" si="29"/>
        <v>0</v>
      </c>
      <c r="AA47" s="587">
        <f t="shared" si="29"/>
        <v>5055719.22</v>
      </c>
      <c r="AB47" s="587">
        <f t="shared" si="29"/>
        <v>4000000</v>
      </c>
      <c r="AC47" s="587">
        <f t="shared" si="29"/>
        <v>3999011</v>
      </c>
      <c r="AD47" s="587">
        <f t="shared" si="29"/>
        <v>989</v>
      </c>
      <c r="AE47" s="587">
        <f t="shared" si="29"/>
        <v>1056708.22</v>
      </c>
      <c r="AF47" s="587">
        <f t="shared" si="29"/>
        <v>0</v>
      </c>
      <c r="AG47" s="587">
        <f t="shared" si="29"/>
        <v>1056708.22</v>
      </c>
      <c r="AH47" s="587">
        <f t="shared" si="29"/>
        <v>6943291.7800000003</v>
      </c>
      <c r="AI47" s="556"/>
      <c r="AJ47" s="556"/>
      <c r="AK47" s="556"/>
      <c r="AL47" s="557"/>
      <c r="AM47" s="556"/>
      <c r="AN47" s="552"/>
      <c r="AO47" s="587">
        <f>SUM(AO48:AO49)</f>
        <v>0</v>
      </c>
      <c r="AP47" s="587">
        <f>SUM(AP48:AP49)</f>
        <v>0</v>
      </c>
      <c r="AQ47" s="587">
        <f>SUM(AQ48:AQ49)</f>
        <v>0</v>
      </c>
      <c r="AR47" s="587">
        <f>SUM(AR48:AR49)</f>
        <v>1056708.22</v>
      </c>
      <c r="AS47" s="116"/>
      <c r="AV47" s="369"/>
    </row>
    <row r="48" spans="1:48" s="391" customFormat="1" ht="173.1" customHeight="1" x14ac:dyDescent="0.35">
      <c r="A48" s="343" t="s">
        <v>29</v>
      </c>
      <c r="B48" s="838" t="s">
        <v>169</v>
      </c>
      <c r="C48" s="838" t="s">
        <v>169</v>
      </c>
      <c r="D48" s="838" t="s">
        <v>167</v>
      </c>
      <c r="E48" s="838" t="s">
        <v>177</v>
      </c>
      <c r="F48" s="507" t="s">
        <v>208</v>
      </c>
      <c r="G48" s="838" t="s">
        <v>167</v>
      </c>
      <c r="H48" s="344"/>
      <c r="I48" s="344"/>
      <c r="J48" s="110" t="s">
        <v>212</v>
      </c>
      <c r="K48" s="118"/>
      <c r="L48" s="118"/>
      <c r="M48" s="118"/>
      <c r="N48" s="76">
        <v>15000000</v>
      </c>
      <c r="O48" s="76">
        <v>15000000</v>
      </c>
      <c r="P48" s="76">
        <v>1500000</v>
      </c>
      <c r="Q48" s="916">
        <f>2000000+10500000</f>
        <v>12500000</v>
      </c>
      <c r="R48" s="76">
        <f>SUM(O48+P48-Q48)</f>
        <v>4000000</v>
      </c>
      <c r="S48" s="370">
        <v>1000000</v>
      </c>
      <c r="T48" s="370">
        <v>1944280.78</v>
      </c>
      <c r="U48" s="371">
        <f>709073+86900+595327.98+53700+448879.8+50400</f>
        <v>1944280.78</v>
      </c>
      <c r="V48" s="370">
        <f>SUM(T48-U48)</f>
        <v>0</v>
      </c>
      <c r="W48" s="345"/>
      <c r="X48" s="345"/>
      <c r="Y48" s="372">
        <f t="shared" ref="Y48:Y60" si="30">SUM(V48)</f>
        <v>0</v>
      </c>
      <c r="Z48" s="114"/>
      <c r="AA48" s="345">
        <f t="shared" ref="AA48:AA60" si="31">SUM(R48-S48-U48-W48-X48-Y48-Z48)</f>
        <v>1055719.22</v>
      </c>
      <c r="AB48" s="274"/>
      <c r="AC48" s="274"/>
      <c r="AD48" s="345">
        <f>SUM(AB48-AC48)</f>
        <v>0</v>
      </c>
      <c r="AE48" s="257">
        <f>SUM(AA48-AC48)</f>
        <v>1055719.22</v>
      </c>
      <c r="AF48" s="257"/>
      <c r="AG48" s="257">
        <f>SUM(AE48-AF48)</f>
        <v>1055719.22</v>
      </c>
      <c r="AH48" s="373">
        <f t="shared" ref="AH48:AH60" si="32">SUM(S48+U48+W48+Z48+X48+AC48)</f>
        <v>2944280.7800000003</v>
      </c>
      <c r="AI48" s="879">
        <f>AC48/(AC48+AF48+AG48)</f>
        <v>0</v>
      </c>
      <c r="AJ48" s="346"/>
      <c r="AK48" s="347"/>
      <c r="AL48" s="348" t="e">
        <f>SUM(AE48-AF48-#REF!-#REF!)</f>
        <v>#REF!</v>
      </c>
      <c r="AM48" s="349">
        <f>SUM(R48-(AE48+Y48))/R48</f>
        <v>0.73607019500000004</v>
      </c>
      <c r="AN48" s="117"/>
      <c r="AO48" s="374"/>
      <c r="AP48" s="351"/>
      <c r="AQ48" s="886"/>
      <c r="AR48" s="895">
        <v>1055719.22</v>
      </c>
      <c r="AS48" s="393"/>
      <c r="AV48" s="392"/>
    </row>
    <row r="49" spans="1:48" s="391" customFormat="1" ht="248.45" customHeight="1" x14ac:dyDescent="0.35">
      <c r="A49" s="343"/>
      <c r="B49" s="838" t="s">
        <v>169</v>
      </c>
      <c r="C49" s="838" t="s">
        <v>169</v>
      </c>
      <c r="D49" s="838" t="s">
        <v>167</v>
      </c>
      <c r="E49" s="838" t="s">
        <v>177</v>
      </c>
      <c r="F49" s="507" t="s">
        <v>208</v>
      </c>
      <c r="G49" s="838" t="s">
        <v>242</v>
      </c>
      <c r="H49" s="344"/>
      <c r="I49" s="344"/>
      <c r="J49" s="110" t="s">
        <v>338</v>
      </c>
      <c r="K49" s="118"/>
      <c r="L49" s="118"/>
      <c r="M49" s="118"/>
      <c r="N49" s="76">
        <v>5000000</v>
      </c>
      <c r="O49" s="76">
        <v>5000000</v>
      </c>
      <c r="P49" s="888">
        <v>2000000</v>
      </c>
      <c r="Q49" s="76">
        <v>3000000</v>
      </c>
      <c r="R49" s="76">
        <f t="shared" ref="R49:R60" si="33">SUM(O49+P49-Q49)</f>
        <v>4000000</v>
      </c>
      <c r="S49" s="370"/>
      <c r="T49" s="370"/>
      <c r="U49" s="370"/>
      <c r="V49" s="370"/>
      <c r="W49" s="345"/>
      <c r="X49" s="345"/>
      <c r="Y49" s="372">
        <f t="shared" si="30"/>
        <v>0</v>
      </c>
      <c r="Z49" s="114"/>
      <c r="AA49" s="345">
        <f t="shared" si="31"/>
        <v>4000000</v>
      </c>
      <c r="AB49" s="274">
        <v>4000000</v>
      </c>
      <c r="AC49" s="274">
        <v>3999011</v>
      </c>
      <c r="AD49" s="345">
        <f>SUM(AB49-AC49)</f>
        <v>989</v>
      </c>
      <c r="AE49" s="257">
        <f>SUM(AA49-AC49)</f>
        <v>989</v>
      </c>
      <c r="AF49" s="257"/>
      <c r="AG49" s="257">
        <f>SUM(AE49-AF49)</f>
        <v>989</v>
      </c>
      <c r="AH49" s="373">
        <f t="shared" si="32"/>
        <v>3999011</v>
      </c>
      <c r="AI49" s="879">
        <f>AC49/(AC49+AF49+AG49)</f>
        <v>0.99975274999999997</v>
      </c>
      <c r="AJ49" s="346"/>
      <c r="AK49" s="347"/>
      <c r="AL49" s="348"/>
      <c r="AM49" s="349">
        <f>SUM(R49-(AE49+Y49))/R49</f>
        <v>0.99975274999999997</v>
      </c>
      <c r="AN49" s="117"/>
      <c r="AO49" s="374"/>
      <c r="AP49" s="402"/>
      <c r="AQ49" s="886"/>
      <c r="AR49" s="895">
        <v>989</v>
      </c>
      <c r="AS49" s="390"/>
      <c r="AV49" s="392"/>
    </row>
    <row r="50" spans="1:48" s="391" customFormat="1" ht="88.5" customHeight="1" x14ac:dyDescent="0.35">
      <c r="A50" s="343" t="s">
        <v>29</v>
      </c>
      <c r="B50" s="541" t="s">
        <v>169</v>
      </c>
      <c r="C50" s="541" t="s">
        <v>169</v>
      </c>
      <c r="D50" s="541" t="s">
        <v>167</v>
      </c>
      <c r="E50" s="541" t="s">
        <v>177</v>
      </c>
      <c r="F50" s="541" t="s">
        <v>177</v>
      </c>
      <c r="G50" s="541"/>
      <c r="H50" s="542"/>
      <c r="I50" s="542"/>
      <c r="J50" s="543" t="s">
        <v>213</v>
      </c>
      <c r="K50" s="544"/>
      <c r="L50" s="544"/>
      <c r="M50" s="544"/>
      <c r="N50" s="545">
        <f>SUM(N51)</f>
        <v>65000000</v>
      </c>
      <c r="O50" s="545">
        <f t="shared" ref="O50:AH50" si="34">SUM(O51)</f>
        <v>65000000</v>
      </c>
      <c r="P50" s="545">
        <f t="shared" si="34"/>
        <v>10200000</v>
      </c>
      <c r="Q50" s="545">
        <f t="shared" si="34"/>
        <v>40194718.060000002</v>
      </c>
      <c r="R50" s="545">
        <f t="shared" si="34"/>
        <v>35005281.939999998</v>
      </c>
      <c r="S50" s="545">
        <f t="shared" si="34"/>
        <v>0</v>
      </c>
      <c r="T50" s="545">
        <f t="shared" si="34"/>
        <v>0</v>
      </c>
      <c r="U50" s="545">
        <f t="shared" si="34"/>
        <v>0</v>
      </c>
      <c r="V50" s="545">
        <f t="shared" si="34"/>
        <v>0</v>
      </c>
      <c r="W50" s="545">
        <f t="shared" si="34"/>
        <v>0</v>
      </c>
      <c r="X50" s="545">
        <f t="shared" si="34"/>
        <v>7687093</v>
      </c>
      <c r="Y50" s="545">
        <f t="shared" si="34"/>
        <v>0</v>
      </c>
      <c r="Z50" s="545">
        <f t="shared" si="34"/>
        <v>0</v>
      </c>
      <c r="AA50" s="545">
        <f t="shared" si="34"/>
        <v>27318188.939999998</v>
      </c>
      <c r="AB50" s="545">
        <f t="shared" si="34"/>
        <v>31200000</v>
      </c>
      <c r="AC50" s="545">
        <f t="shared" si="34"/>
        <v>27318188.940000001</v>
      </c>
      <c r="AD50" s="545">
        <f t="shared" si="34"/>
        <v>3881811.0599999987</v>
      </c>
      <c r="AE50" s="545">
        <f t="shared" si="34"/>
        <v>-3.7252902984619141E-9</v>
      </c>
      <c r="AF50" s="545">
        <f t="shared" si="34"/>
        <v>0</v>
      </c>
      <c r="AG50" s="545">
        <f t="shared" si="34"/>
        <v>-3.7252902984619141E-9</v>
      </c>
      <c r="AH50" s="545">
        <f t="shared" si="34"/>
        <v>35005281.939999998</v>
      </c>
      <c r="AI50" s="589">
        <f>AC50/(AC50+AF50+AG50)</f>
        <v>1.0000000000000002</v>
      </c>
      <c r="AJ50" s="548"/>
      <c r="AK50" s="549"/>
      <c r="AL50" s="550" t="e">
        <f>SUM(AE50-AF50-#REF!-#REF!)</f>
        <v>#REF!</v>
      </c>
      <c r="AM50" s="589">
        <f>SUM(R50-(AE50+Y50))/R50</f>
        <v>1</v>
      </c>
      <c r="AN50" s="552"/>
      <c r="AO50" s="545">
        <f>SUM(AO51)</f>
        <v>0</v>
      </c>
      <c r="AP50" s="545">
        <f>SUM(AP51)</f>
        <v>0</v>
      </c>
      <c r="AQ50" s="545">
        <f>SUM(AQ51)</f>
        <v>0</v>
      </c>
      <c r="AR50" s="545">
        <f>SUM(AR51)</f>
        <v>0</v>
      </c>
      <c r="AS50" s="390"/>
      <c r="AV50" s="392"/>
    </row>
    <row r="51" spans="1:48" s="391" customFormat="1" ht="105" customHeight="1" x14ac:dyDescent="0.35">
      <c r="A51" s="343"/>
      <c r="B51" s="838" t="s">
        <v>169</v>
      </c>
      <c r="C51" s="838" t="s">
        <v>169</v>
      </c>
      <c r="D51" s="838" t="s">
        <v>167</v>
      </c>
      <c r="E51" s="838" t="s">
        <v>177</v>
      </c>
      <c r="F51" s="838" t="s">
        <v>177</v>
      </c>
      <c r="G51" s="838" t="s">
        <v>191</v>
      </c>
      <c r="H51" s="344"/>
      <c r="I51" s="344"/>
      <c r="J51" s="110" t="s">
        <v>214</v>
      </c>
      <c r="K51" s="118"/>
      <c r="L51" s="118"/>
      <c r="M51" s="118"/>
      <c r="N51" s="76">
        <v>65000000</v>
      </c>
      <c r="O51" s="76">
        <v>65000000</v>
      </c>
      <c r="P51" s="76">
        <v>10200000</v>
      </c>
      <c r="Q51" s="916">
        <f>40194718.06</f>
        <v>40194718.060000002</v>
      </c>
      <c r="R51" s="76">
        <f>SUM(O51+P51-Q51)</f>
        <v>35005281.939999998</v>
      </c>
      <c r="S51" s="370"/>
      <c r="T51" s="370"/>
      <c r="U51" s="370"/>
      <c r="V51" s="370"/>
      <c r="W51" s="345"/>
      <c r="X51" s="656">
        <f>25000000-17312907</f>
        <v>7687093</v>
      </c>
      <c r="Y51" s="372">
        <f t="shared" si="30"/>
        <v>0</v>
      </c>
      <c r="Z51" s="682"/>
      <c r="AA51" s="345">
        <f t="shared" si="31"/>
        <v>27318188.939999998</v>
      </c>
      <c r="AB51" s="274">
        <v>31200000</v>
      </c>
      <c r="AC51" s="274">
        <v>27318188.940000001</v>
      </c>
      <c r="AD51" s="345">
        <f>SUM(AB51-AC51)</f>
        <v>3881811.0599999987</v>
      </c>
      <c r="AE51" s="257">
        <f>SUM(AA51-AC51)</f>
        <v>-3.7252902984619141E-9</v>
      </c>
      <c r="AF51" s="257">
        <v>0</v>
      </c>
      <c r="AG51" s="257">
        <f t="shared" ref="AG51:AG60" si="35">SUM(AE51-AF51)</f>
        <v>-3.7252902984619141E-9</v>
      </c>
      <c r="AH51" s="590">
        <f t="shared" si="32"/>
        <v>35005281.939999998</v>
      </c>
      <c r="AI51" s="879">
        <f>AC51/(AC51+AF51+AG51)</f>
        <v>1.0000000000000002</v>
      </c>
      <c r="AJ51" s="346"/>
      <c r="AK51" s="347"/>
      <c r="AL51" s="348"/>
      <c r="AM51" s="349">
        <f>SUM(R51-(AE51+Y51))/R51</f>
        <v>1</v>
      </c>
      <c r="AN51" s="117"/>
      <c r="AO51" s="374"/>
      <c r="AP51" s="402"/>
      <c r="AQ51" s="886"/>
      <c r="AR51" s="880"/>
      <c r="AS51" s="390"/>
      <c r="AV51" s="392"/>
    </row>
    <row r="52" spans="1:48" s="391" customFormat="1" ht="105" customHeight="1" x14ac:dyDescent="0.35">
      <c r="A52" s="343"/>
      <c r="B52" s="541" t="s">
        <v>169</v>
      </c>
      <c r="C52" s="541" t="s">
        <v>169</v>
      </c>
      <c r="D52" s="541" t="s">
        <v>167</v>
      </c>
      <c r="E52" s="541" t="s">
        <v>177</v>
      </c>
      <c r="F52" s="541" t="s">
        <v>198</v>
      </c>
      <c r="G52" s="541"/>
      <c r="H52" s="542"/>
      <c r="I52" s="542"/>
      <c r="J52" s="543" t="s">
        <v>322</v>
      </c>
      <c r="K52" s="544"/>
      <c r="L52" s="544"/>
      <c r="M52" s="544"/>
      <c r="N52" s="545">
        <f>SUM(N53)</f>
        <v>28744060</v>
      </c>
      <c r="O52" s="545">
        <f t="shared" ref="O52:AR52" si="36">SUM(O53)</f>
        <v>28744060</v>
      </c>
      <c r="P52" s="545">
        <f t="shared" si="36"/>
        <v>3255940</v>
      </c>
      <c r="Q52" s="545">
        <f t="shared" si="36"/>
        <v>21000000</v>
      </c>
      <c r="R52" s="545">
        <f t="shared" si="36"/>
        <v>11000000</v>
      </c>
      <c r="S52" s="545">
        <f t="shared" si="36"/>
        <v>0</v>
      </c>
      <c r="T52" s="545">
        <f t="shared" si="36"/>
        <v>0</v>
      </c>
      <c r="U52" s="545">
        <f t="shared" si="36"/>
        <v>0</v>
      </c>
      <c r="V52" s="545">
        <f t="shared" si="36"/>
        <v>0</v>
      </c>
      <c r="W52" s="545">
        <f t="shared" si="36"/>
        <v>0</v>
      </c>
      <c r="X52" s="545">
        <f t="shared" si="36"/>
        <v>0</v>
      </c>
      <c r="Y52" s="545">
        <f t="shared" si="36"/>
        <v>0</v>
      </c>
      <c r="Z52" s="545">
        <f t="shared" si="36"/>
        <v>0</v>
      </c>
      <c r="AA52" s="545">
        <f t="shared" si="36"/>
        <v>11000000</v>
      </c>
      <c r="AB52" s="545">
        <f t="shared" si="36"/>
        <v>11000000</v>
      </c>
      <c r="AC52" s="545">
        <f t="shared" si="36"/>
        <v>0</v>
      </c>
      <c r="AD52" s="545">
        <f t="shared" si="36"/>
        <v>11000000</v>
      </c>
      <c r="AE52" s="545">
        <f t="shared" si="36"/>
        <v>11000000</v>
      </c>
      <c r="AF52" s="545">
        <f t="shared" si="36"/>
        <v>11000000</v>
      </c>
      <c r="AG52" s="545">
        <f t="shared" si="36"/>
        <v>0</v>
      </c>
      <c r="AH52" s="545">
        <f t="shared" si="36"/>
        <v>0</v>
      </c>
      <c r="AI52" s="588">
        <f t="shared" si="36"/>
        <v>0</v>
      </c>
      <c r="AJ52" s="545">
        <f t="shared" si="36"/>
        <v>0</v>
      </c>
      <c r="AK52" s="545">
        <f t="shared" si="36"/>
        <v>0</v>
      </c>
      <c r="AL52" s="545" t="e">
        <f t="shared" si="36"/>
        <v>#REF!</v>
      </c>
      <c r="AM52" s="588">
        <f t="shared" si="36"/>
        <v>0</v>
      </c>
      <c r="AN52" s="545">
        <f t="shared" si="36"/>
        <v>0</v>
      </c>
      <c r="AO52" s="545">
        <f t="shared" si="36"/>
        <v>0</v>
      </c>
      <c r="AP52" s="545">
        <f t="shared" si="36"/>
        <v>0</v>
      </c>
      <c r="AQ52" s="545">
        <f t="shared" si="36"/>
        <v>0</v>
      </c>
      <c r="AR52" s="545">
        <f t="shared" si="36"/>
        <v>0</v>
      </c>
      <c r="AS52" s="390"/>
      <c r="AV52" s="392"/>
    </row>
    <row r="53" spans="1:48" s="391" customFormat="1" ht="123" customHeight="1" x14ac:dyDescent="0.5">
      <c r="A53" s="343" t="s">
        <v>29</v>
      </c>
      <c r="B53" s="838" t="s">
        <v>169</v>
      </c>
      <c r="C53" s="838" t="s">
        <v>169</v>
      </c>
      <c r="D53" s="838" t="s">
        <v>167</v>
      </c>
      <c r="E53" s="838" t="s">
        <v>177</v>
      </c>
      <c r="F53" s="838" t="s">
        <v>198</v>
      </c>
      <c r="G53" s="838" t="s">
        <v>167</v>
      </c>
      <c r="H53" s="344"/>
      <c r="I53" s="344"/>
      <c r="J53" s="110" t="s">
        <v>215</v>
      </c>
      <c r="K53" s="118"/>
      <c r="L53" s="118"/>
      <c r="M53" s="118"/>
      <c r="N53" s="76">
        <v>28744060</v>
      </c>
      <c r="O53" s="76">
        <v>28744060</v>
      </c>
      <c r="P53" s="76">
        <v>3255940</v>
      </c>
      <c r="Q53" s="916">
        <v>21000000</v>
      </c>
      <c r="R53" s="76">
        <f t="shared" si="33"/>
        <v>11000000</v>
      </c>
      <c r="S53" s="370"/>
      <c r="T53" s="370"/>
      <c r="U53" s="370"/>
      <c r="V53" s="370">
        <f t="shared" ref="V53:V60" si="37">SUM(T53-U53)</f>
        <v>0</v>
      </c>
      <c r="W53" s="345"/>
      <c r="X53" s="345"/>
      <c r="Y53" s="372">
        <f t="shared" si="30"/>
        <v>0</v>
      </c>
      <c r="Z53" s="114"/>
      <c r="AA53" s="345">
        <f t="shared" si="31"/>
        <v>11000000</v>
      </c>
      <c r="AB53" s="274">
        <v>11000000</v>
      </c>
      <c r="AC53" s="274"/>
      <c r="AD53" s="345">
        <f t="shared" ref="AD53:AD60" si="38">SUM(AB53-AC53)</f>
        <v>11000000</v>
      </c>
      <c r="AE53" s="257">
        <f t="shared" ref="AE53:AE60" si="39">SUM(AA53-AC53)</f>
        <v>11000000</v>
      </c>
      <c r="AF53" s="257">
        <v>11000000</v>
      </c>
      <c r="AG53" s="257">
        <f t="shared" si="35"/>
        <v>0</v>
      </c>
      <c r="AH53" s="590">
        <f t="shared" si="32"/>
        <v>0</v>
      </c>
      <c r="AI53" s="879">
        <f t="shared" ref="AI53:AI60" si="40">AC53/(AC53+AF53+AG53)</f>
        <v>0</v>
      </c>
      <c r="AJ53" s="346"/>
      <c r="AK53" s="347"/>
      <c r="AL53" s="348" t="e">
        <f>SUM(AE53-AF53-#REF!-#REF!)</f>
        <v>#REF!</v>
      </c>
      <c r="AM53" s="349">
        <f t="shared" ref="AM53:AM60" si="41">SUM(R53-(AE53+Y53))/R53</f>
        <v>0</v>
      </c>
      <c r="AN53" s="117"/>
      <c r="AO53" s="395"/>
      <c r="AP53" s="402"/>
      <c r="AQ53" s="886"/>
      <c r="AR53" s="895"/>
      <c r="AS53" s="390">
        <v>17869578</v>
      </c>
      <c r="AT53" s="924">
        <f>AR53-AS53</f>
        <v>-17869578</v>
      </c>
      <c r="AV53" s="392"/>
    </row>
    <row r="54" spans="1:48" s="391" customFormat="1" ht="60.95" customHeight="1" x14ac:dyDescent="0.35">
      <c r="A54" s="343" t="s">
        <v>29</v>
      </c>
      <c r="B54" s="541" t="s">
        <v>169</v>
      </c>
      <c r="C54" s="541" t="s">
        <v>169</v>
      </c>
      <c r="D54" s="541" t="s">
        <v>167</v>
      </c>
      <c r="E54" s="541" t="s">
        <v>177</v>
      </c>
      <c r="F54" s="541" t="s">
        <v>172</v>
      </c>
      <c r="G54" s="541"/>
      <c r="H54" s="542"/>
      <c r="I54" s="542"/>
      <c r="J54" s="543" t="s">
        <v>216</v>
      </c>
      <c r="K54" s="544"/>
      <c r="L54" s="544"/>
      <c r="M54" s="544"/>
      <c r="N54" s="545">
        <f>SUM(N55:N56)</f>
        <v>3000000</v>
      </c>
      <c r="O54" s="545">
        <f t="shared" ref="O54:AR54" si="42">SUM(O55:O56)</f>
        <v>3000000</v>
      </c>
      <c r="P54" s="545">
        <f t="shared" si="42"/>
        <v>0</v>
      </c>
      <c r="Q54" s="545">
        <f t="shared" si="42"/>
        <v>2000000</v>
      </c>
      <c r="R54" s="545">
        <f t="shared" si="42"/>
        <v>1000000</v>
      </c>
      <c r="S54" s="545">
        <f t="shared" si="42"/>
        <v>0</v>
      </c>
      <c r="T54" s="545">
        <f t="shared" si="42"/>
        <v>0</v>
      </c>
      <c r="U54" s="545">
        <f t="shared" si="42"/>
        <v>0</v>
      </c>
      <c r="V54" s="545">
        <f t="shared" si="42"/>
        <v>0</v>
      </c>
      <c r="W54" s="545">
        <f t="shared" si="42"/>
        <v>0</v>
      </c>
      <c r="X54" s="545">
        <f t="shared" si="42"/>
        <v>0</v>
      </c>
      <c r="Y54" s="545">
        <f t="shared" si="42"/>
        <v>0</v>
      </c>
      <c r="Z54" s="545">
        <f t="shared" si="42"/>
        <v>0</v>
      </c>
      <c r="AA54" s="545">
        <f t="shared" si="42"/>
        <v>1000000</v>
      </c>
      <c r="AB54" s="545">
        <f t="shared" si="42"/>
        <v>1000000</v>
      </c>
      <c r="AC54" s="545">
        <f t="shared" si="42"/>
        <v>882432</v>
      </c>
      <c r="AD54" s="545">
        <f t="shared" si="42"/>
        <v>117568</v>
      </c>
      <c r="AE54" s="545">
        <f t="shared" si="42"/>
        <v>117568</v>
      </c>
      <c r="AF54" s="545">
        <f t="shared" si="42"/>
        <v>0</v>
      </c>
      <c r="AG54" s="545">
        <f t="shared" si="42"/>
        <v>117568</v>
      </c>
      <c r="AH54" s="545">
        <f t="shared" si="42"/>
        <v>882432</v>
      </c>
      <c r="AI54" s="545" t="e">
        <f t="shared" si="42"/>
        <v>#DIV/0!</v>
      </c>
      <c r="AJ54" s="545">
        <f t="shared" si="42"/>
        <v>0</v>
      </c>
      <c r="AK54" s="545">
        <f t="shared" si="42"/>
        <v>0</v>
      </c>
      <c r="AL54" s="545" t="e">
        <f t="shared" si="42"/>
        <v>#REF!</v>
      </c>
      <c r="AM54" s="545" t="e">
        <f t="shared" si="42"/>
        <v>#DIV/0!</v>
      </c>
      <c r="AN54" s="545">
        <f t="shared" si="42"/>
        <v>0</v>
      </c>
      <c r="AO54" s="545">
        <f t="shared" si="42"/>
        <v>0</v>
      </c>
      <c r="AP54" s="545">
        <f t="shared" si="42"/>
        <v>0</v>
      </c>
      <c r="AQ54" s="545">
        <f t="shared" si="42"/>
        <v>0</v>
      </c>
      <c r="AR54" s="545">
        <f t="shared" si="42"/>
        <v>117568</v>
      </c>
      <c r="AS54" s="390"/>
      <c r="AV54" s="392"/>
    </row>
    <row r="55" spans="1:48" s="391" customFormat="1" ht="72.75" customHeight="1" x14ac:dyDescent="0.35">
      <c r="A55" s="343" t="s">
        <v>29</v>
      </c>
      <c r="B55" s="838" t="s">
        <v>169</v>
      </c>
      <c r="C55" s="838" t="s">
        <v>169</v>
      </c>
      <c r="D55" s="838" t="s">
        <v>167</v>
      </c>
      <c r="E55" s="838" t="s">
        <v>177</v>
      </c>
      <c r="F55" s="838" t="s">
        <v>172</v>
      </c>
      <c r="G55" s="838" t="s">
        <v>167</v>
      </c>
      <c r="H55" s="344"/>
      <c r="I55" s="344"/>
      <c r="J55" s="110" t="s">
        <v>217</v>
      </c>
      <c r="K55" s="118"/>
      <c r="L55" s="118"/>
      <c r="M55" s="118"/>
      <c r="N55" s="76">
        <v>2000000</v>
      </c>
      <c r="O55" s="76">
        <v>2000000</v>
      </c>
      <c r="P55" s="76"/>
      <c r="Q55" s="76">
        <v>1000000</v>
      </c>
      <c r="R55" s="76">
        <f t="shared" si="33"/>
        <v>1000000</v>
      </c>
      <c r="S55" s="370"/>
      <c r="T55" s="370"/>
      <c r="U55" s="370"/>
      <c r="V55" s="370">
        <f t="shared" si="37"/>
        <v>0</v>
      </c>
      <c r="W55" s="345"/>
      <c r="X55" s="345"/>
      <c r="Y55" s="372">
        <f t="shared" si="30"/>
        <v>0</v>
      </c>
      <c r="Z55" s="114"/>
      <c r="AA55" s="345">
        <f t="shared" si="31"/>
        <v>1000000</v>
      </c>
      <c r="AB55" s="274">
        <v>1000000</v>
      </c>
      <c r="AC55" s="274">
        <v>882432</v>
      </c>
      <c r="AD55" s="345">
        <f t="shared" si="38"/>
        <v>117568</v>
      </c>
      <c r="AE55" s="257">
        <f t="shared" si="39"/>
        <v>117568</v>
      </c>
      <c r="AF55" s="257"/>
      <c r="AG55" s="257">
        <f t="shared" si="35"/>
        <v>117568</v>
      </c>
      <c r="AH55" s="590">
        <f t="shared" si="32"/>
        <v>882432</v>
      </c>
      <c r="AI55" s="879">
        <f t="shared" si="40"/>
        <v>0.88243199999999999</v>
      </c>
      <c r="AJ55" s="346"/>
      <c r="AK55" s="347"/>
      <c r="AL55" s="348" t="e">
        <f>SUM(AE55-AF55-#REF!-#REF!)</f>
        <v>#REF!</v>
      </c>
      <c r="AM55" s="349">
        <f t="shared" si="41"/>
        <v>0.88243199999999999</v>
      </c>
      <c r="AN55" s="117"/>
      <c r="AO55" s="374"/>
      <c r="AP55" s="351"/>
      <c r="AQ55" s="886"/>
      <c r="AR55" s="880">
        <v>117568</v>
      </c>
      <c r="AS55" s="390"/>
      <c r="AV55" s="392"/>
    </row>
    <row r="56" spans="1:48" s="391" customFormat="1" ht="59.45" customHeight="1" x14ac:dyDescent="0.35">
      <c r="A56" s="343"/>
      <c r="B56" s="838" t="s">
        <v>169</v>
      </c>
      <c r="C56" s="838" t="s">
        <v>169</v>
      </c>
      <c r="D56" s="838" t="s">
        <v>167</v>
      </c>
      <c r="E56" s="838" t="s">
        <v>177</v>
      </c>
      <c r="F56" s="838" t="s">
        <v>172</v>
      </c>
      <c r="G56" s="838" t="s">
        <v>169</v>
      </c>
      <c r="H56" s="344"/>
      <c r="I56" s="344"/>
      <c r="J56" s="110" t="s">
        <v>218</v>
      </c>
      <c r="K56" s="118"/>
      <c r="L56" s="118"/>
      <c r="M56" s="118"/>
      <c r="N56" s="76">
        <v>1000000</v>
      </c>
      <c r="O56" s="76">
        <v>1000000</v>
      </c>
      <c r="P56" s="76"/>
      <c r="Q56" s="76">
        <v>1000000</v>
      </c>
      <c r="R56" s="76">
        <f t="shared" si="33"/>
        <v>0</v>
      </c>
      <c r="S56" s="370"/>
      <c r="T56" s="370"/>
      <c r="U56" s="370"/>
      <c r="V56" s="370">
        <f t="shared" si="37"/>
        <v>0</v>
      </c>
      <c r="W56" s="345"/>
      <c r="X56" s="345"/>
      <c r="Y56" s="372">
        <f t="shared" si="30"/>
        <v>0</v>
      </c>
      <c r="Z56" s="114"/>
      <c r="AA56" s="345">
        <f t="shared" si="31"/>
        <v>0</v>
      </c>
      <c r="AB56" s="274"/>
      <c r="AC56" s="274">
        <v>0</v>
      </c>
      <c r="AD56" s="345">
        <f t="shared" si="38"/>
        <v>0</v>
      </c>
      <c r="AE56" s="257">
        <f t="shared" si="39"/>
        <v>0</v>
      </c>
      <c r="AF56" s="257"/>
      <c r="AG56" s="257">
        <f t="shared" si="35"/>
        <v>0</v>
      </c>
      <c r="AH56" s="590">
        <f t="shared" si="32"/>
        <v>0</v>
      </c>
      <c r="AI56" s="879" t="e">
        <f t="shared" si="40"/>
        <v>#DIV/0!</v>
      </c>
      <c r="AJ56" s="346"/>
      <c r="AK56" s="347"/>
      <c r="AL56" s="348" t="e">
        <f>SUM(AE56-AF56-#REF!-#REF!)</f>
        <v>#REF!</v>
      </c>
      <c r="AM56" s="349" t="e">
        <f t="shared" si="41"/>
        <v>#DIV/0!</v>
      </c>
      <c r="AN56" s="117"/>
      <c r="AO56" s="374"/>
      <c r="AP56" s="351"/>
      <c r="AQ56" s="886"/>
      <c r="AR56" s="880"/>
      <c r="AS56" s="390"/>
      <c r="AV56" s="392"/>
    </row>
    <row r="57" spans="1:48" s="391" customFormat="1" ht="67.5" customHeight="1" x14ac:dyDescent="0.35">
      <c r="A57" s="343" t="s">
        <v>29</v>
      </c>
      <c r="B57" s="541" t="s">
        <v>169</v>
      </c>
      <c r="C57" s="541" t="s">
        <v>169</v>
      </c>
      <c r="D57" s="541" t="s">
        <v>167</v>
      </c>
      <c r="E57" s="541" t="s">
        <v>177</v>
      </c>
      <c r="F57" s="541" t="s">
        <v>203</v>
      </c>
      <c r="G57" s="541"/>
      <c r="H57" s="542"/>
      <c r="I57" s="542"/>
      <c r="J57" s="543" t="s">
        <v>219</v>
      </c>
      <c r="K57" s="544"/>
      <c r="L57" s="544"/>
      <c r="M57" s="544"/>
      <c r="N57" s="545">
        <f>SUM(N58)</f>
        <v>19000000</v>
      </c>
      <c r="O57" s="545">
        <f t="shared" ref="O57:AR57" si="43">SUM(O58)</f>
        <v>19000000</v>
      </c>
      <c r="P57" s="545">
        <f t="shared" si="43"/>
        <v>0</v>
      </c>
      <c r="Q57" s="545">
        <f t="shared" si="43"/>
        <v>4000000</v>
      </c>
      <c r="R57" s="545">
        <f t="shared" si="43"/>
        <v>15000000</v>
      </c>
      <c r="S57" s="545">
        <f t="shared" si="43"/>
        <v>0</v>
      </c>
      <c r="T57" s="545">
        <f t="shared" si="43"/>
        <v>0</v>
      </c>
      <c r="U57" s="545">
        <f t="shared" si="43"/>
        <v>0</v>
      </c>
      <c r="V57" s="545">
        <f t="shared" si="43"/>
        <v>0</v>
      </c>
      <c r="W57" s="545">
        <f t="shared" si="43"/>
        <v>0</v>
      </c>
      <c r="X57" s="545">
        <f t="shared" si="43"/>
        <v>0</v>
      </c>
      <c r="Y57" s="545">
        <f t="shared" si="43"/>
        <v>0</v>
      </c>
      <c r="Z57" s="545">
        <f t="shared" si="43"/>
        <v>0</v>
      </c>
      <c r="AA57" s="545">
        <f t="shared" si="43"/>
        <v>15000000</v>
      </c>
      <c r="AB57" s="545">
        <f>SUM(AB58)</f>
        <v>15000000</v>
      </c>
      <c r="AC57" s="545">
        <f t="shared" si="43"/>
        <v>15000000</v>
      </c>
      <c r="AD57" s="545">
        <f t="shared" si="43"/>
        <v>0</v>
      </c>
      <c r="AE57" s="545">
        <f t="shared" si="43"/>
        <v>0</v>
      </c>
      <c r="AF57" s="545">
        <f t="shared" si="43"/>
        <v>0</v>
      </c>
      <c r="AG57" s="545">
        <f t="shared" si="43"/>
        <v>0</v>
      </c>
      <c r="AH57" s="545">
        <f t="shared" si="43"/>
        <v>15000000</v>
      </c>
      <c r="AI57" s="545">
        <f t="shared" si="43"/>
        <v>1</v>
      </c>
      <c r="AJ57" s="545">
        <f t="shared" si="43"/>
        <v>0</v>
      </c>
      <c r="AK57" s="545">
        <f t="shared" si="43"/>
        <v>0</v>
      </c>
      <c r="AL57" s="545" t="e">
        <f t="shared" si="43"/>
        <v>#REF!</v>
      </c>
      <c r="AM57" s="545">
        <f t="shared" si="43"/>
        <v>1</v>
      </c>
      <c r="AN57" s="545">
        <f t="shared" si="43"/>
        <v>0</v>
      </c>
      <c r="AO57" s="545">
        <f t="shared" si="43"/>
        <v>0</v>
      </c>
      <c r="AP57" s="545">
        <f t="shared" si="43"/>
        <v>0</v>
      </c>
      <c r="AQ57" s="545">
        <f t="shared" si="43"/>
        <v>0</v>
      </c>
      <c r="AR57" s="545">
        <f t="shared" si="43"/>
        <v>0</v>
      </c>
      <c r="AS57" s="390"/>
      <c r="AV57" s="392"/>
    </row>
    <row r="58" spans="1:48" s="391" customFormat="1" ht="77.45" customHeight="1" x14ac:dyDescent="0.35">
      <c r="A58" s="343" t="s">
        <v>29</v>
      </c>
      <c r="B58" s="838" t="s">
        <v>169</v>
      </c>
      <c r="C58" s="838" t="s">
        <v>169</v>
      </c>
      <c r="D58" s="838" t="s">
        <v>167</v>
      </c>
      <c r="E58" s="838" t="s">
        <v>177</v>
      </c>
      <c r="F58" s="507" t="s">
        <v>203</v>
      </c>
      <c r="G58" s="838"/>
      <c r="H58" s="344"/>
      <c r="I58" s="344"/>
      <c r="J58" s="110" t="s">
        <v>219</v>
      </c>
      <c r="K58" s="118"/>
      <c r="L58" s="118"/>
      <c r="M58" s="118"/>
      <c r="N58" s="76">
        <v>19000000</v>
      </c>
      <c r="O58" s="76">
        <v>19000000</v>
      </c>
      <c r="P58" s="76"/>
      <c r="Q58" s="76">
        <v>4000000</v>
      </c>
      <c r="R58" s="76">
        <f t="shared" si="33"/>
        <v>15000000</v>
      </c>
      <c r="S58" s="370"/>
      <c r="T58" s="370"/>
      <c r="U58" s="370"/>
      <c r="V58" s="370">
        <f t="shared" si="37"/>
        <v>0</v>
      </c>
      <c r="W58" s="345"/>
      <c r="X58" s="345"/>
      <c r="Y58" s="372">
        <f t="shared" si="30"/>
        <v>0</v>
      </c>
      <c r="Z58" s="114"/>
      <c r="AA58" s="345">
        <f t="shared" si="31"/>
        <v>15000000</v>
      </c>
      <c r="AB58" s="274">
        <v>15000000</v>
      </c>
      <c r="AC58" s="274">
        <v>15000000</v>
      </c>
      <c r="AD58" s="345">
        <f t="shared" si="38"/>
        <v>0</v>
      </c>
      <c r="AE58" s="257">
        <f t="shared" si="39"/>
        <v>0</v>
      </c>
      <c r="AF58" s="257"/>
      <c r="AG58" s="257">
        <f t="shared" si="35"/>
        <v>0</v>
      </c>
      <c r="AH58" s="373">
        <f t="shared" si="32"/>
        <v>15000000</v>
      </c>
      <c r="AI58" s="879">
        <f t="shared" si="40"/>
        <v>1</v>
      </c>
      <c r="AJ58" s="346"/>
      <c r="AK58" s="347"/>
      <c r="AL58" s="348" t="e">
        <f>SUM(AE58-AF58-#REF!-#REF!)</f>
        <v>#REF!</v>
      </c>
      <c r="AM58" s="349">
        <f t="shared" si="41"/>
        <v>1</v>
      </c>
      <c r="AN58" s="117"/>
      <c r="AO58" s="374"/>
      <c r="AP58" s="351"/>
      <c r="AQ58" s="886"/>
      <c r="AR58" s="880"/>
      <c r="AS58" s="390"/>
      <c r="AV58" s="392"/>
    </row>
    <row r="59" spans="1:48" s="391" customFormat="1" ht="77.45" customHeight="1" x14ac:dyDescent="0.35">
      <c r="A59" s="343"/>
      <c r="B59" s="541" t="s">
        <v>169</v>
      </c>
      <c r="C59" s="541" t="s">
        <v>169</v>
      </c>
      <c r="D59" s="541" t="s">
        <v>167</v>
      </c>
      <c r="E59" s="541" t="s">
        <v>177</v>
      </c>
      <c r="F59" s="541" t="s">
        <v>179</v>
      </c>
      <c r="G59" s="541"/>
      <c r="H59" s="542"/>
      <c r="I59" s="542"/>
      <c r="J59" s="543" t="s">
        <v>323</v>
      </c>
      <c r="K59" s="544"/>
      <c r="L59" s="544"/>
      <c r="M59" s="544"/>
      <c r="N59" s="545">
        <f>SUM(N60)</f>
        <v>7000000</v>
      </c>
      <c r="O59" s="545">
        <f t="shared" ref="O59:AR59" si="44">SUM(O60)</f>
        <v>7000000</v>
      </c>
      <c r="P59" s="545">
        <f t="shared" si="44"/>
        <v>12800000</v>
      </c>
      <c r="Q59" s="545">
        <f t="shared" si="44"/>
        <v>8637100</v>
      </c>
      <c r="R59" s="545">
        <f t="shared" si="44"/>
        <v>11162900</v>
      </c>
      <c r="S59" s="545">
        <f t="shared" si="44"/>
        <v>200000</v>
      </c>
      <c r="T59" s="545">
        <f t="shared" si="44"/>
        <v>695033.01</v>
      </c>
      <c r="U59" s="545">
        <f t="shared" si="44"/>
        <v>695033.01</v>
      </c>
      <c r="V59" s="545">
        <f t="shared" si="44"/>
        <v>0</v>
      </c>
      <c r="W59" s="545">
        <f t="shared" si="44"/>
        <v>0</v>
      </c>
      <c r="X59" s="545">
        <f t="shared" si="44"/>
        <v>0</v>
      </c>
      <c r="Y59" s="545">
        <f t="shared" si="44"/>
        <v>0</v>
      </c>
      <c r="Z59" s="545">
        <f t="shared" si="44"/>
        <v>0</v>
      </c>
      <c r="AA59" s="545">
        <f t="shared" si="44"/>
        <v>10267866.99</v>
      </c>
      <c r="AB59" s="545">
        <f t="shared" si="44"/>
        <v>11000000</v>
      </c>
      <c r="AC59" s="545">
        <f t="shared" si="44"/>
        <v>3462900</v>
      </c>
      <c r="AD59" s="545">
        <f t="shared" si="44"/>
        <v>7537100</v>
      </c>
      <c r="AE59" s="545">
        <f t="shared" si="44"/>
        <v>6804966.9900000002</v>
      </c>
      <c r="AF59" s="545">
        <f t="shared" si="44"/>
        <v>0</v>
      </c>
      <c r="AG59" s="545">
        <f t="shared" si="44"/>
        <v>6804966.9900000002</v>
      </c>
      <c r="AH59" s="545">
        <f t="shared" si="44"/>
        <v>4357933.01</v>
      </c>
      <c r="AI59" s="545">
        <f t="shared" si="44"/>
        <v>0.33725602438876157</v>
      </c>
      <c r="AJ59" s="545">
        <f t="shared" si="44"/>
        <v>0</v>
      </c>
      <c r="AK59" s="545">
        <f t="shared" si="44"/>
        <v>0</v>
      </c>
      <c r="AL59" s="545" t="e">
        <f t="shared" si="44"/>
        <v>#REF!</v>
      </c>
      <c r="AM59" s="545">
        <f t="shared" si="44"/>
        <v>0.39039434286789271</v>
      </c>
      <c r="AN59" s="545">
        <f t="shared" si="44"/>
        <v>0</v>
      </c>
      <c r="AO59" s="545">
        <f t="shared" si="44"/>
        <v>0</v>
      </c>
      <c r="AP59" s="545">
        <f t="shared" si="44"/>
        <v>0</v>
      </c>
      <c r="AQ59" s="545">
        <f t="shared" si="44"/>
        <v>0</v>
      </c>
      <c r="AR59" s="545">
        <f t="shared" si="44"/>
        <v>6804966.9900000002</v>
      </c>
      <c r="AS59" s="390"/>
      <c r="AV59" s="392"/>
    </row>
    <row r="60" spans="1:48" s="391" customFormat="1" ht="73.5" customHeight="1" x14ac:dyDescent="0.35">
      <c r="A60" s="343"/>
      <c r="B60" s="838" t="s">
        <v>169</v>
      </c>
      <c r="C60" s="838" t="s">
        <v>169</v>
      </c>
      <c r="D60" s="838" t="s">
        <v>167</v>
      </c>
      <c r="E60" s="838" t="s">
        <v>177</v>
      </c>
      <c r="F60" s="838" t="s">
        <v>179</v>
      </c>
      <c r="G60" s="838">
        <v>9</v>
      </c>
      <c r="H60" s="344"/>
      <c r="I60" s="344"/>
      <c r="J60" s="110" t="s">
        <v>220</v>
      </c>
      <c r="K60" s="118"/>
      <c r="L60" s="118"/>
      <c r="M60" s="118"/>
      <c r="N60" s="76">
        <v>7000000</v>
      </c>
      <c r="O60" s="76">
        <v>7000000</v>
      </c>
      <c r="P60" s="76">
        <f>300000+12500000</f>
        <v>12800000</v>
      </c>
      <c r="Q60" s="916">
        <v>8637100</v>
      </c>
      <c r="R60" s="76">
        <f t="shared" si="33"/>
        <v>11162900</v>
      </c>
      <c r="S60" s="371">
        <v>200000</v>
      </c>
      <c r="T60" s="370">
        <v>695033.01</v>
      </c>
      <c r="U60" s="371">
        <f>96200+123046+155287.01+150000+60000+110500</f>
        <v>695033.01</v>
      </c>
      <c r="V60" s="370">
        <f t="shared" si="37"/>
        <v>0</v>
      </c>
      <c r="W60" s="345"/>
      <c r="X60" s="345"/>
      <c r="Y60" s="372">
        <f t="shared" si="30"/>
        <v>0</v>
      </c>
      <c r="Z60" s="114"/>
      <c r="AA60" s="345">
        <f t="shared" si="31"/>
        <v>10267866.99</v>
      </c>
      <c r="AB60" s="274">
        <v>11000000</v>
      </c>
      <c r="AC60" s="274">
        <v>3462900</v>
      </c>
      <c r="AD60" s="345">
        <f t="shared" si="38"/>
        <v>7537100</v>
      </c>
      <c r="AE60" s="257">
        <f t="shared" si="39"/>
        <v>6804966.9900000002</v>
      </c>
      <c r="AF60" s="257"/>
      <c r="AG60" s="257">
        <f t="shared" si="35"/>
        <v>6804966.9900000002</v>
      </c>
      <c r="AH60" s="373">
        <f t="shared" si="32"/>
        <v>4357933.01</v>
      </c>
      <c r="AI60" s="879">
        <f t="shared" si="40"/>
        <v>0.33725602438876157</v>
      </c>
      <c r="AJ60" s="346"/>
      <c r="AK60" s="347"/>
      <c r="AL60" s="348" t="e">
        <f>SUM(AE60-AF60-#REF!-#REF!)</f>
        <v>#REF!</v>
      </c>
      <c r="AM60" s="349">
        <f t="shared" si="41"/>
        <v>0.39039434286789271</v>
      </c>
      <c r="AN60" s="117"/>
      <c r="AO60" s="374"/>
      <c r="AP60" s="402"/>
      <c r="AQ60" s="886"/>
      <c r="AR60" s="880">
        <v>6804966.9900000002</v>
      </c>
      <c r="AS60" s="390"/>
      <c r="AV60" s="392"/>
    </row>
    <row r="61" spans="1:48" s="368" customFormat="1" ht="66.95" customHeight="1" x14ac:dyDescent="0.35">
      <c r="A61" s="366"/>
      <c r="B61" s="591" t="s">
        <v>169</v>
      </c>
      <c r="C61" s="591" t="s">
        <v>169</v>
      </c>
      <c r="D61" s="591" t="s">
        <v>167</v>
      </c>
      <c r="E61" s="591" t="s">
        <v>188</v>
      </c>
      <c r="F61" s="591"/>
      <c r="G61" s="591"/>
      <c r="H61" s="592"/>
      <c r="I61" s="592"/>
      <c r="J61" s="593" t="s">
        <v>221</v>
      </c>
      <c r="K61" s="594"/>
      <c r="L61" s="594"/>
      <c r="M61" s="594"/>
      <c r="N61" s="595">
        <f t="shared" ref="N61:AR61" si="45">SUM(N62:N63)</f>
        <v>10000000</v>
      </c>
      <c r="O61" s="595">
        <f t="shared" si="45"/>
        <v>10000000</v>
      </c>
      <c r="P61" s="595">
        <f t="shared" si="45"/>
        <v>0</v>
      </c>
      <c r="Q61" s="595">
        <f t="shared" si="45"/>
        <v>5000000</v>
      </c>
      <c r="R61" s="595">
        <f t="shared" si="45"/>
        <v>5000000</v>
      </c>
      <c r="S61" s="595">
        <f t="shared" si="45"/>
        <v>0</v>
      </c>
      <c r="T61" s="595">
        <f t="shared" si="45"/>
        <v>0</v>
      </c>
      <c r="U61" s="595">
        <f t="shared" si="45"/>
        <v>0</v>
      </c>
      <c r="V61" s="595">
        <f t="shared" si="45"/>
        <v>0</v>
      </c>
      <c r="W61" s="595">
        <f t="shared" si="45"/>
        <v>0</v>
      </c>
      <c r="X61" s="595">
        <f t="shared" si="45"/>
        <v>0</v>
      </c>
      <c r="Y61" s="595">
        <f t="shared" si="45"/>
        <v>0</v>
      </c>
      <c r="Z61" s="595">
        <f t="shared" si="45"/>
        <v>0</v>
      </c>
      <c r="AA61" s="595">
        <f t="shared" si="45"/>
        <v>5000000</v>
      </c>
      <c r="AB61" s="595">
        <f t="shared" si="45"/>
        <v>5000000</v>
      </c>
      <c r="AC61" s="595">
        <f t="shared" si="45"/>
        <v>4987382</v>
      </c>
      <c r="AD61" s="595">
        <f t="shared" si="45"/>
        <v>12618</v>
      </c>
      <c r="AE61" s="595">
        <f t="shared" si="45"/>
        <v>12618</v>
      </c>
      <c r="AF61" s="595">
        <f t="shared" si="45"/>
        <v>0</v>
      </c>
      <c r="AG61" s="595">
        <f t="shared" si="45"/>
        <v>12618</v>
      </c>
      <c r="AH61" s="595">
        <f t="shared" si="45"/>
        <v>4987382</v>
      </c>
      <c r="AI61" s="595" t="e">
        <f t="shared" si="45"/>
        <v>#DIV/0!</v>
      </c>
      <c r="AJ61" s="595">
        <f t="shared" si="45"/>
        <v>0</v>
      </c>
      <c r="AK61" s="595">
        <f t="shared" si="45"/>
        <v>0</v>
      </c>
      <c r="AL61" s="595" t="e">
        <f t="shared" si="45"/>
        <v>#REF!</v>
      </c>
      <c r="AM61" s="595" t="e">
        <f t="shared" si="45"/>
        <v>#DIV/0!</v>
      </c>
      <c r="AN61" s="595">
        <f t="shared" si="45"/>
        <v>0</v>
      </c>
      <c r="AO61" s="595">
        <f t="shared" si="45"/>
        <v>0</v>
      </c>
      <c r="AP61" s="595">
        <f t="shared" si="45"/>
        <v>0</v>
      </c>
      <c r="AQ61" s="595">
        <f t="shared" si="45"/>
        <v>0</v>
      </c>
      <c r="AR61" s="595">
        <f t="shared" si="45"/>
        <v>12618</v>
      </c>
      <c r="AS61" s="844">
        <f>AR61-AQ61</f>
        <v>12618</v>
      </c>
      <c r="AV61" s="369"/>
    </row>
    <row r="62" spans="1:48" s="391" customFormat="1" ht="69" customHeight="1" x14ac:dyDescent="0.35">
      <c r="A62" s="343" t="s">
        <v>29</v>
      </c>
      <c r="B62" s="838" t="s">
        <v>169</v>
      </c>
      <c r="C62" s="838" t="s">
        <v>169</v>
      </c>
      <c r="D62" s="838" t="s">
        <v>167</v>
      </c>
      <c r="E62" s="838" t="s">
        <v>188</v>
      </c>
      <c r="F62" s="838" t="s">
        <v>208</v>
      </c>
      <c r="G62" s="838"/>
      <c r="H62" s="344"/>
      <c r="I62" s="344"/>
      <c r="J62" s="110" t="s">
        <v>222</v>
      </c>
      <c r="K62" s="118"/>
      <c r="L62" s="118"/>
      <c r="M62" s="118"/>
      <c r="N62" s="76">
        <v>10000000</v>
      </c>
      <c r="O62" s="76">
        <v>10000000</v>
      </c>
      <c r="P62" s="76"/>
      <c r="Q62" s="76">
        <v>5000000</v>
      </c>
      <c r="R62" s="76">
        <f>SUM(O62+P62-Q62)</f>
        <v>5000000</v>
      </c>
      <c r="S62" s="370"/>
      <c r="T62" s="370"/>
      <c r="U62" s="370"/>
      <c r="V62" s="370">
        <f>SUM(T62-U62)</f>
        <v>0</v>
      </c>
      <c r="W62" s="345"/>
      <c r="X62" s="345"/>
      <c r="Y62" s="372">
        <f>SUM(V62)</f>
        <v>0</v>
      </c>
      <c r="Z62" s="114"/>
      <c r="AA62" s="345">
        <f>SUM(R62-S62-U62-W62-X62-Y62-Z62)</f>
        <v>5000000</v>
      </c>
      <c r="AB62" s="274">
        <v>5000000</v>
      </c>
      <c r="AC62" s="274">
        <v>4987382</v>
      </c>
      <c r="AD62" s="345">
        <f>SUM(AB62-AC62)</f>
        <v>12618</v>
      </c>
      <c r="AE62" s="257">
        <f>SUM(AA62-AC62)</f>
        <v>12618</v>
      </c>
      <c r="AF62" s="257"/>
      <c r="AG62" s="257">
        <f>SUM(AE62-AF62)</f>
        <v>12618</v>
      </c>
      <c r="AH62" s="373">
        <f>SUM(S62+U62+W62+Z62+X62+AC62)</f>
        <v>4987382</v>
      </c>
      <c r="AI62" s="879">
        <f>AC62/(AC62+AF62+AG62)</f>
        <v>0.99747640000000004</v>
      </c>
      <c r="AJ62" s="346"/>
      <c r="AK62" s="347"/>
      <c r="AL62" s="348" t="e">
        <f>SUM(AE62-AF62-#REF!-#REF!)</f>
        <v>#REF!</v>
      </c>
      <c r="AM62" s="349">
        <f>SUM(R62-(AE62+Y62))/R62</f>
        <v>0.99747640000000004</v>
      </c>
      <c r="AN62" s="117"/>
      <c r="AO62" s="374"/>
      <c r="AP62" s="402"/>
      <c r="AQ62" s="886"/>
      <c r="AR62" s="880">
        <v>12618</v>
      </c>
      <c r="AS62" s="390"/>
      <c r="AV62" s="392"/>
    </row>
    <row r="63" spans="1:48" s="391" customFormat="1" ht="67.5" customHeight="1" x14ac:dyDescent="0.35">
      <c r="A63" s="343" t="s">
        <v>29</v>
      </c>
      <c r="B63" s="838" t="s">
        <v>169</v>
      </c>
      <c r="C63" s="838" t="s">
        <v>169</v>
      </c>
      <c r="D63" s="838" t="s">
        <v>167</v>
      </c>
      <c r="E63" s="838" t="s">
        <v>188</v>
      </c>
      <c r="F63" s="838" t="s">
        <v>203</v>
      </c>
      <c r="G63" s="838">
        <v>8</v>
      </c>
      <c r="H63" s="344"/>
      <c r="I63" s="344"/>
      <c r="J63" s="110" t="s">
        <v>115</v>
      </c>
      <c r="K63" s="118"/>
      <c r="L63" s="118"/>
      <c r="M63" s="118"/>
      <c r="N63" s="76"/>
      <c r="O63" s="396"/>
      <c r="P63" s="76"/>
      <c r="Q63" s="76"/>
      <c r="R63" s="76">
        <f>SUM(O63+P63-Q63)</f>
        <v>0</v>
      </c>
      <c r="S63" s="370"/>
      <c r="T63" s="370"/>
      <c r="U63" s="370"/>
      <c r="V63" s="370">
        <f>SUM(T63-U63)</f>
        <v>0</v>
      </c>
      <c r="W63" s="345"/>
      <c r="X63" s="345"/>
      <c r="Y63" s="372">
        <f>SUM(V63)</f>
        <v>0</v>
      </c>
      <c r="Z63" s="114"/>
      <c r="AA63" s="345">
        <f>SUM(R63-S63-U63-W63-X63-Y63-Z63)</f>
        <v>0</v>
      </c>
      <c r="AB63" s="274"/>
      <c r="AC63" s="274"/>
      <c r="AD63" s="345">
        <f>SUM(AB63-AC63)</f>
        <v>0</v>
      </c>
      <c r="AE63" s="257">
        <f>SUM(AA63-AC63)</f>
        <v>0</v>
      </c>
      <c r="AF63" s="257"/>
      <c r="AG63" s="257">
        <f>SUM(AE63-AF63)</f>
        <v>0</v>
      </c>
      <c r="AH63" s="373">
        <f>SUM(S63+U63+W63+Z63+X63+AC63)</f>
        <v>0</v>
      </c>
      <c r="AI63" s="879" t="e">
        <f>AC63/(AC63+AF63+AG63)</f>
        <v>#DIV/0!</v>
      </c>
      <c r="AJ63" s="346"/>
      <c r="AK63" s="347"/>
      <c r="AL63" s="348" t="e">
        <f>SUM(AE63-AF63-#REF!-#REF!)</f>
        <v>#REF!</v>
      </c>
      <c r="AM63" s="349" t="e">
        <f>SUM(R63-(AE63+Y63))/R63</f>
        <v>#DIV/0!</v>
      </c>
      <c r="AN63" s="117"/>
      <c r="AO63" s="374"/>
      <c r="AP63" s="351"/>
      <c r="AQ63" s="886"/>
      <c r="AR63" s="880"/>
      <c r="AS63" s="390"/>
      <c r="AV63" s="392"/>
    </row>
    <row r="64" spans="1:48" s="364" customFormat="1" ht="49.5" customHeight="1" x14ac:dyDescent="0.35">
      <c r="A64" s="354" t="s">
        <v>29</v>
      </c>
      <c r="B64" s="617" t="s">
        <v>169</v>
      </c>
      <c r="C64" s="617" t="s">
        <v>169</v>
      </c>
      <c r="D64" s="617" t="s">
        <v>169</v>
      </c>
      <c r="E64" s="617"/>
      <c r="F64" s="617"/>
      <c r="G64" s="617"/>
      <c r="H64" s="618"/>
      <c r="I64" s="618"/>
      <c r="J64" s="74" t="s">
        <v>223</v>
      </c>
      <c r="K64" s="619"/>
      <c r="L64" s="619"/>
      <c r="M64" s="619"/>
      <c r="N64" s="620">
        <f>SUM(N65+N70+N84+N90+N113+N124)</f>
        <v>2311355941</v>
      </c>
      <c r="O64" s="620">
        <f>SUM(O65+O70+O84+O90+O113+O124)</f>
        <v>2311355941</v>
      </c>
      <c r="P64" s="620">
        <f t="shared" ref="P64:AR64" si="46">SUM(P65+P70+P84+P90+P113+P124)</f>
        <v>440325762.72999996</v>
      </c>
      <c r="Q64" s="620">
        <f t="shared" si="46"/>
        <v>373883772.38999999</v>
      </c>
      <c r="R64" s="620">
        <f t="shared" si="46"/>
        <v>2378097931.3400002</v>
      </c>
      <c r="S64" s="620">
        <f t="shared" si="46"/>
        <v>12800000</v>
      </c>
      <c r="T64" s="620">
        <f t="shared" si="46"/>
        <v>16959916.77</v>
      </c>
      <c r="U64" s="620">
        <f t="shared" si="46"/>
        <v>16959916.77</v>
      </c>
      <c r="V64" s="620">
        <f t="shared" si="46"/>
        <v>0</v>
      </c>
      <c r="W64" s="620">
        <f t="shared" si="46"/>
        <v>265443412</v>
      </c>
      <c r="X64" s="620">
        <f t="shared" si="46"/>
        <v>1101044541.4400001</v>
      </c>
      <c r="Y64" s="620">
        <f t="shared" si="46"/>
        <v>0</v>
      </c>
      <c r="Z64" s="620">
        <f t="shared" si="46"/>
        <v>282761162.03000003</v>
      </c>
      <c r="AA64" s="620">
        <f t="shared" si="46"/>
        <v>699088899.0999999</v>
      </c>
      <c r="AB64" s="620">
        <f t="shared" si="46"/>
        <v>840732260</v>
      </c>
      <c r="AC64" s="620">
        <f t="shared" si="46"/>
        <v>664741614.83000004</v>
      </c>
      <c r="AD64" s="620">
        <f t="shared" si="46"/>
        <v>175990645.17000002</v>
      </c>
      <c r="AE64" s="620">
        <f t="shared" si="46"/>
        <v>34347284.269999996</v>
      </c>
      <c r="AF64" s="620">
        <f t="shared" si="46"/>
        <v>21000000</v>
      </c>
      <c r="AG64" s="620">
        <f t="shared" si="46"/>
        <v>13347284.27</v>
      </c>
      <c r="AH64" s="620">
        <f t="shared" si="46"/>
        <v>2343750647.0699997</v>
      </c>
      <c r="AI64" s="620" t="e">
        <f t="shared" si="46"/>
        <v>#DIV/0!</v>
      </c>
      <c r="AJ64" s="620">
        <f t="shared" si="46"/>
        <v>0</v>
      </c>
      <c r="AK64" s="620">
        <f t="shared" si="46"/>
        <v>0</v>
      </c>
      <c r="AL64" s="620" t="e">
        <f t="shared" si="46"/>
        <v>#REF!</v>
      </c>
      <c r="AM64" s="620" t="e">
        <f t="shared" si="46"/>
        <v>#DIV/0!</v>
      </c>
      <c r="AN64" s="620">
        <f t="shared" si="46"/>
        <v>0</v>
      </c>
      <c r="AO64" s="620">
        <f t="shared" si="46"/>
        <v>0</v>
      </c>
      <c r="AP64" s="620">
        <f t="shared" si="46"/>
        <v>0</v>
      </c>
      <c r="AQ64" s="620">
        <f t="shared" si="46"/>
        <v>0</v>
      </c>
      <c r="AR64" s="620">
        <f t="shared" si="46"/>
        <v>13347284.27</v>
      </c>
      <c r="AS64" s="672">
        <f>AQ64-AR64</f>
        <v>-13347284.27</v>
      </c>
      <c r="AV64" s="365"/>
    </row>
    <row r="65" spans="1:48" s="368" customFormat="1" ht="57" customHeight="1" x14ac:dyDescent="0.35">
      <c r="A65" s="366"/>
      <c r="B65" s="591" t="s">
        <v>169</v>
      </c>
      <c r="C65" s="591" t="s">
        <v>169</v>
      </c>
      <c r="D65" s="591" t="s">
        <v>169</v>
      </c>
      <c r="E65" s="591" t="s">
        <v>198</v>
      </c>
      <c r="F65" s="591"/>
      <c r="G65" s="591"/>
      <c r="H65" s="592"/>
      <c r="I65" s="592"/>
      <c r="J65" s="593" t="s">
        <v>224</v>
      </c>
      <c r="K65" s="594"/>
      <c r="L65" s="594"/>
      <c r="M65" s="594"/>
      <c r="N65" s="595">
        <f>SUM(N66)</f>
        <v>25000000</v>
      </c>
      <c r="O65" s="595">
        <f t="shared" ref="O65:AR65" si="47">SUM(O66)</f>
        <v>25000000</v>
      </c>
      <c r="P65" s="595">
        <f t="shared" si="47"/>
        <v>0</v>
      </c>
      <c r="Q65" s="595">
        <f t="shared" si="47"/>
        <v>12523468</v>
      </c>
      <c r="R65" s="595">
        <f t="shared" si="47"/>
        <v>12476532</v>
      </c>
      <c r="S65" s="595">
        <f t="shared" si="47"/>
        <v>1000000</v>
      </c>
      <c r="T65" s="595">
        <f t="shared" si="47"/>
        <v>0</v>
      </c>
      <c r="U65" s="595">
        <f t="shared" si="47"/>
        <v>0</v>
      </c>
      <c r="V65" s="595">
        <f t="shared" si="47"/>
        <v>0</v>
      </c>
      <c r="W65" s="595">
        <f t="shared" si="47"/>
        <v>0</v>
      </c>
      <c r="X65" s="595">
        <f t="shared" si="47"/>
        <v>0</v>
      </c>
      <c r="Y65" s="595">
        <f t="shared" si="47"/>
        <v>0</v>
      </c>
      <c r="Z65" s="595">
        <f t="shared" si="47"/>
        <v>0</v>
      </c>
      <c r="AA65" s="595">
        <f t="shared" si="47"/>
        <v>11476532</v>
      </c>
      <c r="AB65" s="595">
        <f t="shared" si="47"/>
        <v>12500000</v>
      </c>
      <c r="AC65" s="595">
        <f t="shared" si="47"/>
        <v>11476532</v>
      </c>
      <c r="AD65" s="595">
        <f t="shared" si="47"/>
        <v>1023468</v>
      </c>
      <c r="AE65" s="595">
        <f t="shared" si="47"/>
        <v>0</v>
      </c>
      <c r="AF65" s="595">
        <f t="shared" si="47"/>
        <v>0</v>
      </c>
      <c r="AG65" s="595">
        <f t="shared" si="47"/>
        <v>0</v>
      </c>
      <c r="AH65" s="595">
        <f t="shared" si="47"/>
        <v>12476532</v>
      </c>
      <c r="AI65" s="595" t="e">
        <f t="shared" si="47"/>
        <v>#DIV/0!</v>
      </c>
      <c r="AJ65" s="595">
        <f t="shared" si="47"/>
        <v>0</v>
      </c>
      <c r="AK65" s="595">
        <f t="shared" si="47"/>
        <v>0</v>
      </c>
      <c r="AL65" s="595" t="e">
        <f t="shared" si="47"/>
        <v>#REF!</v>
      </c>
      <c r="AM65" s="595" t="e">
        <f t="shared" si="47"/>
        <v>#DIV/0!</v>
      </c>
      <c r="AN65" s="595">
        <f t="shared" si="47"/>
        <v>0</v>
      </c>
      <c r="AO65" s="595">
        <f t="shared" si="47"/>
        <v>0</v>
      </c>
      <c r="AP65" s="595">
        <f t="shared" si="47"/>
        <v>0</v>
      </c>
      <c r="AQ65" s="595">
        <f t="shared" si="47"/>
        <v>0</v>
      </c>
      <c r="AR65" s="595">
        <f t="shared" si="47"/>
        <v>0</v>
      </c>
      <c r="AS65" s="844">
        <f>AR65-AQ65</f>
        <v>0</v>
      </c>
      <c r="AV65" s="369"/>
    </row>
    <row r="66" spans="1:48" s="368" customFormat="1" ht="57" customHeight="1" x14ac:dyDescent="0.35">
      <c r="A66" s="366"/>
      <c r="B66" s="541" t="s">
        <v>169</v>
      </c>
      <c r="C66" s="541" t="s">
        <v>169</v>
      </c>
      <c r="D66" s="541" t="s">
        <v>169</v>
      </c>
      <c r="E66" s="541" t="s">
        <v>198</v>
      </c>
      <c r="F66" s="541" t="s">
        <v>188</v>
      </c>
      <c r="G66" s="541"/>
      <c r="H66" s="542"/>
      <c r="I66" s="542"/>
      <c r="J66" s="543" t="s">
        <v>324</v>
      </c>
      <c r="K66" s="544"/>
      <c r="L66" s="544"/>
      <c r="M66" s="544"/>
      <c r="N66" s="545">
        <f>SUM(N67:N69)</f>
        <v>25000000</v>
      </c>
      <c r="O66" s="545">
        <f t="shared" ref="O66:AR66" si="48">SUM(O67:O69)</f>
        <v>25000000</v>
      </c>
      <c r="P66" s="545">
        <f t="shared" si="48"/>
        <v>0</v>
      </c>
      <c r="Q66" s="545">
        <f t="shared" si="48"/>
        <v>12523468</v>
      </c>
      <c r="R66" s="545">
        <f t="shared" si="48"/>
        <v>12476532</v>
      </c>
      <c r="S66" s="545">
        <f t="shared" si="48"/>
        <v>1000000</v>
      </c>
      <c r="T66" s="545">
        <f t="shared" si="48"/>
        <v>0</v>
      </c>
      <c r="U66" s="545">
        <f t="shared" si="48"/>
        <v>0</v>
      </c>
      <c r="V66" s="545">
        <f t="shared" si="48"/>
        <v>0</v>
      </c>
      <c r="W66" s="545">
        <f t="shared" si="48"/>
        <v>0</v>
      </c>
      <c r="X66" s="545">
        <f t="shared" si="48"/>
        <v>0</v>
      </c>
      <c r="Y66" s="545">
        <f t="shared" si="48"/>
        <v>0</v>
      </c>
      <c r="Z66" s="545">
        <f t="shared" si="48"/>
        <v>0</v>
      </c>
      <c r="AA66" s="545">
        <f t="shared" si="48"/>
        <v>11476532</v>
      </c>
      <c r="AB66" s="545">
        <f t="shared" si="48"/>
        <v>12500000</v>
      </c>
      <c r="AC66" s="545">
        <f t="shared" si="48"/>
        <v>11476532</v>
      </c>
      <c r="AD66" s="545">
        <f t="shared" si="48"/>
        <v>1023468</v>
      </c>
      <c r="AE66" s="545">
        <f t="shared" si="48"/>
        <v>0</v>
      </c>
      <c r="AF66" s="545">
        <f t="shared" si="48"/>
        <v>0</v>
      </c>
      <c r="AG66" s="545">
        <f t="shared" si="48"/>
        <v>0</v>
      </c>
      <c r="AH66" s="545">
        <f t="shared" si="48"/>
        <v>12476532</v>
      </c>
      <c r="AI66" s="545" t="e">
        <f t="shared" si="48"/>
        <v>#DIV/0!</v>
      </c>
      <c r="AJ66" s="545">
        <f t="shared" si="48"/>
        <v>0</v>
      </c>
      <c r="AK66" s="545">
        <f t="shared" si="48"/>
        <v>0</v>
      </c>
      <c r="AL66" s="545" t="e">
        <f t="shared" si="48"/>
        <v>#REF!</v>
      </c>
      <c r="AM66" s="545" t="e">
        <f t="shared" si="48"/>
        <v>#DIV/0!</v>
      </c>
      <c r="AN66" s="545">
        <f t="shared" si="48"/>
        <v>0</v>
      </c>
      <c r="AO66" s="545">
        <f t="shared" si="48"/>
        <v>0</v>
      </c>
      <c r="AP66" s="545">
        <f t="shared" si="48"/>
        <v>0</v>
      </c>
      <c r="AQ66" s="545">
        <f t="shared" si="48"/>
        <v>0</v>
      </c>
      <c r="AR66" s="545">
        <f t="shared" si="48"/>
        <v>0</v>
      </c>
      <c r="AS66" s="116"/>
      <c r="AV66" s="369"/>
    </row>
    <row r="67" spans="1:48" s="391" customFormat="1" ht="129.6" customHeight="1" x14ac:dyDescent="0.35">
      <c r="A67" s="343" t="s">
        <v>29</v>
      </c>
      <c r="B67" s="838" t="s">
        <v>169</v>
      </c>
      <c r="C67" s="838" t="s">
        <v>169</v>
      </c>
      <c r="D67" s="838" t="s">
        <v>169</v>
      </c>
      <c r="E67" s="838" t="s">
        <v>198</v>
      </c>
      <c r="F67" s="530" t="s">
        <v>188</v>
      </c>
      <c r="G67" s="838" t="s">
        <v>169</v>
      </c>
      <c r="H67" s="344" t="s">
        <v>225</v>
      </c>
      <c r="I67" s="344"/>
      <c r="J67" s="110" t="s">
        <v>86</v>
      </c>
      <c r="K67" s="118"/>
      <c r="L67" s="118"/>
      <c r="M67" s="118"/>
      <c r="N67" s="76"/>
      <c r="O67" s="396"/>
      <c r="P67" s="76"/>
      <c r="Q67" s="76"/>
      <c r="R67" s="76">
        <f>SUM(O67+P67-Q67)</f>
        <v>0</v>
      </c>
      <c r="S67" s="370"/>
      <c r="T67" s="370"/>
      <c r="U67" s="370"/>
      <c r="V67" s="370">
        <f>SUM(T67-U67)</f>
        <v>0</v>
      </c>
      <c r="W67" s="345"/>
      <c r="X67" s="345"/>
      <c r="Y67" s="372">
        <f>SUM(V67)</f>
        <v>0</v>
      </c>
      <c r="Z67" s="114"/>
      <c r="AA67" s="345">
        <f>SUM(R67-S67-U67-W67-X67-Y67-Z67)</f>
        <v>0</v>
      </c>
      <c r="AB67" s="274"/>
      <c r="AC67" s="274"/>
      <c r="AD67" s="345">
        <f>SUM(AB67-AC67)</f>
        <v>0</v>
      </c>
      <c r="AE67" s="257">
        <f>SUM(AA67-AC67)</f>
        <v>0</v>
      </c>
      <c r="AF67" s="257"/>
      <c r="AG67" s="257">
        <f>SUM(AE67-AF67)</f>
        <v>0</v>
      </c>
      <c r="AH67" s="373">
        <f>SUM(S67+U67+W67+Z67+X67+AC67)</f>
        <v>0</v>
      </c>
      <c r="AI67" s="879" t="e">
        <f>AC67/(AC67+AF67+AG67)</f>
        <v>#DIV/0!</v>
      </c>
      <c r="AJ67" s="346"/>
      <c r="AK67" s="347"/>
      <c r="AL67" s="348" t="e">
        <f>SUM(AE67-AF67-#REF!-#REF!)</f>
        <v>#REF!</v>
      </c>
      <c r="AM67" s="349" t="e">
        <f>SUM(R67-(AE67+Y67))/R67</f>
        <v>#DIV/0!</v>
      </c>
      <c r="AN67" s="117"/>
      <c r="AO67" s="374"/>
      <c r="AP67" s="402"/>
      <c r="AQ67" s="886"/>
      <c r="AR67" s="895"/>
      <c r="AS67" s="390"/>
      <c r="AV67" s="392"/>
    </row>
    <row r="68" spans="1:48" s="391" customFormat="1" ht="80.099999999999994" customHeight="1" x14ac:dyDescent="0.35">
      <c r="A68" s="343"/>
      <c r="B68" s="838" t="s">
        <v>169</v>
      </c>
      <c r="C68" s="838" t="s">
        <v>169</v>
      </c>
      <c r="D68" s="838" t="s">
        <v>169</v>
      </c>
      <c r="E68" s="838" t="s">
        <v>198</v>
      </c>
      <c r="F68" s="530" t="s">
        <v>188</v>
      </c>
      <c r="G68" s="838" t="s">
        <v>226</v>
      </c>
      <c r="H68" s="344"/>
      <c r="I68" s="344"/>
      <c r="J68" s="110" t="s">
        <v>227</v>
      </c>
      <c r="K68" s="118"/>
      <c r="L68" s="118"/>
      <c r="M68" s="118"/>
      <c r="N68" s="76">
        <v>25000000</v>
      </c>
      <c r="O68" s="76">
        <v>25000000</v>
      </c>
      <c r="P68" s="76"/>
      <c r="Q68" s="76">
        <f>10000000+2173468+350000</f>
        <v>12523468</v>
      </c>
      <c r="R68" s="76">
        <f>SUM(O68+P68-Q68)</f>
        <v>12476532</v>
      </c>
      <c r="S68" s="370">
        <v>1000000</v>
      </c>
      <c r="T68" s="370"/>
      <c r="U68" s="371"/>
      <c r="V68" s="370">
        <f>SUM(T68-U68)</f>
        <v>0</v>
      </c>
      <c r="W68" s="345"/>
      <c r="X68" s="345"/>
      <c r="Y68" s="372">
        <f>SUM(V68)</f>
        <v>0</v>
      </c>
      <c r="Z68" s="114"/>
      <c r="AA68" s="345">
        <f>SUM(R68-S68-U68-W68-X68-Y68-Z68)</f>
        <v>11476532</v>
      </c>
      <c r="AB68" s="274">
        <v>12500000</v>
      </c>
      <c r="AC68" s="274">
        <v>11476532</v>
      </c>
      <c r="AD68" s="345">
        <f>SUM(AB68-AC68)</f>
        <v>1023468</v>
      </c>
      <c r="AE68" s="257">
        <f>SUM(AA68-AC68)</f>
        <v>0</v>
      </c>
      <c r="AF68" s="257"/>
      <c r="AG68" s="257">
        <f>SUM(AE68-AF68)</f>
        <v>0</v>
      </c>
      <c r="AH68" s="373">
        <f>SUM(S68+U68+W68+Z68+X68+AC68)</f>
        <v>12476532</v>
      </c>
      <c r="AI68" s="879">
        <f>AC68/(AC68+AF68+AG68)</f>
        <v>1</v>
      </c>
      <c r="AJ68" s="346"/>
      <c r="AK68" s="347"/>
      <c r="AL68" s="348"/>
      <c r="AM68" s="349"/>
      <c r="AN68" s="117"/>
      <c r="AO68" s="374"/>
      <c r="AP68" s="351"/>
      <c r="AQ68" s="886"/>
      <c r="AR68" s="880"/>
      <c r="AS68" s="390"/>
      <c r="AV68" s="392"/>
    </row>
    <row r="69" spans="1:48" s="391" customFormat="1" ht="75.599999999999994" customHeight="1" x14ac:dyDescent="0.35">
      <c r="A69" s="343" t="s">
        <v>29</v>
      </c>
      <c r="B69" s="838" t="s">
        <v>169</v>
      </c>
      <c r="C69" s="838" t="s">
        <v>169</v>
      </c>
      <c r="D69" s="838" t="s">
        <v>169</v>
      </c>
      <c r="E69" s="838" t="s">
        <v>198</v>
      </c>
      <c r="F69" s="530" t="s">
        <v>188</v>
      </c>
      <c r="G69" s="838" t="s">
        <v>228</v>
      </c>
      <c r="H69" s="344"/>
      <c r="I69" s="344"/>
      <c r="J69" s="110" t="s">
        <v>101</v>
      </c>
      <c r="K69" s="118"/>
      <c r="L69" s="118"/>
      <c r="M69" s="118"/>
      <c r="N69" s="76"/>
      <c r="O69" s="76"/>
      <c r="P69" s="76"/>
      <c r="Q69" s="76"/>
      <c r="R69" s="76">
        <f>SUM(O69+P69-Q69)</f>
        <v>0</v>
      </c>
      <c r="S69" s="370"/>
      <c r="T69" s="370"/>
      <c r="U69" s="370"/>
      <c r="V69" s="370">
        <f>SUM(T69-U69)</f>
        <v>0</v>
      </c>
      <c r="W69" s="345"/>
      <c r="X69" s="345"/>
      <c r="Y69" s="372">
        <f>SUM(V69)</f>
        <v>0</v>
      </c>
      <c r="Z69" s="257"/>
      <c r="AA69" s="345">
        <f>SUM(R69-S69-U69-W69-X69-Y69-Z69)</f>
        <v>0</v>
      </c>
      <c r="AB69" s="274"/>
      <c r="AC69" s="274"/>
      <c r="AD69" s="345">
        <f>SUM(AB69-AC69)</f>
        <v>0</v>
      </c>
      <c r="AE69" s="257">
        <f>SUM(AA69-AC69)</f>
        <v>0</v>
      </c>
      <c r="AF69" s="257"/>
      <c r="AG69" s="257">
        <f>SUM(AE69-AF69)</f>
        <v>0</v>
      </c>
      <c r="AH69" s="373">
        <f>SUM(S69+U69+W69+Z69+X69+AC69)</f>
        <v>0</v>
      </c>
      <c r="AI69" s="879" t="e">
        <f>AC69/(AC69+AF69+AG69)</f>
        <v>#DIV/0!</v>
      </c>
      <c r="AJ69" s="346"/>
      <c r="AK69" s="347"/>
      <c r="AL69" s="348" t="e">
        <f>SUM(AE69-AF69-#REF!-#REF!)</f>
        <v>#REF!</v>
      </c>
      <c r="AM69" s="349" t="e">
        <f>SUM(R69-(AE69+Y69))/R69</f>
        <v>#DIV/0!</v>
      </c>
      <c r="AN69" s="117"/>
      <c r="AO69" s="374"/>
      <c r="AP69" s="351"/>
      <c r="AQ69" s="886"/>
      <c r="AR69" s="880"/>
      <c r="AS69" s="390"/>
      <c r="AV69" s="392"/>
    </row>
    <row r="70" spans="1:48" s="368" customFormat="1" ht="144.94999999999999" customHeight="1" x14ac:dyDescent="0.35">
      <c r="A70" s="366"/>
      <c r="B70" s="591" t="s">
        <v>169</v>
      </c>
      <c r="C70" s="591" t="s">
        <v>169</v>
      </c>
      <c r="D70" s="591" t="s">
        <v>169</v>
      </c>
      <c r="E70" s="591" t="s">
        <v>172</v>
      </c>
      <c r="F70" s="591"/>
      <c r="G70" s="591"/>
      <c r="H70" s="592"/>
      <c r="I70" s="592"/>
      <c r="J70" s="593" t="s">
        <v>229</v>
      </c>
      <c r="K70" s="594"/>
      <c r="L70" s="594"/>
      <c r="M70" s="594"/>
      <c r="N70" s="595">
        <f t="shared" ref="N70:AR70" si="49">SUM(N71+N76+N77+N78+N80+N81)</f>
        <v>382193280</v>
      </c>
      <c r="O70" s="595">
        <f t="shared" si="49"/>
        <v>382193280</v>
      </c>
      <c r="P70" s="595">
        <f t="shared" si="49"/>
        <v>8833415</v>
      </c>
      <c r="Q70" s="595">
        <f t="shared" si="49"/>
        <v>43333415</v>
      </c>
      <c r="R70" s="595">
        <f t="shared" si="49"/>
        <v>347993280</v>
      </c>
      <c r="S70" s="595">
        <f t="shared" si="49"/>
        <v>6000000</v>
      </c>
      <c r="T70" s="595">
        <f t="shared" si="49"/>
        <v>11983902</v>
      </c>
      <c r="U70" s="595">
        <f t="shared" si="49"/>
        <v>11983902</v>
      </c>
      <c r="V70" s="595">
        <f t="shared" si="49"/>
        <v>0</v>
      </c>
      <c r="W70" s="595">
        <f t="shared" si="49"/>
        <v>150150000</v>
      </c>
      <c r="X70" s="595">
        <f t="shared" si="49"/>
        <v>138043280</v>
      </c>
      <c r="Y70" s="595">
        <f t="shared" si="49"/>
        <v>0</v>
      </c>
      <c r="Z70" s="595">
        <f t="shared" si="49"/>
        <v>0</v>
      </c>
      <c r="AA70" s="595">
        <f t="shared" si="49"/>
        <v>41816098</v>
      </c>
      <c r="AB70" s="595">
        <f t="shared" si="49"/>
        <v>39000000</v>
      </c>
      <c r="AC70" s="595">
        <f t="shared" si="49"/>
        <v>39000000</v>
      </c>
      <c r="AD70" s="595">
        <f t="shared" si="49"/>
        <v>0</v>
      </c>
      <c r="AE70" s="595">
        <f t="shared" si="49"/>
        <v>2816098</v>
      </c>
      <c r="AF70" s="595">
        <f t="shared" si="49"/>
        <v>0</v>
      </c>
      <c r="AG70" s="595">
        <f t="shared" si="49"/>
        <v>2816098</v>
      </c>
      <c r="AH70" s="595">
        <f t="shared" si="49"/>
        <v>345177182</v>
      </c>
      <c r="AI70" s="595" t="e">
        <f t="shared" si="49"/>
        <v>#DIV/0!</v>
      </c>
      <c r="AJ70" s="595">
        <f t="shared" si="49"/>
        <v>0</v>
      </c>
      <c r="AK70" s="595">
        <f t="shared" si="49"/>
        <v>0</v>
      </c>
      <c r="AL70" s="595" t="e">
        <f t="shared" si="49"/>
        <v>#REF!</v>
      </c>
      <c r="AM70" s="595" t="e">
        <f t="shared" si="49"/>
        <v>#DIV/0!</v>
      </c>
      <c r="AN70" s="595">
        <f t="shared" si="49"/>
        <v>0</v>
      </c>
      <c r="AO70" s="595">
        <f t="shared" si="49"/>
        <v>0</v>
      </c>
      <c r="AP70" s="595">
        <f t="shared" si="49"/>
        <v>0</v>
      </c>
      <c r="AQ70" s="595">
        <f t="shared" si="49"/>
        <v>0</v>
      </c>
      <c r="AR70" s="595">
        <f t="shared" si="49"/>
        <v>2816098</v>
      </c>
      <c r="AS70" s="844">
        <f>AR70-AQ70</f>
        <v>2816098</v>
      </c>
      <c r="AV70" s="369"/>
    </row>
    <row r="71" spans="1:48" s="391" customFormat="1" ht="59.1" customHeight="1" x14ac:dyDescent="0.35">
      <c r="A71" s="343" t="s">
        <v>29</v>
      </c>
      <c r="B71" s="541" t="s">
        <v>169</v>
      </c>
      <c r="C71" s="541" t="s">
        <v>169</v>
      </c>
      <c r="D71" s="541" t="s">
        <v>169</v>
      </c>
      <c r="E71" s="541" t="s">
        <v>172</v>
      </c>
      <c r="F71" s="541" t="s">
        <v>177</v>
      </c>
      <c r="G71" s="541"/>
      <c r="H71" s="542"/>
      <c r="I71" s="542"/>
      <c r="J71" s="543" t="s">
        <v>230</v>
      </c>
      <c r="K71" s="544"/>
      <c r="L71" s="544"/>
      <c r="M71" s="544"/>
      <c r="N71" s="545">
        <f>SUM(N72:N75)</f>
        <v>12000000</v>
      </c>
      <c r="O71" s="545">
        <f t="shared" ref="O71:AR71" si="50">SUM(O72:O75)</f>
        <v>12000000</v>
      </c>
      <c r="P71" s="545">
        <f t="shared" si="50"/>
        <v>5133415</v>
      </c>
      <c r="Q71" s="545">
        <f t="shared" si="50"/>
        <v>133415</v>
      </c>
      <c r="R71" s="545">
        <f t="shared" si="50"/>
        <v>17000000</v>
      </c>
      <c r="S71" s="545">
        <f t="shared" si="50"/>
        <v>3000000</v>
      </c>
      <c r="T71" s="545">
        <f t="shared" si="50"/>
        <v>11614902</v>
      </c>
      <c r="U71" s="545">
        <f t="shared" si="50"/>
        <v>11614902</v>
      </c>
      <c r="V71" s="545">
        <f t="shared" si="50"/>
        <v>0</v>
      </c>
      <c r="W71" s="545">
        <f t="shared" si="50"/>
        <v>0</v>
      </c>
      <c r="X71" s="545">
        <f t="shared" si="50"/>
        <v>0</v>
      </c>
      <c r="Y71" s="545">
        <f t="shared" si="50"/>
        <v>0</v>
      </c>
      <c r="Z71" s="545">
        <f t="shared" si="50"/>
        <v>0</v>
      </c>
      <c r="AA71" s="545">
        <f t="shared" si="50"/>
        <v>2385098</v>
      </c>
      <c r="AB71" s="545">
        <f t="shared" si="50"/>
        <v>0</v>
      </c>
      <c r="AC71" s="545">
        <f t="shared" si="50"/>
        <v>0</v>
      </c>
      <c r="AD71" s="545">
        <f t="shared" si="50"/>
        <v>0</v>
      </c>
      <c r="AE71" s="545">
        <f t="shared" si="50"/>
        <v>2385098</v>
      </c>
      <c r="AF71" s="545">
        <f t="shared" si="50"/>
        <v>0</v>
      </c>
      <c r="AG71" s="545">
        <f t="shared" si="50"/>
        <v>2385098</v>
      </c>
      <c r="AH71" s="545">
        <f t="shared" si="50"/>
        <v>14614902</v>
      </c>
      <c r="AI71" s="545" t="e">
        <f t="shared" si="50"/>
        <v>#DIV/0!</v>
      </c>
      <c r="AJ71" s="545">
        <f t="shared" si="50"/>
        <v>0</v>
      </c>
      <c r="AK71" s="545">
        <f t="shared" si="50"/>
        <v>0</v>
      </c>
      <c r="AL71" s="545" t="e">
        <f t="shared" si="50"/>
        <v>#REF!</v>
      </c>
      <c r="AM71" s="545" t="e">
        <f t="shared" si="50"/>
        <v>#DIV/0!</v>
      </c>
      <c r="AN71" s="545">
        <f t="shared" si="50"/>
        <v>0</v>
      </c>
      <c r="AO71" s="545">
        <f t="shared" si="50"/>
        <v>0</v>
      </c>
      <c r="AP71" s="545">
        <f t="shared" si="50"/>
        <v>0</v>
      </c>
      <c r="AQ71" s="545">
        <f t="shared" si="50"/>
        <v>0</v>
      </c>
      <c r="AR71" s="545">
        <f t="shared" si="50"/>
        <v>2385098</v>
      </c>
      <c r="AS71" s="390"/>
      <c r="AV71" s="392"/>
    </row>
    <row r="72" spans="1:48" s="391" customFormat="1" ht="40.5" x14ac:dyDescent="0.35">
      <c r="A72" s="343" t="s">
        <v>29</v>
      </c>
      <c r="B72" s="838" t="s">
        <v>169</v>
      </c>
      <c r="C72" s="838" t="s">
        <v>169</v>
      </c>
      <c r="D72" s="838" t="s">
        <v>169</v>
      </c>
      <c r="E72" s="838" t="s">
        <v>172</v>
      </c>
      <c r="F72" s="531" t="s">
        <v>177</v>
      </c>
      <c r="G72" s="838" t="s">
        <v>167</v>
      </c>
      <c r="H72" s="344"/>
      <c r="I72" s="344"/>
      <c r="J72" s="110" t="s">
        <v>231</v>
      </c>
      <c r="K72" s="118"/>
      <c r="L72" s="118"/>
      <c r="M72" s="118"/>
      <c r="N72" s="76"/>
      <c r="O72" s="396"/>
      <c r="P72" s="76"/>
      <c r="Q72" s="76"/>
      <c r="R72" s="76">
        <f t="shared" ref="R72:R83" si="51">SUM(O72+P72-Q72)</f>
        <v>0</v>
      </c>
      <c r="S72" s="370"/>
      <c r="T72" s="370"/>
      <c r="U72" s="370"/>
      <c r="V72" s="370">
        <f t="shared" ref="V72:V83" si="52">SUM(T72-U72)</f>
        <v>0</v>
      </c>
      <c r="W72" s="345"/>
      <c r="X72" s="345"/>
      <c r="Y72" s="372">
        <f t="shared" ref="Y72:Y83" si="53">SUM(V72)</f>
        <v>0</v>
      </c>
      <c r="Z72" s="114"/>
      <c r="AA72" s="345">
        <f t="shared" ref="AA72:AA83" si="54">SUM(R72-S72-U72-W72-X72-Y72-Z72)</f>
        <v>0</v>
      </c>
      <c r="AB72" s="274"/>
      <c r="AC72" s="274"/>
      <c r="AD72" s="345">
        <f t="shared" ref="AD72:AD77" si="55">SUM(AB72-AC72)</f>
        <v>0</v>
      </c>
      <c r="AE72" s="257">
        <f t="shared" ref="AE72:AE83" si="56">SUM(AA72-AC72)</f>
        <v>0</v>
      </c>
      <c r="AF72" s="257"/>
      <c r="AG72" s="257">
        <f t="shared" ref="AG72:AG83" si="57">SUM(AE72-AF72)</f>
        <v>0</v>
      </c>
      <c r="AH72" s="373">
        <f t="shared" ref="AH72:AH83" si="58">SUM(S72+U72+W72+Z72+X72+AC72)</f>
        <v>0</v>
      </c>
      <c r="AI72" s="879" t="e">
        <f t="shared" ref="AI72:AI83" si="59">AC72/(AC72+AF72+AG72)</f>
        <v>#DIV/0!</v>
      </c>
      <c r="AJ72" s="346"/>
      <c r="AK72" s="347"/>
      <c r="AL72" s="348" t="e">
        <f>SUM(AE72-AF72-#REF!-#REF!)</f>
        <v>#REF!</v>
      </c>
      <c r="AM72" s="349" t="e">
        <f t="shared" ref="AM72:AM77" si="60">SUM(R72-(AE72+Y72))/R72</f>
        <v>#DIV/0!</v>
      </c>
      <c r="AN72" s="117"/>
      <c r="AO72" s="374"/>
      <c r="AP72" s="351"/>
      <c r="AQ72" s="886"/>
      <c r="AR72" s="880"/>
      <c r="AS72" s="390"/>
      <c r="AV72" s="392"/>
    </row>
    <row r="73" spans="1:48" s="391" customFormat="1" ht="51" customHeight="1" x14ac:dyDescent="0.35">
      <c r="A73" s="343" t="s">
        <v>29</v>
      </c>
      <c r="B73" s="838" t="s">
        <v>169</v>
      </c>
      <c r="C73" s="838" t="s">
        <v>169</v>
      </c>
      <c r="D73" s="838" t="s">
        <v>169</v>
      </c>
      <c r="E73" s="838" t="s">
        <v>172</v>
      </c>
      <c r="F73" s="531" t="s">
        <v>177</v>
      </c>
      <c r="G73" s="838" t="s">
        <v>169</v>
      </c>
      <c r="H73" s="344"/>
      <c r="I73" s="344"/>
      <c r="J73" s="110" t="s">
        <v>232</v>
      </c>
      <c r="K73" s="118"/>
      <c r="L73" s="118"/>
      <c r="M73" s="118"/>
      <c r="N73" s="76"/>
      <c r="O73" s="396"/>
      <c r="P73" s="76"/>
      <c r="Q73" s="76"/>
      <c r="R73" s="76">
        <f t="shared" si="51"/>
        <v>0</v>
      </c>
      <c r="S73" s="370"/>
      <c r="T73" s="370"/>
      <c r="U73" s="370"/>
      <c r="V73" s="370">
        <f t="shared" si="52"/>
        <v>0</v>
      </c>
      <c r="W73" s="345"/>
      <c r="X73" s="345"/>
      <c r="Y73" s="372">
        <f t="shared" si="53"/>
        <v>0</v>
      </c>
      <c r="Z73" s="114"/>
      <c r="AA73" s="345">
        <f t="shared" si="54"/>
        <v>0</v>
      </c>
      <c r="AB73" s="274"/>
      <c r="AC73" s="274"/>
      <c r="AD73" s="345">
        <f t="shared" si="55"/>
        <v>0</v>
      </c>
      <c r="AE73" s="257">
        <f t="shared" si="56"/>
        <v>0</v>
      </c>
      <c r="AF73" s="257"/>
      <c r="AG73" s="257">
        <f t="shared" si="57"/>
        <v>0</v>
      </c>
      <c r="AH73" s="373">
        <f t="shared" si="58"/>
        <v>0</v>
      </c>
      <c r="AI73" s="879" t="e">
        <f t="shared" si="59"/>
        <v>#DIV/0!</v>
      </c>
      <c r="AJ73" s="346"/>
      <c r="AK73" s="347"/>
      <c r="AL73" s="348" t="e">
        <f>SUM(AE73-AF73-#REF!-#REF!)</f>
        <v>#REF!</v>
      </c>
      <c r="AM73" s="349" t="e">
        <f t="shared" si="60"/>
        <v>#DIV/0!</v>
      </c>
      <c r="AN73" s="117"/>
      <c r="AO73" s="374"/>
      <c r="AP73" s="351"/>
      <c r="AQ73" s="886"/>
      <c r="AR73" s="880"/>
      <c r="AS73" s="390"/>
      <c r="AV73" s="392"/>
    </row>
    <row r="74" spans="1:48" s="391" customFormat="1" ht="47.25" customHeight="1" x14ac:dyDescent="0.35">
      <c r="A74" s="343" t="s">
        <v>29</v>
      </c>
      <c r="B74" s="838" t="s">
        <v>169</v>
      </c>
      <c r="C74" s="838" t="s">
        <v>169</v>
      </c>
      <c r="D74" s="838" t="s">
        <v>169</v>
      </c>
      <c r="E74" s="838" t="s">
        <v>172</v>
      </c>
      <c r="F74" s="531" t="s">
        <v>177</v>
      </c>
      <c r="G74" s="838" t="s">
        <v>205</v>
      </c>
      <c r="H74" s="344"/>
      <c r="I74" s="344"/>
      <c r="J74" s="110" t="s">
        <v>233</v>
      </c>
      <c r="K74" s="118"/>
      <c r="L74" s="118"/>
      <c r="M74" s="118"/>
      <c r="N74" s="76">
        <v>12000000</v>
      </c>
      <c r="O74" s="396">
        <v>12000000</v>
      </c>
      <c r="P74" s="76">
        <v>5133415</v>
      </c>
      <c r="Q74" s="76">
        <v>133415</v>
      </c>
      <c r="R74" s="76">
        <f t="shared" si="51"/>
        <v>17000000</v>
      </c>
      <c r="S74" s="370">
        <v>3000000</v>
      </c>
      <c r="T74" s="370">
        <v>11614902</v>
      </c>
      <c r="U74" s="371">
        <f>739400+325000+390900+657000+2373500+125180+578500+2172720+2163560+980282+1108860</f>
        <v>11614902</v>
      </c>
      <c r="V74" s="370">
        <f t="shared" si="52"/>
        <v>0</v>
      </c>
      <c r="W74" s="345"/>
      <c r="X74" s="345"/>
      <c r="Y74" s="372">
        <f t="shared" si="53"/>
        <v>0</v>
      </c>
      <c r="Z74" s="114"/>
      <c r="AA74" s="345">
        <f t="shared" si="54"/>
        <v>2385098</v>
      </c>
      <c r="AB74" s="274"/>
      <c r="AC74" s="274"/>
      <c r="AD74" s="345">
        <f t="shared" si="55"/>
        <v>0</v>
      </c>
      <c r="AE74" s="257">
        <f t="shared" si="56"/>
        <v>2385098</v>
      </c>
      <c r="AF74" s="257"/>
      <c r="AG74" s="257">
        <f t="shared" si="57"/>
        <v>2385098</v>
      </c>
      <c r="AH74" s="373">
        <f t="shared" si="58"/>
        <v>14614902</v>
      </c>
      <c r="AI74" s="879">
        <f t="shared" si="59"/>
        <v>0</v>
      </c>
      <c r="AJ74" s="346"/>
      <c r="AK74" s="347"/>
      <c r="AL74" s="348" t="e">
        <f>SUM(AE74-AF74-#REF!-#REF!)</f>
        <v>#REF!</v>
      </c>
      <c r="AM74" s="349">
        <f t="shared" si="60"/>
        <v>0.85970011764705878</v>
      </c>
      <c r="AN74" s="117"/>
      <c r="AO74" s="374"/>
      <c r="AP74" s="351"/>
      <c r="AQ74" s="886"/>
      <c r="AR74" s="880">
        <v>2385098</v>
      </c>
      <c r="AS74" s="390"/>
      <c r="AV74" s="392"/>
    </row>
    <row r="75" spans="1:48" s="391" customFormat="1" ht="87.95" customHeight="1" x14ac:dyDescent="0.35">
      <c r="A75" s="343" t="s">
        <v>29</v>
      </c>
      <c r="B75" s="838" t="s">
        <v>169</v>
      </c>
      <c r="C75" s="838" t="s">
        <v>169</v>
      </c>
      <c r="D75" s="838" t="s">
        <v>169</v>
      </c>
      <c r="E75" s="838" t="s">
        <v>172</v>
      </c>
      <c r="F75" s="531" t="s">
        <v>177</v>
      </c>
      <c r="G75" s="838" t="s">
        <v>191</v>
      </c>
      <c r="H75" s="344"/>
      <c r="I75" s="344"/>
      <c r="J75" s="110" t="s">
        <v>234</v>
      </c>
      <c r="K75" s="118"/>
      <c r="L75" s="118"/>
      <c r="M75" s="118"/>
      <c r="N75" s="76"/>
      <c r="O75" s="396"/>
      <c r="P75" s="76"/>
      <c r="Q75" s="76"/>
      <c r="R75" s="76">
        <f t="shared" si="51"/>
        <v>0</v>
      </c>
      <c r="S75" s="370"/>
      <c r="T75" s="370"/>
      <c r="U75" s="370"/>
      <c r="V75" s="370">
        <f t="shared" si="52"/>
        <v>0</v>
      </c>
      <c r="W75" s="345"/>
      <c r="X75" s="345"/>
      <c r="Y75" s="372">
        <f t="shared" si="53"/>
        <v>0</v>
      </c>
      <c r="Z75" s="114"/>
      <c r="AA75" s="345">
        <f t="shared" si="54"/>
        <v>0</v>
      </c>
      <c r="AB75" s="274"/>
      <c r="AC75" s="274"/>
      <c r="AD75" s="345">
        <f t="shared" si="55"/>
        <v>0</v>
      </c>
      <c r="AE75" s="257">
        <f t="shared" si="56"/>
        <v>0</v>
      </c>
      <c r="AF75" s="257"/>
      <c r="AG75" s="257">
        <f t="shared" si="57"/>
        <v>0</v>
      </c>
      <c r="AH75" s="373">
        <f t="shared" si="58"/>
        <v>0</v>
      </c>
      <c r="AI75" s="879" t="e">
        <f t="shared" si="59"/>
        <v>#DIV/0!</v>
      </c>
      <c r="AJ75" s="346"/>
      <c r="AK75" s="347"/>
      <c r="AL75" s="348" t="e">
        <f>SUM(AE75-AF75-#REF!-#REF!)</f>
        <v>#REF!</v>
      </c>
      <c r="AM75" s="349" t="e">
        <f t="shared" si="60"/>
        <v>#DIV/0!</v>
      </c>
      <c r="AN75" s="117"/>
      <c r="AO75" s="374"/>
      <c r="AP75" s="351"/>
      <c r="AQ75" s="886"/>
      <c r="AR75" s="880"/>
      <c r="AS75" s="390"/>
      <c r="AV75" s="392"/>
    </row>
    <row r="76" spans="1:48" s="391" customFormat="1" ht="65.099999999999994" customHeight="1" x14ac:dyDescent="0.35">
      <c r="A76" s="343" t="s">
        <v>29</v>
      </c>
      <c r="B76" s="541" t="s">
        <v>169</v>
      </c>
      <c r="C76" s="541" t="s">
        <v>169</v>
      </c>
      <c r="D76" s="541" t="s">
        <v>169</v>
      </c>
      <c r="E76" s="541" t="s">
        <v>172</v>
      </c>
      <c r="F76" s="541" t="s">
        <v>188</v>
      </c>
      <c r="G76" s="541"/>
      <c r="H76" s="542"/>
      <c r="I76" s="542"/>
      <c r="J76" s="543" t="s">
        <v>99</v>
      </c>
      <c r="K76" s="544"/>
      <c r="L76" s="544"/>
      <c r="M76" s="544"/>
      <c r="N76" s="545">
        <v>28500000</v>
      </c>
      <c r="O76" s="545">
        <v>28500000</v>
      </c>
      <c r="P76" s="569">
        <f>300000+700000</f>
        <v>1000000</v>
      </c>
      <c r="Q76" s="545">
        <f>3000000+400000</f>
        <v>3400000</v>
      </c>
      <c r="R76" s="545">
        <f t="shared" si="51"/>
        <v>26100000</v>
      </c>
      <c r="S76" s="545">
        <v>500000</v>
      </c>
      <c r="T76" s="545">
        <v>317000</v>
      </c>
      <c r="U76" s="696">
        <f>85000+45000+127000+60000</f>
        <v>317000</v>
      </c>
      <c r="V76" s="545">
        <f t="shared" si="52"/>
        <v>0</v>
      </c>
      <c r="W76" s="545"/>
      <c r="X76" s="545"/>
      <c r="Y76" s="545">
        <f t="shared" si="53"/>
        <v>0</v>
      </c>
      <c r="Z76" s="545"/>
      <c r="AA76" s="545">
        <f t="shared" si="54"/>
        <v>25283000</v>
      </c>
      <c r="AB76" s="545">
        <v>25000000</v>
      </c>
      <c r="AC76" s="545">
        <v>25000000</v>
      </c>
      <c r="AD76" s="545">
        <f t="shared" si="55"/>
        <v>0</v>
      </c>
      <c r="AE76" s="545">
        <f>SUM(AA76-AC76)</f>
        <v>283000</v>
      </c>
      <c r="AF76" s="545">
        <v>0</v>
      </c>
      <c r="AG76" s="545">
        <f t="shared" si="57"/>
        <v>283000</v>
      </c>
      <c r="AH76" s="545">
        <f t="shared" si="58"/>
        <v>25817000</v>
      </c>
      <c r="AI76" s="545">
        <f t="shared" si="59"/>
        <v>0.9888067080647075</v>
      </c>
      <c r="AJ76" s="545"/>
      <c r="AK76" s="545"/>
      <c r="AL76" s="545" t="e">
        <f>SUM(AE76-AF76-#REF!-#REF!)</f>
        <v>#REF!</v>
      </c>
      <c r="AM76" s="545">
        <f t="shared" si="60"/>
        <v>0.98915708812260539</v>
      </c>
      <c r="AN76" s="545"/>
      <c r="AO76" s="545"/>
      <c r="AP76" s="545"/>
      <c r="AQ76" s="545"/>
      <c r="AR76" s="545">
        <v>283000</v>
      </c>
      <c r="AS76" s="390"/>
      <c r="AV76" s="392"/>
    </row>
    <row r="77" spans="1:48" s="391" customFormat="1" ht="68.45" customHeight="1" x14ac:dyDescent="0.35">
      <c r="A77" s="343" t="s">
        <v>29</v>
      </c>
      <c r="B77" s="541" t="s">
        <v>169</v>
      </c>
      <c r="C77" s="541" t="s">
        <v>169</v>
      </c>
      <c r="D77" s="541" t="s">
        <v>169</v>
      </c>
      <c r="E77" s="541" t="s">
        <v>172</v>
      </c>
      <c r="F77" s="541" t="s">
        <v>198</v>
      </c>
      <c r="G77" s="541"/>
      <c r="H77" s="542"/>
      <c r="I77" s="542"/>
      <c r="J77" s="543" t="s">
        <v>82</v>
      </c>
      <c r="K77" s="544"/>
      <c r="L77" s="544"/>
      <c r="M77" s="544"/>
      <c r="N77" s="545"/>
      <c r="O77" s="545"/>
      <c r="P77" s="545"/>
      <c r="Q77" s="545"/>
      <c r="R77" s="545">
        <f t="shared" si="51"/>
        <v>0</v>
      </c>
      <c r="S77" s="545"/>
      <c r="T77" s="545"/>
      <c r="U77" s="545"/>
      <c r="V77" s="545">
        <f t="shared" si="52"/>
        <v>0</v>
      </c>
      <c r="W77" s="545"/>
      <c r="X77" s="545"/>
      <c r="Y77" s="545">
        <f t="shared" si="53"/>
        <v>0</v>
      </c>
      <c r="Z77" s="545"/>
      <c r="AA77" s="545">
        <f t="shared" si="54"/>
        <v>0</v>
      </c>
      <c r="AB77" s="545">
        <v>0</v>
      </c>
      <c r="AC77" s="545"/>
      <c r="AD77" s="545">
        <f t="shared" si="55"/>
        <v>0</v>
      </c>
      <c r="AE77" s="545">
        <f t="shared" si="56"/>
        <v>0</v>
      </c>
      <c r="AF77" s="545"/>
      <c r="AG77" s="545">
        <f t="shared" si="57"/>
        <v>0</v>
      </c>
      <c r="AH77" s="545">
        <f t="shared" si="58"/>
        <v>0</v>
      </c>
      <c r="AI77" s="545" t="e">
        <f t="shared" si="59"/>
        <v>#DIV/0!</v>
      </c>
      <c r="AJ77" s="545"/>
      <c r="AK77" s="545"/>
      <c r="AL77" s="545" t="e">
        <f>SUM(AE77-AF77-#REF!-#REF!)</f>
        <v>#REF!</v>
      </c>
      <c r="AM77" s="545" t="e">
        <f t="shared" si="60"/>
        <v>#DIV/0!</v>
      </c>
      <c r="AN77" s="545"/>
      <c r="AO77" s="545"/>
      <c r="AP77" s="545"/>
      <c r="AQ77" s="545"/>
      <c r="AR77" s="545"/>
      <c r="AS77" s="390"/>
      <c r="AV77" s="392"/>
    </row>
    <row r="78" spans="1:48" s="391" customFormat="1" ht="68.45" customHeight="1" x14ac:dyDescent="0.35">
      <c r="A78" s="343"/>
      <c r="B78" s="541" t="s">
        <v>169</v>
      </c>
      <c r="C78" s="541" t="s">
        <v>169</v>
      </c>
      <c r="D78" s="541" t="s">
        <v>169</v>
      </c>
      <c r="E78" s="541" t="s">
        <v>172</v>
      </c>
      <c r="F78" s="541" t="s">
        <v>203</v>
      </c>
      <c r="G78" s="541"/>
      <c r="H78" s="542"/>
      <c r="I78" s="542"/>
      <c r="J78" s="543" t="s">
        <v>325</v>
      </c>
      <c r="K78" s="544"/>
      <c r="L78" s="544"/>
      <c r="M78" s="544"/>
      <c r="N78" s="545">
        <f t="shared" ref="N78:AP78" si="61">SUM(N79)</f>
        <v>3500000</v>
      </c>
      <c r="O78" s="545">
        <f t="shared" si="61"/>
        <v>3500000</v>
      </c>
      <c r="P78" s="545">
        <v>1200000</v>
      </c>
      <c r="Q78" s="545">
        <f t="shared" si="61"/>
        <v>3300000</v>
      </c>
      <c r="R78" s="545">
        <f t="shared" si="61"/>
        <v>1700000</v>
      </c>
      <c r="S78" s="545">
        <f t="shared" si="61"/>
        <v>1500000</v>
      </c>
      <c r="T78" s="545">
        <f t="shared" si="61"/>
        <v>52000</v>
      </c>
      <c r="U78" s="545">
        <f t="shared" si="61"/>
        <v>52000</v>
      </c>
      <c r="V78" s="545">
        <f t="shared" si="61"/>
        <v>0</v>
      </c>
      <c r="W78" s="545">
        <f t="shared" si="61"/>
        <v>0</v>
      </c>
      <c r="X78" s="545">
        <f t="shared" si="61"/>
        <v>0</v>
      </c>
      <c r="Y78" s="545">
        <f t="shared" si="61"/>
        <v>0</v>
      </c>
      <c r="Z78" s="545">
        <f t="shared" si="61"/>
        <v>0</v>
      </c>
      <c r="AA78" s="545">
        <f t="shared" si="61"/>
        <v>148000</v>
      </c>
      <c r="AB78" s="545">
        <f t="shared" si="61"/>
        <v>0</v>
      </c>
      <c r="AC78" s="545">
        <f t="shared" si="61"/>
        <v>0</v>
      </c>
      <c r="AD78" s="545">
        <f t="shared" si="61"/>
        <v>0</v>
      </c>
      <c r="AE78" s="545">
        <f t="shared" si="61"/>
        <v>148000</v>
      </c>
      <c r="AF78" s="545">
        <f t="shared" si="61"/>
        <v>0</v>
      </c>
      <c r="AG78" s="545">
        <f t="shared" si="61"/>
        <v>148000</v>
      </c>
      <c r="AH78" s="545">
        <f t="shared" si="61"/>
        <v>1552000</v>
      </c>
      <c r="AI78" s="545">
        <f t="shared" si="61"/>
        <v>0</v>
      </c>
      <c r="AJ78" s="545">
        <f t="shared" si="61"/>
        <v>0</v>
      </c>
      <c r="AK78" s="545">
        <f t="shared" si="61"/>
        <v>0</v>
      </c>
      <c r="AL78" s="545">
        <f t="shared" si="61"/>
        <v>0</v>
      </c>
      <c r="AM78" s="545">
        <f t="shared" si="61"/>
        <v>0</v>
      </c>
      <c r="AN78" s="545">
        <f t="shared" si="61"/>
        <v>0</v>
      </c>
      <c r="AO78" s="545">
        <f t="shared" si="61"/>
        <v>0</v>
      </c>
      <c r="AP78" s="545">
        <f t="shared" si="61"/>
        <v>0</v>
      </c>
      <c r="AQ78" s="545">
        <f>SUM(AQ79)</f>
        <v>0</v>
      </c>
      <c r="AR78" s="545">
        <f>SUM(AR79)</f>
        <v>148000</v>
      </c>
      <c r="AS78" s="390"/>
      <c r="AV78" s="392"/>
    </row>
    <row r="79" spans="1:48" s="391" customFormat="1" ht="92.1" customHeight="1" x14ac:dyDescent="0.4">
      <c r="A79" s="343"/>
      <c r="B79" s="838" t="s">
        <v>169</v>
      </c>
      <c r="C79" s="838" t="s">
        <v>169</v>
      </c>
      <c r="D79" s="838" t="s">
        <v>169</v>
      </c>
      <c r="E79" s="838" t="s">
        <v>172</v>
      </c>
      <c r="F79" s="838" t="s">
        <v>203</v>
      </c>
      <c r="G79" s="838" t="s">
        <v>193</v>
      </c>
      <c r="H79" s="344"/>
      <c r="I79" s="344"/>
      <c r="J79" s="110" t="s">
        <v>235</v>
      </c>
      <c r="K79" s="118"/>
      <c r="L79" s="118"/>
      <c r="M79" s="118"/>
      <c r="N79" s="76">
        <v>3500000</v>
      </c>
      <c r="O79" s="396">
        <v>3500000</v>
      </c>
      <c r="P79" s="76">
        <v>1500000</v>
      </c>
      <c r="Q79" s="76">
        <f>2300000+700000+200000+100000</f>
        <v>3300000</v>
      </c>
      <c r="R79" s="76">
        <f t="shared" si="51"/>
        <v>1700000</v>
      </c>
      <c r="S79" s="370">
        <v>1500000</v>
      </c>
      <c r="T79" s="370">
        <v>52000</v>
      </c>
      <c r="U79" s="371">
        <f>47500+4500</f>
        <v>52000</v>
      </c>
      <c r="V79" s="370">
        <f t="shared" si="52"/>
        <v>0</v>
      </c>
      <c r="W79" s="345"/>
      <c r="X79" s="345"/>
      <c r="Y79" s="372">
        <f t="shared" si="53"/>
        <v>0</v>
      </c>
      <c r="Z79" s="114"/>
      <c r="AA79" s="345">
        <f t="shared" si="54"/>
        <v>148000</v>
      </c>
      <c r="AB79" s="274"/>
      <c r="AC79" s="274"/>
      <c r="AD79" s="345"/>
      <c r="AE79" s="257">
        <f t="shared" si="56"/>
        <v>148000</v>
      </c>
      <c r="AF79" s="257"/>
      <c r="AG79" s="257">
        <f t="shared" si="57"/>
        <v>148000</v>
      </c>
      <c r="AH79" s="373">
        <f t="shared" si="58"/>
        <v>1552000</v>
      </c>
      <c r="AI79" s="879">
        <f t="shared" si="59"/>
        <v>0</v>
      </c>
      <c r="AJ79" s="346"/>
      <c r="AK79" s="347"/>
      <c r="AL79" s="348"/>
      <c r="AM79" s="349"/>
      <c r="AN79" s="117"/>
      <c r="AO79" s="374"/>
      <c r="AP79" s="351"/>
      <c r="AQ79" s="886"/>
      <c r="AR79" s="880">
        <v>148000</v>
      </c>
      <c r="AS79" s="536" t="s">
        <v>1705</v>
      </c>
      <c r="AT79" s="692" t="s">
        <v>1706</v>
      </c>
      <c r="AU79" s="535" t="s">
        <v>345</v>
      </c>
      <c r="AV79" s="536"/>
    </row>
    <row r="80" spans="1:48" s="391" customFormat="1" ht="66" customHeight="1" x14ac:dyDescent="0.5">
      <c r="A80" s="343" t="s">
        <v>29</v>
      </c>
      <c r="B80" s="541" t="s">
        <v>169</v>
      </c>
      <c r="C80" s="541" t="s">
        <v>169</v>
      </c>
      <c r="D80" s="541" t="s">
        <v>169</v>
      </c>
      <c r="E80" s="541" t="s">
        <v>172</v>
      </c>
      <c r="F80" s="541" t="s">
        <v>179</v>
      </c>
      <c r="G80" s="541"/>
      <c r="H80" s="542"/>
      <c r="I80" s="542"/>
      <c r="J80" s="543" t="s">
        <v>236</v>
      </c>
      <c r="K80" s="544"/>
      <c r="L80" s="544"/>
      <c r="M80" s="544"/>
      <c r="N80" s="545">
        <v>188043280</v>
      </c>
      <c r="O80" s="545">
        <v>188043280</v>
      </c>
      <c r="P80" s="916">
        <f>200000+1300000</f>
        <v>1500000</v>
      </c>
      <c r="Q80" s="545">
        <v>36500000</v>
      </c>
      <c r="R80" s="545">
        <f t="shared" si="51"/>
        <v>153043280</v>
      </c>
      <c r="S80" s="545">
        <v>1000000</v>
      </c>
      <c r="T80" s="545">
        <v>0</v>
      </c>
      <c r="U80" s="545"/>
      <c r="V80" s="545">
        <f t="shared" si="52"/>
        <v>0</v>
      </c>
      <c r="W80" s="545"/>
      <c r="X80" s="545">
        <v>138043280</v>
      </c>
      <c r="Y80" s="545">
        <f t="shared" si="53"/>
        <v>0</v>
      </c>
      <c r="Z80" s="545"/>
      <c r="AA80" s="545">
        <f t="shared" si="54"/>
        <v>14000000</v>
      </c>
      <c r="AB80" s="545">
        <v>14000000</v>
      </c>
      <c r="AC80" s="545">
        <v>14000000</v>
      </c>
      <c r="AD80" s="545">
        <f>SUM(AB80-AC80)</f>
        <v>0</v>
      </c>
      <c r="AE80" s="545">
        <f t="shared" si="56"/>
        <v>0</v>
      </c>
      <c r="AF80" s="545"/>
      <c r="AG80" s="545">
        <f t="shared" si="57"/>
        <v>0</v>
      </c>
      <c r="AH80" s="545">
        <f t="shared" si="58"/>
        <v>153043280</v>
      </c>
      <c r="AI80" s="545">
        <f t="shared" si="59"/>
        <v>1</v>
      </c>
      <c r="AJ80" s="545"/>
      <c r="AK80" s="545"/>
      <c r="AL80" s="545" t="e">
        <f>SUM(AE80-AF80-#REF!-#REF!)</f>
        <v>#REF!</v>
      </c>
      <c r="AM80" s="545">
        <f>SUM(R80-(AE80+Y80))/R80</f>
        <v>1</v>
      </c>
      <c r="AN80" s="545"/>
      <c r="AO80" s="545"/>
      <c r="AP80" s="545"/>
      <c r="AQ80" s="545"/>
      <c r="AR80" s="545"/>
      <c r="AS80" s="693">
        <v>61003211</v>
      </c>
      <c r="AT80" s="691">
        <f>X80-AS80</f>
        <v>77040069</v>
      </c>
      <c r="AU80" s="537"/>
      <c r="AV80" s="538"/>
    </row>
    <row r="81" spans="1:48" s="391" customFormat="1" ht="60.75" x14ac:dyDescent="0.5">
      <c r="A81" s="343"/>
      <c r="B81" s="541" t="s">
        <v>169</v>
      </c>
      <c r="C81" s="541" t="s">
        <v>169</v>
      </c>
      <c r="D81" s="541" t="s">
        <v>169</v>
      </c>
      <c r="E81" s="541" t="s">
        <v>172</v>
      </c>
      <c r="F81" s="541" t="s">
        <v>237</v>
      </c>
      <c r="G81" s="541"/>
      <c r="H81" s="542"/>
      <c r="I81" s="542"/>
      <c r="J81" s="543" t="s">
        <v>326</v>
      </c>
      <c r="K81" s="544"/>
      <c r="L81" s="544"/>
      <c r="M81" s="544"/>
      <c r="N81" s="545">
        <f t="shared" ref="N81:AR81" si="62">SUM(N82:N83)</f>
        <v>150150000</v>
      </c>
      <c r="O81" s="545">
        <f t="shared" si="62"/>
        <v>150150000</v>
      </c>
      <c r="P81" s="545">
        <f t="shared" si="62"/>
        <v>0</v>
      </c>
      <c r="Q81" s="545">
        <f t="shared" si="62"/>
        <v>0</v>
      </c>
      <c r="R81" s="545">
        <f t="shared" si="62"/>
        <v>150150000</v>
      </c>
      <c r="S81" s="545">
        <f t="shared" si="62"/>
        <v>0</v>
      </c>
      <c r="T81" s="545">
        <f t="shared" si="62"/>
        <v>0</v>
      </c>
      <c r="U81" s="545">
        <f t="shared" si="62"/>
        <v>0</v>
      </c>
      <c r="V81" s="545">
        <f t="shared" si="62"/>
        <v>0</v>
      </c>
      <c r="W81" s="545">
        <f t="shared" si="62"/>
        <v>150150000</v>
      </c>
      <c r="X81" s="545">
        <f t="shared" si="62"/>
        <v>0</v>
      </c>
      <c r="Y81" s="545">
        <f t="shared" si="62"/>
        <v>0</v>
      </c>
      <c r="Z81" s="545">
        <f t="shared" si="62"/>
        <v>0</v>
      </c>
      <c r="AA81" s="545">
        <f t="shared" si="62"/>
        <v>0</v>
      </c>
      <c r="AB81" s="545">
        <f t="shared" si="62"/>
        <v>0</v>
      </c>
      <c r="AC81" s="545">
        <f t="shared" si="62"/>
        <v>0</v>
      </c>
      <c r="AD81" s="545">
        <f t="shared" si="62"/>
        <v>0</v>
      </c>
      <c r="AE81" s="545">
        <f t="shared" si="62"/>
        <v>0</v>
      </c>
      <c r="AF81" s="545">
        <f t="shared" si="62"/>
        <v>0</v>
      </c>
      <c r="AG81" s="545">
        <f t="shared" si="62"/>
        <v>0</v>
      </c>
      <c r="AH81" s="545">
        <f t="shared" si="62"/>
        <v>150150000</v>
      </c>
      <c r="AI81" s="545" t="e">
        <f t="shared" si="62"/>
        <v>#DIV/0!</v>
      </c>
      <c r="AJ81" s="545">
        <f t="shared" si="62"/>
        <v>0</v>
      </c>
      <c r="AK81" s="545">
        <f t="shared" si="62"/>
        <v>0</v>
      </c>
      <c r="AL81" s="545" t="e">
        <f t="shared" si="62"/>
        <v>#REF!</v>
      </c>
      <c r="AM81" s="545">
        <f t="shared" si="62"/>
        <v>2</v>
      </c>
      <c r="AN81" s="545">
        <f t="shared" si="62"/>
        <v>0</v>
      </c>
      <c r="AO81" s="545">
        <f t="shared" si="62"/>
        <v>0</v>
      </c>
      <c r="AP81" s="545">
        <f t="shared" si="62"/>
        <v>0</v>
      </c>
      <c r="AQ81" s="545">
        <f t="shared" si="62"/>
        <v>0</v>
      </c>
      <c r="AR81" s="545">
        <f t="shared" si="62"/>
        <v>0</v>
      </c>
      <c r="AS81" s="1014">
        <v>132057201</v>
      </c>
      <c r="AT81" s="1016">
        <f>W82-AS81</f>
        <v>4442799</v>
      </c>
      <c r="AU81" s="537"/>
      <c r="AV81" s="538"/>
    </row>
    <row r="82" spans="1:48" s="391" customFormat="1" ht="81" x14ac:dyDescent="0.5">
      <c r="A82" s="343" t="s">
        <v>29</v>
      </c>
      <c r="B82" s="838" t="s">
        <v>169</v>
      </c>
      <c r="C82" s="838" t="s">
        <v>169</v>
      </c>
      <c r="D82" s="838" t="s">
        <v>169</v>
      </c>
      <c r="E82" s="838" t="s">
        <v>172</v>
      </c>
      <c r="F82" s="367" t="s">
        <v>237</v>
      </c>
      <c r="G82" s="838" t="s">
        <v>167</v>
      </c>
      <c r="H82" s="344"/>
      <c r="I82" s="344"/>
      <c r="J82" s="110" t="s">
        <v>238</v>
      </c>
      <c r="K82" s="118"/>
      <c r="L82" s="118"/>
      <c r="M82" s="118"/>
      <c r="N82" s="76">
        <v>136500000</v>
      </c>
      <c r="O82" s="396">
        <v>136500000</v>
      </c>
      <c r="P82" s="76"/>
      <c r="Q82" s="76"/>
      <c r="R82" s="76">
        <f t="shared" si="51"/>
        <v>136500000</v>
      </c>
      <c r="S82" s="370"/>
      <c r="T82" s="370"/>
      <c r="U82" s="370"/>
      <c r="V82" s="370">
        <f t="shared" si="52"/>
        <v>0</v>
      </c>
      <c r="W82" s="345">
        <v>136500000</v>
      </c>
      <c r="X82" s="345"/>
      <c r="Y82" s="372">
        <f t="shared" si="53"/>
        <v>0</v>
      </c>
      <c r="Z82" s="114"/>
      <c r="AA82" s="345">
        <f t="shared" si="54"/>
        <v>0</v>
      </c>
      <c r="AB82" s="274"/>
      <c r="AC82" s="274"/>
      <c r="AD82" s="345">
        <f>SUM(AB82-AC82)</f>
        <v>0</v>
      </c>
      <c r="AE82" s="257">
        <f t="shared" si="56"/>
        <v>0</v>
      </c>
      <c r="AF82" s="257"/>
      <c r="AG82" s="257">
        <f t="shared" si="57"/>
        <v>0</v>
      </c>
      <c r="AH82" s="373">
        <f t="shared" si="58"/>
        <v>136500000</v>
      </c>
      <c r="AI82" s="879" t="e">
        <f t="shared" si="59"/>
        <v>#DIV/0!</v>
      </c>
      <c r="AJ82" s="346"/>
      <c r="AK82" s="347"/>
      <c r="AL82" s="348" t="e">
        <f>SUM(AE82-AF82-#REF!-#REF!)</f>
        <v>#REF!</v>
      </c>
      <c r="AM82" s="349">
        <f>SUM(R82-(AE82+Y82))/R82</f>
        <v>1</v>
      </c>
      <c r="AN82" s="117"/>
      <c r="AO82" s="374"/>
      <c r="AP82" s="351"/>
      <c r="AQ82" s="886"/>
      <c r="AR82" s="880"/>
      <c r="AS82" s="1015"/>
      <c r="AT82" s="1017"/>
      <c r="AU82" s="830" t="s">
        <v>1918</v>
      </c>
      <c r="AV82" s="538" t="s">
        <v>344</v>
      </c>
    </row>
    <row r="83" spans="1:48" s="391" customFormat="1" ht="84.6" customHeight="1" x14ac:dyDescent="0.5">
      <c r="A83" s="343" t="s">
        <v>29</v>
      </c>
      <c r="B83" s="838" t="s">
        <v>169</v>
      </c>
      <c r="C83" s="838" t="s">
        <v>169</v>
      </c>
      <c r="D83" s="838" t="s">
        <v>169</v>
      </c>
      <c r="E83" s="838" t="s">
        <v>172</v>
      </c>
      <c r="F83" s="367" t="s">
        <v>237</v>
      </c>
      <c r="G83" s="838" t="s">
        <v>169</v>
      </c>
      <c r="H83" s="344"/>
      <c r="I83" s="344"/>
      <c r="J83" s="110" t="s">
        <v>239</v>
      </c>
      <c r="K83" s="118"/>
      <c r="L83" s="118"/>
      <c r="M83" s="118"/>
      <c r="N83" s="76">
        <v>13650000</v>
      </c>
      <c r="O83" s="396">
        <v>13650000</v>
      </c>
      <c r="P83" s="76"/>
      <c r="Q83" s="76"/>
      <c r="R83" s="76">
        <f t="shared" si="51"/>
        <v>13650000</v>
      </c>
      <c r="S83" s="370"/>
      <c r="T83" s="370"/>
      <c r="U83" s="370"/>
      <c r="V83" s="370">
        <f t="shared" si="52"/>
        <v>0</v>
      </c>
      <c r="W83" s="345">
        <v>13650000</v>
      </c>
      <c r="X83" s="345">
        <v>0</v>
      </c>
      <c r="Y83" s="372">
        <f t="shared" si="53"/>
        <v>0</v>
      </c>
      <c r="Z83" s="114"/>
      <c r="AA83" s="345">
        <f t="shared" si="54"/>
        <v>0</v>
      </c>
      <c r="AB83" s="274"/>
      <c r="AC83" s="274"/>
      <c r="AD83" s="345">
        <f>SUM(AB83-AC83)</f>
        <v>0</v>
      </c>
      <c r="AE83" s="257">
        <f t="shared" si="56"/>
        <v>0</v>
      </c>
      <c r="AF83" s="257"/>
      <c r="AG83" s="257">
        <f t="shared" si="57"/>
        <v>0</v>
      </c>
      <c r="AH83" s="373">
        <f t="shared" si="58"/>
        <v>13650000</v>
      </c>
      <c r="AI83" s="879" t="e">
        <f t="shared" si="59"/>
        <v>#DIV/0!</v>
      </c>
      <c r="AJ83" s="346"/>
      <c r="AK83" s="347"/>
      <c r="AL83" s="348" t="e">
        <f>SUM(AE83-AF83-#REF!-#REF!)</f>
        <v>#REF!</v>
      </c>
      <c r="AM83" s="349">
        <f>SUM(R83-(AE83+Y83))/R83</f>
        <v>1</v>
      </c>
      <c r="AN83" s="117"/>
      <c r="AO83" s="374"/>
      <c r="AP83" s="351"/>
      <c r="AQ83" s="886"/>
      <c r="AR83" s="880"/>
      <c r="AS83" s="492">
        <v>6918695</v>
      </c>
      <c r="AT83" s="680">
        <f>W83-AS83</f>
        <v>6731305</v>
      </c>
      <c r="AU83" s="537" t="s">
        <v>1917</v>
      </c>
      <c r="AV83" s="538" t="s">
        <v>346</v>
      </c>
    </row>
    <row r="84" spans="1:48" s="368" customFormat="1" ht="105" customHeight="1" x14ac:dyDescent="0.45">
      <c r="A84" s="366"/>
      <c r="B84" s="591" t="s">
        <v>169</v>
      </c>
      <c r="C84" s="591" t="s">
        <v>169</v>
      </c>
      <c r="D84" s="591" t="s">
        <v>169</v>
      </c>
      <c r="E84" s="591" t="s">
        <v>203</v>
      </c>
      <c r="F84" s="591"/>
      <c r="G84" s="591"/>
      <c r="H84" s="592"/>
      <c r="I84" s="592"/>
      <c r="J84" s="593" t="s">
        <v>240</v>
      </c>
      <c r="K84" s="594"/>
      <c r="L84" s="594"/>
      <c r="M84" s="594"/>
      <c r="N84" s="595">
        <f>SUM(N85+N88)</f>
        <v>22000000</v>
      </c>
      <c r="O84" s="595">
        <f t="shared" ref="O84:AR84" si="63">SUM(O85+O88)</f>
        <v>22000000</v>
      </c>
      <c r="P84" s="595">
        <f t="shared" si="63"/>
        <v>32270220</v>
      </c>
      <c r="Q84" s="595">
        <f t="shared" si="63"/>
        <v>7078046</v>
      </c>
      <c r="R84" s="595">
        <f t="shared" si="63"/>
        <v>47192174</v>
      </c>
      <c r="S84" s="595">
        <f t="shared" si="63"/>
        <v>500000</v>
      </c>
      <c r="T84" s="595">
        <f t="shared" si="63"/>
        <v>0</v>
      </c>
      <c r="U84" s="595">
        <f t="shared" si="63"/>
        <v>0</v>
      </c>
      <c r="V84" s="595">
        <f t="shared" si="63"/>
        <v>0</v>
      </c>
      <c r="W84" s="595">
        <f t="shared" si="63"/>
        <v>5193412</v>
      </c>
      <c r="X84" s="595">
        <f t="shared" si="63"/>
        <v>0</v>
      </c>
      <c r="Y84" s="595">
        <f t="shared" si="63"/>
        <v>0</v>
      </c>
      <c r="Z84" s="595">
        <f t="shared" si="63"/>
        <v>18076840</v>
      </c>
      <c r="AA84" s="595">
        <f t="shared" si="63"/>
        <v>23421922</v>
      </c>
      <c r="AB84" s="595">
        <f t="shared" si="63"/>
        <v>33000000</v>
      </c>
      <c r="AC84" s="595">
        <f t="shared" si="63"/>
        <v>23421922</v>
      </c>
      <c r="AD84" s="595">
        <f t="shared" si="63"/>
        <v>9578078</v>
      </c>
      <c r="AE84" s="595">
        <f t="shared" si="63"/>
        <v>0</v>
      </c>
      <c r="AF84" s="595">
        <f t="shared" si="63"/>
        <v>0</v>
      </c>
      <c r="AG84" s="595">
        <f t="shared" si="63"/>
        <v>0</v>
      </c>
      <c r="AH84" s="595">
        <f t="shared" si="63"/>
        <v>47192174</v>
      </c>
      <c r="AI84" s="595" t="e">
        <f t="shared" si="63"/>
        <v>#DIV/0!</v>
      </c>
      <c r="AJ84" s="595">
        <f t="shared" si="63"/>
        <v>0</v>
      </c>
      <c r="AK84" s="595">
        <f t="shared" si="63"/>
        <v>0</v>
      </c>
      <c r="AL84" s="595" t="e">
        <f t="shared" si="63"/>
        <v>#REF!</v>
      </c>
      <c r="AM84" s="595">
        <f t="shared" si="63"/>
        <v>3</v>
      </c>
      <c r="AN84" s="595">
        <f t="shared" si="63"/>
        <v>0</v>
      </c>
      <c r="AO84" s="595">
        <f t="shared" si="63"/>
        <v>0</v>
      </c>
      <c r="AP84" s="595">
        <f t="shared" si="63"/>
        <v>0</v>
      </c>
      <c r="AQ84" s="595">
        <f t="shared" si="63"/>
        <v>0</v>
      </c>
      <c r="AR84" s="595">
        <f t="shared" si="63"/>
        <v>0</v>
      </c>
      <c r="AS84" s="845">
        <f>AR84-AQ84</f>
        <v>0</v>
      </c>
      <c r="AT84" s="533"/>
      <c r="AU84" s="534"/>
      <c r="AV84" s="369"/>
    </row>
    <row r="85" spans="1:48" s="368" customFormat="1" ht="105" customHeight="1" x14ac:dyDescent="0.45">
      <c r="A85" s="366"/>
      <c r="B85" s="541" t="s">
        <v>169</v>
      </c>
      <c r="C85" s="541" t="s">
        <v>169</v>
      </c>
      <c r="D85" s="541" t="s">
        <v>169</v>
      </c>
      <c r="E85" s="541" t="s">
        <v>203</v>
      </c>
      <c r="F85" s="541" t="s">
        <v>171</v>
      </c>
      <c r="G85" s="541"/>
      <c r="H85" s="542"/>
      <c r="I85" s="542"/>
      <c r="J85" s="543" t="s">
        <v>327</v>
      </c>
      <c r="K85" s="544"/>
      <c r="L85" s="544"/>
      <c r="M85" s="544"/>
      <c r="N85" s="545">
        <f>SUM(N86:N87)</f>
        <v>12000000</v>
      </c>
      <c r="O85" s="545">
        <f t="shared" ref="O85:AR85" si="64">SUM(O86:O87)</f>
        <v>12000000</v>
      </c>
      <c r="P85" s="545">
        <f t="shared" si="64"/>
        <v>32270220</v>
      </c>
      <c r="Q85" s="545">
        <f t="shared" si="64"/>
        <v>2771458</v>
      </c>
      <c r="R85" s="545">
        <f t="shared" si="64"/>
        <v>41498762</v>
      </c>
      <c r="S85" s="545">
        <f t="shared" si="64"/>
        <v>0</v>
      </c>
      <c r="T85" s="545">
        <f t="shared" si="64"/>
        <v>0</v>
      </c>
      <c r="U85" s="545">
        <f t="shared" si="64"/>
        <v>0</v>
      </c>
      <c r="V85" s="545">
        <f t="shared" si="64"/>
        <v>0</v>
      </c>
      <c r="W85" s="545">
        <f t="shared" si="64"/>
        <v>0</v>
      </c>
      <c r="X85" s="545">
        <f t="shared" si="64"/>
        <v>0</v>
      </c>
      <c r="Y85" s="545">
        <f t="shared" si="64"/>
        <v>0</v>
      </c>
      <c r="Z85" s="545">
        <f t="shared" si="64"/>
        <v>18076840</v>
      </c>
      <c r="AA85" s="545">
        <f t="shared" si="64"/>
        <v>23421922</v>
      </c>
      <c r="AB85" s="545">
        <f t="shared" si="64"/>
        <v>33000000</v>
      </c>
      <c r="AC85" s="545">
        <f t="shared" si="64"/>
        <v>23421922</v>
      </c>
      <c r="AD85" s="545">
        <f t="shared" si="64"/>
        <v>9578078</v>
      </c>
      <c r="AE85" s="545">
        <f t="shared" si="64"/>
        <v>0</v>
      </c>
      <c r="AF85" s="545">
        <f t="shared" si="64"/>
        <v>0</v>
      </c>
      <c r="AG85" s="545">
        <f t="shared" si="64"/>
        <v>0</v>
      </c>
      <c r="AH85" s="545">
        <f t="shared" si="64"/>
        <v>41498762</v>
      </c>
      <c r="AI85" s="545">
        <f t="shared" si="64"/>
        <v>2</v>
      </c>
      <c r="AJ85" s="545">
        <f t="shared" si="64"/>
        <v>0</v>
      </c>
      <c r="AK85" s="545">
        <f t="shared" si="64"/>
        <v>0</v>
      </c>
      <c r="AL85" s="545" t="e">
        <f t="shared" si="64"/>
        <v>#REF!</v>
      </c>
      <c r="AM85" s="545">
        <f t="shared" si="64"/>
        <v>2</v>
      </c>
      <c r="AN85" s="545">
        <f t="shared" si="64"/>
        <v>0</v>
      </c>
      <c r="AO85" s="545">
        <f t="shared" si="64"/>
        <v>0</v>
      </c>
      <c r="AP85" s="545">
        <f t="shared" si="64"/>
        <v>0</v>
      </c>
      <c r="AQ85" s="545">
        <f t="shared" si="64"/>
        <v>0</v>
      </c>
      <c r="AR85" s="545">
        <f t="shared" si="64"/>
        <v>0</v>
      </c>
      <c r="AS85" s="398"/>
      <c r="AT85" s="533"/>
      <c r="AU85" s="534"/>
      <c r="AV85" s="369"/>
    </row>
    <row r="86" spans="1:48" s="391" customFormat="1" ht="110.1" customHeight="1" x14ac:dyDescent="0.5">
      <c r="A86" s="343" t="s">
        <v>29</v>
      </c>
      <c r="B86" s="838" t="s">
        <v>169</v>
      </c>
      <c r="C86" s="838" t="s">
        <v>169</v>
      </c>
      <c r="D86" s="838" t="s">
        <v>169</v>
      </c>
      <c r="E86" s="838" t="s">
        <v>203</v>
      </c>
      <c r="F86" s="838" t="s">
        <v>171</v>
      </c>
      <c r="G86" s="838" t="s">
        <v>205</v>
      </c>
      <c r="H86" s="344" t="s">
        <v>241</v>
      </c>
      <c r="I86" s="344" t="s">
        <v>226</v>
      </c>
      <c r="J86" s="110" t="s">
        <v>90</v>
      </c>
      <c r="K86" s="118"/>
      <c r="L86" s="118"/>
      <c r="M86" s="118"/>
      <c r="N86" s="76">
        <v>5000000</v>
      </c>
      <c r="O86" s="76">
        <v>5000000</v>
      </c>
      <c r="P86" s="969">
        <f>20000000+7695874+606775+2000000+200000+767571</f>
        <v>31270220</v>
      </c>
      <c r="Q86" s="76"/>
      <c r="R86" s="76">
        <f>SUM(O86+P86-Q86)</f>
        <v>36270220</v>
      </c>
      <c r="S86" s="370"/>
      <c r="T86" s="370"/>
      <c r="U86" s="370"/>
      <c r="V86" s="370">
        <f>SUM(T86-U86)</f>
        <v>0</v>
      </c>
      <c r="W86" s="345"/>
      <c r="X86" s="345"/>
      <c r="Y86" s="372">
        <f>SUM(V86)</f>
        <v>0</v>
      </c>
      <c r="Z86" s="970">
        <f>7695874+606775+9774191</f>
        <v>18076840</v>
      </c>
      <c r="AA86" s="345">
        <f>SUM(R86-S86-U86-W86-X86-Y86-Z86)</f>
        <v>18193380</v>
      </c>
      <c r="AB86" s="274">
        <v>25000000</v>
      </c>
      <c r="AC86" s="274">
        <v>18193380</v>
      </c>
      <c r="AD86" s="345">
        <f>SUM(AB86-AC86)</f>
        <v>6806620</v>
      </c>
      <c r="AE86" s="257">
        <f>SUM(AA86-AC86)</f>
        <v>0</v>
      </c>
      <c r="AF86" s="257"/>
      <c r="AG86" s="257">
        <f>SUM(AE86-AF86)</f>
        <v>0</v>
      </c>
      <c r="AH86" s="373">
        <f>SUM(S86+U86+W86+Z86+X86+AC86)</f>
        <v>36270220</v>
      </c>
      <c r="AI86" s="879">
        <f>AC86/(AC86+AF86+AG86)</f>
        <v>1</v>
      </c>
      <c r="AJ86" s="346"/>
      <c r="AK86" s="347"/>
      <c r="AL86" s="348" t="e">
        <f>SUM(AE86-AF86-#REF!-#REF!)</f>
        <v>#REF!</v>
      </c>
      <c r="AM86" s="349">
        <f>SUM(R86-(AE86+Y86))/R86</f>
        <v>1</v>
      </c>
      <c r="AN86" s="117"/>
      <c r="AO86" s="374"/>
      <c r="AP86" s="505"/>
      <c r="AQ86" s="886"/>
      <c r="AR86" s="880"/>
      <c r="AS86" s="397"/>
      <c r="AT86" s="532"/>
      <c r="AU86" s="532"/>
      <c r="AV86" s="392"/>
    </row>
    <row r="87" spans="1:48" s="391" customFormat="1" ht="108.6" customHeight="1" x14ac:dyDescent="0.5">
      <c r="A87" s="343" t="s">
        <v>29</v>
      </c>
      <c r="B87" s="838" t="s">
        <v>169</v>
      </c>
      <c r="C87" s="838" t="s">
        <v>169</v>
      </c>
      <c r="D87" s="838" t="s">
        <v>169</v>
      </c>
      <c r="E87" s="838" t="s">
        <v>203</v>
      </c>
      <c r="F87" s="838" t="s">
        <v>171</v>
      </c>
      <c r="G87" s="838" t="s">
        <v>205</v>
      </c>
      <c r="H87" s="344" t="s">
        <v>241</v>
      </c>
      <c r="I87" s="344" t="s">
        <v>242</v>
      </c>
      <c r="J87" s="110" t="s">
        <v>79</v>
      </c>
      <c r="K87" s="118"/>
      <c r="L87" s="118"/>
      <c r="M87" s="118"/>
      <c r="N87" s="76">
        <v>7000000</v>
      </c>
      <c r="O87" s="76">
        <v>7000000</v>
      </c>
      <c r="P87" s="76">
        <v>1000000</v>
      </c>
      <c r="Q87" s="968">
        <f>2606775+153359+11324</f>
        <v>2771458</v>
      </c>
      <c r="R87" s="76">
        <f>SUM(O87+P87-Q87)</f>
        <v>5228542</v>
      </c>
      <c r="S87" s="370"/>
      <c r="T87" s="370"/>
      <c r="U87" s="370"/>
      <c r="V87" s="370">
        <f>SUM(T87-U87)</f>
        <v>0</v>
      </c>
      <c r="W87" s="345"/>
      <c r="X87" s="345"/>
      <c r="Y87" s="372">
        <f>SUM(V87)</f>
        <v>0</v>
      </c>
      <c r="Z87" s="257"/>
      <c r="AA87" s="345">
        <f>SUM(R87-S87-U87-W87-X87-Y87-Z87)</f>
        <v>5228542</v>
      </c>
      <c r="AB87" s="274">
        <v>8000000</v>
      </c>
      <c r="AC87" s="274">
        <v>5228542</v>
      </c>
      <c r="AD87" s="345">
        <f>SUM(AB87-AC87)</f>
        <v>2771458</v>
      </c>
      <c r="AE87" s="257">
        <f>SUM(AA87-AC87)</f>
        <v>0</v>
      </c>
      <c r="AF87" s="257"/>
      <c r="AG87" s="257">
        <f>SUM(AE87-AF87)</f>
        <v>0</v>
      </c>
      <c r="AH87" s="373">
        <f>SUM(S87+U87+W87+Z87+X87+AC87)</f>
        <v>5228542</v>
      </c>
      <c r="AI87" s="879">
        <f>AC87/(AC87+AF87+AG87)</f>
        <v>1</v>
      </c>
      <c r="AJ87" s="346"/>
      <c r="AK87" s="347"/>
      <c r="AL87" s="348" t="e">
        <f>SUM(AE87-AF87-#REF!-#REF!)</f>
        <v>#REF!</v>
      </c>
      <c r="AM87" s="349">
        <f>SUM(R87-(AE87+Y87))/R87</f>
        <v>1</v>
      </c>
      <c r="AN87" s="117"/>
      <c r="AO87" s="374"/>
      <c r="AP87" s="505"/>
      <c r="AQ87" s="886"/>
      <c r="AR87" s="880"/>
      <c r="AS87" s="397"/>
      <c r="AT87" s="532"/>
      <c r="AU87" s="532"/>
      <c r="AV87" s="392"/>
    </row>
    <row r="88" spans="1:48" s="391" customFormat="1" ht="108.6" customHeight="1" x14ac:dyDescent="0.5">
      <c r="A88" s="343"/>
      <c r="B88" s="541" t="s">
        <v>169</v>
      </c>
      <c r="C88" s="541" t="s">
        <v>169</v>
      </c>
      <c r="D88" s="541" t="s">
        <v>169</v>
      </c>
      <c r="E88" s="541" t="s">
        <v>203</v>
      </c>
      <c r="F88" s="541" t="s">
        <v>208</v>
      </c>
      <c r="G88" s="541"/>
      <c r="H88" s="542"/>
      <c r="I88" s="542"/>
      <c r="J88" s="543" t="s">
        <v>328</v>
      </c>
      <c r="K88" s="544"/>
      <c r="L88" s="544"/>
      <c r="M88" s="544"/>
      <c r="N88" s="545">
        <f>SUM(N89)</f>
        <v>10000000</v>
      </c>
      <c r="O88" s="545">
        <f t="shared" ref="O88:AR88" si="65">SUM(O89)</f>
        <v>10000000</v>
      </c>
      <c r="P88" s="545">
        <f t="shared" si="65"/>
        <v>0</v>
      </c>
      <c r="Q88" s="545">
        <f t="shared" si="65"/>
        <v>4306588</v>
      </c>
      <c r="R88" s="545">
        <f t="shared" si="65"/>
        <v>5693412</v>
      </c>
      <c r="S88" s="545">
        <f t="shared" si="65"/>
        <v>500000</v>
      </c>
      <c r="T88" s="545">
        <f t="shared" si="65"/>
        <v>0</v>
      </c>
      <c r="U88" s="545">
        <f t="shared" si="65"/>
        <v>0</v>
      </c>
      <c r="V88" s="545">
        <f t="shared" si="65"/>
        <v>0</v>
      </c>
      <c r="W88" s="545">
        <f t="shared" si="65"/>
        <v>5193412</v>
      </c>
      <c r="X88" s="545">
        <f t="shared" si="65"/>
        <v>0</v>
      </c>
      <c r="Y88" s="545">
        <f t="shared" si="65"/>
        <v>0</v>
      </c>
      <c r="Z88" s="545">
        <f t="shared" si="65"/>
        <v>0</v>
      </c>
      <c r="AA88" s="545">
        <f t="shared" si="65"/>
        <v>0</v>
      </c>
      <c r="AB88" s="545">
        <f t="shared" si="65"/>
        <v>0</v>
      </c>
      <c r="AC88" s="545">
        <f t="shared" si="65"/>
        <v>0</v>
      </c>
      <c r="AD88" s="545">
        <f t="shared" si="65"/>
        <v>0</v>
      </c>
      <c r="AE88" s="545">
        <f t="shared" si="65"/>
        <v>0</v>
      </c>
      <c r="AF88" s="545">
        <f t="shared" si="65"/>
        <v>0</v>
      </c>
      <c r="AG88" s="545">
        <f t="shared" si="65"/>
        <v>0</v>
      </c>
      <c r="AH88" s="545">
        <f t="shared" si="65"/>
        <v>5693412</v>
      </c>
      <c r="AI88" s="545" t="e">
        <f t="shared" si="65"/>
        <v>#DIV/0!</v>
      </c>
      <c r="AJ88" s="545">
        <f t="shared" si="65"/>
        <v>0</v>
      </c>
      <c r="AK88" s="545">
        <f t="shared" si="65"/>
        <v>0</v>
      </c>
      <c r="AL88" s="545" t="e">
        <f t="shared" si="65"/>
        <v>#REF!</v>
      </c>
      <c r="AM88" s="545">
        <f t="shared" si="65"/>
        <v>1</v>
      </c>
      <c r="AN88" s="545">
        <f t="shared" si="65"/>
        <v>0</v>
      </c>
      <c r="AO88" s="545">
        <f t="shared" si="65"/>
        <v>0</v>
      </c>
      <c r="AP88" s="545">
        <f t="shared" si="65"/>
        <v>0</v>
      </c>
      <c r="AQ88" s="545">
        <f t="shared" si="65"/>
        <v>0</v>
      </c>
      <c r="AR88" s="545">
        <f t="shared" si="65"/>
        <v>0</v>
      </c>
      <c r="AS88" s="397"/>
      <c r="AT88" s="532"/>
      <c r="AU88" s="532"/>
      <c r="AV88" s="392"/>
    </row>
    <row r="89" spans="1:48" s="391" customFormat="1" ht="146.1" customHeight="1" x14ac:dyDescent="0.45">
      <c r="A89" s="343" t="s">
        <v>29</v>
      </c>
      <c r="B89" s="838" t="s">
        <v>169</v>
      </c>
      <c r="C89" s="838" t="s">
        <v>169</v>
      </c>
      <c r="D89" s="838" t="s">
        <v>169</v>
      </c>
      <c r="E89" s="838" t="s">
        <v>203</v>
      </c>
      <c r="F89" s="838" t="s">
        <v>208</v>
      </c>
      <c r="G89" s="838" t="s">
        <v>167</v>
      </c>
      <c r="H89" s="344" t="s">
        <v>182</v>
      </c>
      <c r="I89" s="344"/>
      <c r="J89" s="110" t="s">
        <v>243</v>
      </c>
      <c r="K89" s="118"/>
      <c r="L89" s="118"/>
      <c r="M89" s="118"/>
      <c r="N89" s="76">
        <v>10000000</v>
      </c>
      <c r="O89" s="396">
        <v>10000000</v>
      </c>
      <c r="P89" s="76"/>
      <c r="Q89" s="969">
        <f>4106588+200000</f>
        <v>4306588</v>
      </c>
      <c r="R89" s="76">
        <f>SUM(O89+P89-Q89)</f>
        <v>5693412</v>
      </c>
      <c r="S89" s="370">
        <v>500000</v>
      </c>
      <c r="T89" s="370"/>
      <c r="U89" s="370"/>
      <c r="V89" s="370">
        <f>SUM(T89-U89)</f>
        <v>0</v>
      </c>
      <c r="W89" s="631">
        <v>5193412</v>
      </c>
      <c r="X89" s="345"/>
      <c r="Y89" s="372">
        <f>SUM(V89)</f>
        <v>0</v>
      </c>
      <c r="Z89" s="114"/>
      <c r="AA89" s="345">
        <f>SUM(R89-S89-U89-W89-X89-Y89-Z89)</f>
        <v>0</v>
      </c>
      <c r="AB89" s="274"/>
      <c r="AC89" s="274"/>
      <c r="AD89" s="345">
        <f>SUM(AB89-AC89)</f>
        <v>0</v>
      </c>
      <c r="AE89" s="257">
        <f>SUM(AA89-AC89)</f>
        <v>0</v>
      </c>
      <c r="AF89" s="257"/>
      <c r="AG89" s="257">
        <f>SUM(AE89-AF89)</f>
        <v>0</v>
      </c>
      <c r="AH89" s="373">
        <f>SUM(S89+U89+W89+Z89+X89+AC89)</f>
        <v>5693412</v>
      </c>
      <c r="AI89" s="879" t="e">
        <f>AC89/(AC89+AF89+AG89)</f>
        <v>#DIV/0!</v>
      </c>
      <c r="AJ89" s="346"/>
      <c r="AK89" s="347"/>
      <c r="AL89" s="348" t="e">
        <f>SUM(AE89-AF89-#REF!-#REF!)</f>
        <v>#REF!</v>
      </c>
      <c r="AM89" s="349">
        <f>SUM(R89-(AE89+Y89))/R89</f>
        <v>1</v>
      </c>
      <c r="AN89" s="117"/>
      <c r="AO89" s="374"/>
      <c r="AP89" s="351"/>
      <c r="AQ89" s="886"/>
      <c r="AR89" s="880"/>
      <c r="AS89" s="492">
        <v>5693412</v>
      </c>
      <c r="AT89" s="680">
        <f>SUM(AH89-AS89)</f>
        <v>0</v>
      </c>
      <c r="AU89" s="532" t="s">
        <v>1919</v>
      </c>
      <c r="AV89" s="392"/>
    </row>
    <row r="90" spans="1:48" s="368" customFormat="1" ht="87.95" customHeight="1" x14ac:dyDescent="0.35">
      <c r="A90" s="366"/>
      <c r="B90" s="591" t="s">
        <v>169</v>
      </c>
      <c r="C90" s="591" t="s">
        <v>169</v>
      </c>
      <c r="D90" s="591" t="s">
        <v>169</v>
      </c>
      <c r="E90" s="591" t="s">
        <v>179</v>
      </c>
      <c r="F90" s="591"/>
      <c r="G90" s="591"/>
      <c r="H90" s="592"/>
      <c r="I90" s="592"/>
      <c r="J90" s="593" t="s">
        <v>244</v>
      </c>
      <c r="K90" s="594"/>
      <c r="L90" s="594"/>
      <c r="M90" s="594"/>
      <c r="N90" s="596">
        <f>SUM(N91+N93+N97+N100+N104+N111)</f>
        <v>1848162661</v>
      </c>
      <c r="O90" s="596">
        <f>SUM(O91+O93+O97+O100+O104+O111)</f>
        <v>1848162661</v>
      </c>
      <c r="P90" s="596">
        <f t="shared" ref="P90:AR90" si="66">SUM(P91+P93+P97+P100+P104+P111)</f>
        <v>358871411.72999996</v>
      </c>
      <c r="Q90" s="596">
        <f t="shared" si="66"/>
        <v>283448127.38999999</v>
      </c>
      <c r="R90" s="596">
        <f t="shared" si="66"/>
        <v>1923585945.3399999</v>
      </c>
      <c r="S90" s="596">
        <f t="shared" si="66"/>
        <v>4000000</v>
      </c>
      <c r="T90" s="596">
        <f t="shared" si="66"/>
        <v>2728338.77</v>
      </c>
      <c r="U90" s="596">
        <f t="shared" si="66"/>
        <v>2728338.77</v>
      </c>
      <c r="V90" s="596">
        <f t="shared" si="66"/>
        <v>0</v>
      </c>
      <c r="W90" s="596">
        <f t="shared" si="66"/>
        <v>105000000</v>
      </c>
      <c r="X90" s="596">
        <f t="shared" si="66"/>
        <v>963001261.44000006</v>
      </c>
      <c r="Y90" s="596">
        <f t="shared" si="66"/>
        <v>0</v>
      </c>
      <c r="Z90" s="596">
        <f t="shared" si="66"/>
        <v>264684322.03000003</v>
      </c>
      <c r="AA90" s="596">
        <f t="shared" si="66"/>
        <v>584172023.0999999</v>
      </c>
      <c r="AB90" s="596">
        <f t="shared" si="66"/>
        <v>716232260</v>
      </c>
      <c r="AC90" s="596">
        <f t="shared" si="66"/>
        <v>552843160.83000004</v>
      </c>
      <c r="AD90" s="596">
        <f t="shared" si="66"/>
        <v>163389099.17000002</v>
      </c>
      <c r="AE90" s="596">
        <f t="shared" si="66"/>
        <v>31328862.27</v>
      </c>
      <c r="AF90" s="596">
        <f t="shared" si="66"/>
        <v>21000000</v>
      </c>
      <c r="AG90" s="596">
        <f t="shared" si="66"/>
        <v>10328862.27</v>
      </c>
      <c r="AH90" s="596">
        <f t="shared" si="66"/>
        <v>1892257083.0699999</v>
      </c>
      <c r="AI90" s="596" t="e">
        <f t="shared" si="66"/>
        <v>#DIV/0!</v>
      </c>
      <c r="AJ90" s="596">
        <f t="shared" si="66"/>
        <v>0</v>
      </c>
      <c r="AK90" s="596">
        <f t="shared" si="66"/>
        <v>0</v>
      </c>
      <c r="AL90" s="596" t="e">
        <f t="shared" si="66"/>
        <v>#REF!</v>
      </c>
      <c r="AM90" s="596" t="e">
        <f t="shared" si="66"/>
        <v>#DIV/0!</v>
      </c>
      <c r="AN90" s="596">
        <f t="shared" si="66"/>
        <v>0</v>
      </c>
      <c r="AO90" s="596">
        <f t="shared" si="66"/>
        <v>0</v>
      </c>
      <c r="AP90" s="596">
        <f t="shared" si="66"/>
        <v>0</v>
      </c>
      <c r="AQ90" s="596">
        <f t="shared" si="66"/>
        <v>0</v>
      </c>
      <c r="AR90" s="596">
        <f t="shared" si="66"/>
        <v>10328862.27</v>
      </c>
      <c r="AS90" s="844">
        <f>AR90-AQ90</f>
        <v>10328862.27</v>
      </c>
      <c r="AV90" s="369"/>
    </row>
    <row r="91" spans="1:48" s="368" customFormat="1" ht="87.95" customHeight="1" x14ac:dyDescent="0.35">
      <c r="A91" s="366"/>
      <c r="B91" s="541" t="s">
        <v>169</v>
      </c>
      <c r="C91" s="541" t="s">
        <v>169</v>
      </c>
      <c r="D91" s="541" t="s">
        <v>169</v>
      </c>
      <c r="E91" s="541" t="s">
        <v>179</v>
      </c>
      <c r="F91" s="541" t="s">
        <v>208</v>
      </c>
      <c r="G91" s="541"/>
      <c r="H91" s="542"/>
      <c r="I91" s="542"/>
      <c r="J91" s="543" t="s">
        <v>329</v>
      </c>
      <c r="K91" s="544"/>
      <c r="L91" s="544"/>
      <c r="M91" s="544"/>
      <c r="N91" s="556">
        <f>SUM(N92)</f>
        <v>39305720</v>
      </c>
      <c r="O91" s="556">
        <f t="shared" ref="O91:AR91" si="67">SUM(O92)</f>
        <v>39305720</v>
      </c>
      <c r="P91" s="556">
        <f t="shared" si="67"/>
        <v>0</v>
      </c>
      <c r="Q91" s="556">
        <f t="shared" si="67"/>
        <v>20000000</v>
      </c>
      <c r="R91" s="556">
        <f t="shared" si="67"/>
        <v>19305720</v>
      </c>
      <c r="S91" s="556">
        <f t="shared" si="67"/>
        <v>0</v>
      </c>
      <c r="T91" s="556">
        <f t="shared" si="67"/>
        <v>0</v>
      </c>
      <c r="U91" s="556">
        <f t="shared" si="67"/>
        <v>0</v>
      </c>
      <c r="V91" s="556">
        <f t="shared" si="67"/>
        <v>0</v>
      </c>
      <c r="W91" s="556">
        <f t="shared" si="67"/>
        <v>0</v>
      </c>
      <c r="X91" s="556">
        <f t="shared" si="67"/>
        <v>19305720</v>
      </c>
      <c r="Y91" s="556">
        <f t="shared" si="67"/>
        <v>0</v>
      </c>
      <c r="Z91" s="556">
        <f t="shared" si="67"/>
        <v>0</v>
      </c>
      <c r="AA91" s="556">
        <f t="shared" si="67"/>
        <v>0</v>
      </c>
      <c r="AB91" s="556">
        <f t="shared" si="67"/>
        <v>0</v>
      </c>
      <c r="AC91" s="556">
        <f t="shared" si="67"/>
        <v>0</v>
      </c>
      <c r="AD91" s="556">
        <f t="shared" si="67"/>
        <v>0</v>
      </c>
      <c r="AE91" s="556">
        <f t="shared" si="67"/>
        <v>0</v>
      </c>
      <c r="AF91" s="556">
        <f t="shared" si="67"/>
        <v>0</v>
      </c>
      <c r="AG91" s="556">
        <f t="shared" si="67"/>
        <v>0</v>
      </c>
      <c r="AH91" s="556">
        <f t="shared" si="67"/>
        <v>19305720</v>
      </c>
      <c r="AI91" s="556" t="e">
        <f t="shared" si="67"/>
        <v>#DIV/0!</v>
      </c>
      <c r="AJ91" s="556">
        <f t="shared" si="67"/>
        <v>0</v>
      </c>
      <c r="AK91" s="556">
        <f t="shared" si="67"/>
        <v>0</v>
      </c>
      <c r="AL91" s="556" t="e">
        <f t="shared" si="67"/>
        <v>#REF!</v>
      </c>
      <c r="AM91" s="556">
        <f t="shared" si="67"/>
        <v>1</v>
      </c>
      <c r="AN91" s="556">
        <f t="shared" si="67"/>
        <v>0</v>
      </c>
      <c r="AO91" s="556">
        <f t="shared" si="67"/>
        <v>0</v>
      </c>
      <c r="AP91" s="556">
        <f t="shared" si="67"/>
        <v>0</v>
      </c>
      <c r="AQ91" s="556">
        <f t="shared" si="67"/>
        <v>0</v>
      </c>
      <c r="AR91" s="556">
        <f t="shared" si="67"/>
        <v>0</v>
      </c>
      <c r="AS91" s="116"/>
      <c r="AV91" s="369"/>
    </row>
    <row r="92" spans="1:48" s="391" customFormat="1" ht="78.599999999999994" customHeight="1" x14ac:dyDescent="0.35">
      <c r="A92" s="343" t="s">
        <v>29</v>
      </c>
      <c r="B92" s="838" t="s">
        <v>169</v>
      </c>
      <c r="C92" s="838" t="s">
        <v>169</v>
      </c>
      <c r="D92" s="838" t="s">
        <v>169</v>
      </c>
      <c r="E92" s="838" t="s">
        <v>179</v>
      </c>
      <c r="F92" s="838" t="s">
        <v>208</v>
      </c>
      <c r="G92" s="838" t="s">
        <v>167</v>
      </c>
      <c r="H92" s="344"/>
      <c r="I92" s="344"/>
      <c r="J92" s="110" t="s">
        <v>107</v>
      </c>
      <c r="K92" s="118"/>
      <c r="L92" s="118"/>
      <c r="M92" s="118"/>
      <c r="N92" s="76">
        <v>39305720</v>
      </c>
      <c r="O92" s="76">
        <v>39305720</v>
      </c>
      <c r="P92" s="76"/>
      <c r="Q92" s="76">
        <v>20000000</v>
      </c>
      <c r="R92" s="76">
        <f>SUM(O92+P92-Q92)</f>
        <v>19305720</v>
      </c>
      <c r="S92" s="370"/>
      <c r="T92" s="370"/>
      <c r="U92" s="370"/>
      <c r="V92" s="370">
        <f t="shared" ref="V92:V112" si="68">SUM(T92-U92)</f>
        <v>0</v>
      </c>
      <c r="W92" s="345"/>
      <c r="X92" s="656">
        <v>19305720</v>
      </c>
      <c r="Y92" s="372">
        <f t="shared" ref="Y92:Y112" si="69">SUM(V92)</f>
        <v>0</v>
      </c>
      <c r="Z92" s="257"/>
      <c r="AA92" s="345">
        <f t="shared" ref="AA92:AA112" si="70">SUM(R92-S92-U92-W92-X92-Y92-Z92)</f>
        <v>0</v>
      </c>
      <c r="AB92" s="274"/>
      <c r="AC92" s="274"/>
      <c r="AD92" s="345">
        <f t="shared" ref="AD92:AD105" si="71">SUM(AB92-AC92)</f>
        <v>0</v>
      </c>
      <c r="AE92" s="257">
        <f t="shared" ref="AE92:AE112" si="72">SUM(AA92-AC92)</f>
        <v>0</v>
      </c>
      <c r="AF92" s="257"/>
      <c r="AG92" s="257">
        <f t="shared" ref="AG92:AG112" si="73">SUM(AE92-AF92)</f>
        <v>0</v>
      </c>
      <c r="AH92" s="373">
        <f t="shared" ref="AH92:AH112" si="74">SUM(S92+U92+W92+Z92+X92+AC92)</f>
        <v>19305720</v>
      </c>
      <c r="AI92" s="879" t="e">
        <f t="shared" ref="AI92:AI112" si="75">AC92/(AC92+AF92+AG92)</f>
        <v>#DIV/0!</v>
      </c>
      <c r="AJ92" s="346"/>
      <c r="AK92" s="347"/>
      <c r="AL92" s="348" t="e">
        <f>SUM(AE92-AF92-#REF!-#REF!)</f>
        <v>#REF!</v>
      </c>
      <c r="AM92" s="349">
        <f t="shared" ref="AM92:AM102" si="76">SUM(R92-(AE92+Y92))/R92</f>
        <v>1</v>
      </c>
      <c r="AN92" s="117"/>
      <c r="AO92" s="374"/>
      <c r="AP92" s="402"/>
      <c r="AQ92" s="886"/>
      <c r="AR92" s="880"/>
      <c r="AS92" s="390"/>
      <c r="AV92" s="392"/>
    </row>
    <row r="93" spans="1:48" s="391" customFormat="1" ht="78.599999999999994" customHeight="1" x14ac:dyDescent="0.35">
      <c r="A93" s="343"/>
      <c r="B93" s="541" t="s">
        <v>169</v>
      </c>
      <c r="C93" s="541" t="s">
        <v>169</v>
      </c>
      <c r="D93" s="541" t="s">
        <v>169</v>
      </c>
      <c r="E93" s="541" t="s">
        <v>179</v>
      </c>
      <c r="F93" s="541" t="s">
        <v>177</v>
      </c>
      <c r="G93" s="541"/>
      <c r="H93" s="542"/>
      <c r="I93" s="542"/>
      <c r="J93" s="543" t="s">
        <v>330</v>
      </c>
      <c r="K93" s="544"/>
      <c r="L93" s="544"/>
      <c r="M93" s="544"/>
      <c r="N93" s="545">
        <f>SUM(N94:N96)</f>
        <v>622622166</v>
      </c>
      <c r="O93" s="545">
        <f>SUM(O94:O96)</f>
        <v>622622166</v>
      </c>
      <c r="P93" s="545">
        <f t="shared" ref="P93:AQ93" si="77">SUM(P94:P96)</f>
        <v>198634754.77999997</v>
      </c>
      <c r="Q93" s="545">
        <f t="shared" si="77"/>
        <v>16660258</v>
      </c>
      <c r="R93" s="545">
        <f t="shared" si="77"/>
        <v>804596662.77999997</v>
      </c>
      <c r="S93" s="545">
        <f t="shared" si="77"/>
        <v>0</v>
      </c>
      <c r="T93" s="545">
        <f t="shared" si="77"/>
        <v>0</v>
      </c>
      <c r="U93" s="545">
        <f t="shared" si="77"/>
        <v>0</v>
      </c>
      <c r="V93" s="545">
        <f t="shared" si="77"/>
        <v>0</v>
      </c>
      <c r="W93" s="545">
        <f t="shared" si="77"/>
        <v>0</v>
      </c>
      <c r="X93" s="545">
        <f t="shared" si="77"/>
        <v>254918726.80000001</v>
      </c>
      <c r="Y93" s="545">
        <f t="shared" si="77"/>
        <v>0</v>
      </c>
      <c r="Z93" s="545">
        <f t="shared" si="77"/>
        <v>182418303.98000002</v>
      </c>
      <c r="AA93" s="545">
        <f t="shared" si="77"/>
        <v>367259632</v>
      </c>
      <c r="AB93" s="545">
        <f t="shared" si="77"/>
        <v>383022440</v>
      </c>
      <c r="AC93" s="545">
        <f t="shared" si="77"/>
        <v>366759632</v>
      </c>
      <c r="AD93" s="545">
        <f t="shared" si="77"/>
        <v>16262808</v>
      </c>
      <c r="AE93" s="545">
        <f t="shared" si="77"/>
        <v>500000</v>
      </c>
      <c r="AF93" s="545">
        <f t="shared" si="77"/>
        <v>0</v>
      </c>
      <c r="AG93" s="545">
        <f t="shared" si="77"/>
        <v>500000</v>
      </c>
      <c r="AH93" s="545">
        <f t="shared" si="77"/>
        <v>804096662.77999997</v>
      </c>
      <c r="AI93" s="545" t="e">
        <f t="shared" si="77"/>
        <v>#DIV/0!</v>
      </c>
      <c r="AJ93" s="545">
        <f t="shared" si="77"/>
        <v>0</v>
      </c>
      <c r="AK93" s="545">
        <f t="shared" si="77"/>
        <v>0</v>
      </c>
      <c r="AL93" s="545" t="e">
        <f t="shared" si="77"/>
        <v>#REF!</v>
      </c>
      <c r="AM93" s="545" t="e">
        <f t="shared" si="77"/>
        <v>#DIV/0!</v>
      </c>
      <c r="AN93" s="545">
        <f t="shared" si="77"/>
        <v>0</v>
      </c>
      <c r="AO93" s="545">
        <f t="shared" si="77"/>
        <v>0</v>
      </c>
      <c r="AP93" s="545">
        <f t="shared" si="77"/>
        <v>0</v>
      </c>
      <c r="AQ93" s="545">
        <f t="shared" si="77"/>
        <v>0</v>
      </c>
      <c r="AR93" s="545">
        <f>SUM(AR94:AR96)</f>
        <v>500000</v>
      </c>
      <c r="AS93" s="390"/>
      <c r="AV93" s="392"/>
    </row>
    <row r="94" spans="1:48" s="391" customFormat="1" ht="86.1" customHeight="1" x14ac:dyDescent="0.35">
      <c r="A94" s="343" t="s">
        <v>29</v>
      </c>
      <c r="B94" s="838" t="s">
        <v>169</v>
      </c>
      <c r="C94" s="838" t="s">
        <v>169</v>
      </c>
      <c r="D94" s="838" t="s">
        <v>169</v>
      </c>
      <c r="E94" s="838" t="s">
        <v>179</v>
      </c>
      <c r="F94" s="506" t="s">
        <v>177</v>
      </c>
      <c r="G94" s="838" t="s">
        <v>167</v>
      </c>
      <c r="H94" s="344" t="s">
        <v>182</v>
      </c>
      <c r="I94" s="344"/>
      <c r="J94" s="110" t="s">
        <v>108</v>
      </c>
      <c r="K94" s="118"/>
      <c r="L94" s="118"/>
      <c r="M94" s="118"/>
      <c r="N94" s="76">
        <v>367203439</v>
      </c>
      <c r="O94" s="76">
        <v>367203439</v>
      </c>
      <c r="P94" s="76">
        <v>163780496.97999999</v>
      </c>
      <c r="Q94" s="76"/>
      <c r="R94" s="76">
        <f t="shared" ref="R94:R112" si="78">SUM(O94+P94-Q94)</f>
        <v>530983935.98000002</v>
      </c>
      <c r="S94" s="370"/>
      <c r="T94" s="370"/>
      <c r="U94" s="370"/>
      <c r="V94" s="370">
        <f t="shared" si="68"/>
        <v>0</v>
      </c>
      <c r="W94" s="345"/>
      <c r="X94" s="345"/>
      <c r="Y94" s="372">
        <f t="shared" si="69"/>
        <v>0</v>
      </c>
      <c r="Z94" s="923">
        <f>106223724.98+51700579+6300000</f>
        <v>164224303.98000002</v>
      </c>
      <c r="AA94" s="345">
        <f t="shared" si="70"/>
        <v>366759632</v>
      </c>
      <c r="AB94" s="274">
        <v>383022440</v>
      </c>
      <c r="AC94" s="274">
        <v>366759632</v>
      </c>
      <c r="AD94" s="345">
        <f>SUM(AB94-AC94)</f>
        <v>16262808</v>
      </c>
      <c r="AE94" s="257">
        <f t="shared" si="72"/>
        <v>0</v>
      </c>
      <c r="AF94" s="257"/>
      <c r="AG94" s="394">
        <f>SUM(AE94-AF94)</f>
        <v>0</v>
      </c>
      <c r="AH94" s="373">
        <f t="shared" si="74"/>
        <v>530983935.98000002</v>
      </c>
      <c r="AI94" s="879">
        <f t="shared" si="75"/>
        <v>1</v>
      </c>
      <c r="AJ94" s="346"/>
      <c r="AK94" s="347"/>
      <c r="AL94" s="348" t="e">
        <f>SUM(AE94-AF94-#REF!-#REF!)</f>
        <v>#REF!</v>
      </c>
      <c r="AM94" s="349">
        <f t="shared" si="76"/>
        <v>1</v>
      </c>
      <c r="AN94" s="117"/>
      <c r="AO94" s="374"/>
      <c r="AP94" s="402"/>
      <c r="AQ94" s="886"/>
      <c r="AR94" s="880"/>
      <c r="AS94" s="508"/>
      <c r="AV94" s="392"/>
    </row>
    <row r="95" spans="1:48" s="391" customFormat="1" ht="113.45" customHeight="1" x14ac:dyDescent="0.35">
      <c r="A95" s="343" t="s">
        <v>29</v>
      </c>
      <c r="B95" s="838" t="s">
        <v>169</v>
      </c>
      <c r="C95" s="838" t="s">
        <v>169</v>
      </c>
      <c r="D95" s="838" t="s">
        <v>169</v>
      </c>
      <c r="E95" s="838" t="s">
        <v>179</v>
      </c>
      <c r="F95" s="506" t="s">
        <v>177</v>
      </c>
      <c r="G95" s="838" t="s">
        <v>167</v>
      </c>
      <c r="H95" s="344" t="s">
        <v>245</v>
      </c>
      <c r="I95" s="344"/>
      <c r="J95" s="110" t="s">
        <v>106</v>
      </c>
      <c r="K95" s="118"/>
      <c r="L95" s="118"/>
      <c r="M95" s="118"/>
      <c r="N95" s="76">
        <v>255418727</v>
      </c>
      <c r="O95" s="76">
        <v>255418727</v>
      </c>
      <c r="P95" s="76">
        <f>26999999.8+7854258</f>
        <v>34854257.799999997</v>
      </c>
      <c r="Q95" s="76">
        <f>16660258</f>
        <v>16660258</v>
      </c>
      <c r="R95" s="76">
        <f t="shared" si="78"/>
        <v>273612726.80000001</v>
      </c>
      <c r="S95" s="370"/>
      <c r="T95" s="370"/>
      <c r="U95" s="370"/>
      <c r="V95" s="370">
        <f t="shared" si="68"/>
        <v>0</v>
      </c>
      <c r="W95" s="345"/>
      <c r="X95" s="345">
        <f>228591686.8+26327040</f>
        <v>254918726.80000001</v>
      </c>
      <c r="Y95" s="372">
        <f t="shared" si="69"/>
        <v>0</v>
      </c>
      <c r="Z95" s="257">
        <v>18194000</v>
      </c>
      <c r="AA95" s="345">
        <f t="shared" si="70"/>
        <v>500000</v>
      </c>
      <c r="AB95" s="274"/>
      <c r="AC95" s="274"/>
      <c r="AD95" s="345">
        <f t="shared" si="71"/>
        <v>0</v>
      </c>
      <c r="AE95" s="257">
        <f t="shared" si="72"/>
        <v>500000</v>
      </c>
      <c r="AF95" s="257">
        <v>0</v>
      </c>
      <c r="AG95" s="257">
        <f t="shared" si="73"/>
        <v>500000</v>
      </c>
      <c r="AH95" s="373">
        <f t="shared" si="74"/>
        <v>273112726.80000001</v>
      </c>
      <c r="AI95" s="879">
        <f t="shared" si="75"/>
        <v>0</v>
      </c>
      <c r="AJ95" s="346"/>
      <c r="AK95" s="347"/>
      <c r="AL95" s="348" t="e">
        <f>SUM(AE95-AF95-#REF!-#REF!)</f>
        <v>#REF!</v>
      </c>
      <c r="AM95" s="349">
        <f t="shared" si="76"/>
        <v>0.99817259962338856</v>
      </c>
      <c r="AN95" s="117"/>
      <c r="AO95" s="374"/>
      <c r="AP95" s="351"/>
      <c r="AQ95" s="886"/>
      <c r="AR95" s="880">
        <v>500000</v>
      </c>
      <c r="AS95" s="390"/>
      <c r="AV95" s="392"/>
    </row>
    <row r="96" spans="1:48" s="391" customFormat="1" ht="113.45" customHeight="1" x14ac:dyDescent="0.35">
      <c r="A96" s="343" t="s">
        <v>29</v>
      </c>
      <c r="B96" s="838" t="s">
        <v>169</v>
      </c>
      <c r="C96" s="838" t="s">
        <v>169</v>
      </c>
      <c r="D96" s="838" t="s">
        <v>169</v>
      </c>
      <c r="E96" s="838" t="s">
        <v>179</v>
      </c>
      <c r="F96" s="506" t="s">
        <v>177</v>
      </c>
      <c r="G96" s="838" t="s">
        <v>228</v>
      </c>
      <c r="H96" s="344"/>
      <c r="I96" s="344"/>
      <c r="J96" s="110" t="s">
        <v>310</v>
      </c>
      <c r="K96" s="118"/>
      <c r="L96" s="118"/>
      <c r="M96" s="118"/>
      <c r="N96" s="76"/>
      <c r="O96" s="76"/>
      <c r="P96" s="76"/>
      <c r="Q96" s="76"/>
      <c r="R96" s="76">
        <f t="shared" si="78"/>
        <v>0</v>
      </c>
      <c r="S96" s="370"/>
      <c r="T96" s="370"/>
      <c r="U96" s="370"/>
      <c r="V96" s="370">
        <f t="shared" si="68"/>
        <v>0</v>
      </c>
      <c r="W96" s="345"/>
      <c r="X96" s="345"/>
      <c r="Y96" s="372">
        <f t="shared" si="69"/>
        <v>0</v>
      </c>
      <c r="Z96" s="114"/>
      <c r="AA96" s="345">
        <f t="shared" si="70"/>
        <v>0</v>
      </c>
      <c r="AB96" s="274"/>
      <c r="AC96" s="274"/>
      <c r="AD96" s="345">
        <f t="shared" si="71"/>
        <v>0</v>
      </c>
      <c r="AE96" s="257">
        <f>SUM(AA96-AC96)</f>
        <v>0</v>
      </c>
      <c r="AF96" s="257"/>
      <c r="AG96" s="257">
        <f>SUM(AE96-AF96)</f>
        <v>0</v>
      </c>
      <c r="AH96" s="373">
        <f t="shared" si="74"/>
        <v>0</v>
      </c>
      <c r="AI96" s="879" t="e">
        <f t="shared" si="75"/>
        <v>#DIV/0!</v>
      </c>
      <c r="AJ96" s="346"/>
      <c r="AK96" s="347"/>
      <c r="AL96" s="348"/>
      <c r="AM96" s="349" t="e">
        <f t="shared" si="76"/>
        <v>#DIV/0!</v>
      </c>
      <c r="AN96" s="117"/>
      <c r="AO96" s="374"/>
      <c r="AP96" s="351"/>
      <c r="AQ96" s="886"/>
      <c r="AR96" s="880"/>
      <c r="AS96" s="390"/>
      <c r="AV96" s="392"/>
    </row>
    <row r="97" spans="1:48" s="391" customFormat="1" ht="115.5" customHeight="1" x14ac:dyDescent="0.5">
      <c r="A97" s="343" t="s">
        <v>29</v>
      </c>
      <c r="B97" s="541" t="s">
        <v>169</v>
      </c>
      <c r="C97" s="561" t="s">
        <v>169</v>
      </c>
      <c r="D97" s="541" t="s">
        <v>169</v>
      </c>
      <c r="E97" s="541" t="s">
        <v>179</v>
      </c>
      <c r="F97" s="541" t="s">
        <v>188</v>
      </c>
      <c r="G97" s="541"/>
      <c r="H97" s="542"/>
      <c r="I97" s="542"/>
      <c r="J97" s="543" t="s">
        <v>246</v>
      </c>
      <c r="K97" s="544"/>
      <c r="L97" s="544"/>
      <c r="M97" s="544"/>
      <c r="N97" s="545">
        <f>SUM(N98:N99)</f>
        <v>160918106</v>
      </c>
      <c r="O97" s="545">
        <f t="shared" ref="O97:AR97" si="79">SUM(O98:O99)</f>
        <v>160918106</v>
      </c>
      <c r="P97" s="545">
        <f t="shared" si="79"/>
        <v>110849819.94999999</v>
      </c>
      <c r="Q97" s="545">
        <f t="shared" si="79"/>
        <v>49250200.32</v>
      </c>
      <c r="R97" s="545">
        <f t="shared" si="79"/>
        <v>222517725.63</v>
      </c>
      <c r="S97" s="545">
        <f t="shared" si="79"/>
        <v>0</v>
      </c>
      <c r="T97" s="545">
        <f t="shared" si="79"/>
        <v>0</v>
      </c>
      <c r="U97" s="545">
        <f t="shared" si="79"/>
        <v>0</v>
      </c>
      <c r="V97" s="545">
        <f t="shared" si="79"/>
        <v>0</v>
      </c>
      <c r="W97" s="545">
        <f t="shared" si="79"/>
        <v>105000000</v>
      </c>
      <c r="X97" s="545">
        <f t="shared" si="79"/>
        <v>55918105.950000003</v>
      </c>
      <c r="Y97" s="545">
        <f t="shared" si="79"/>
        <v>0</v>
      </c>
      <c r="Z97" s="545">
        <f t="shared" si="79"/>
        <v>7018412.0899999999</v>
      </c>
      <c r="AA97" s="545">
        <f t="shared" si="79"/>
        <v>54581207.589999989</v>
      </c>
      <c r="AB97" s="545">
        <f t="shared" si="79"/>
        <v>110849820</v>
      </c>
      <c r="AC97" s="545">
        <f t="shared" si="79"/>
        <v>54581207.590000004</v>
      </c>
      <c r="AD97" s="545">
        <f t="shared" si="79"/>
        <v>56268612.409999996</v>
      </c>
      <c r="AE97" s="545">
        <f t="shared" si="79"/>
        <v>-1.4901161193847656E-8</v>
      </c>
      <c r="AF97" s="545">
        <f t="shared" si="79"/>
        <v>0</v>
      </c>
      <c r="AG97" s="545">
        <f t="shared" si="79"/>
        <v>-1.4901161193847656E-8</v>
      </c>
      <c r="AH97" s="545">
        <f t="shared" si="79"/>
        <v>222517725.63</v>
      </c>
      <c r="AI97" s="545" t="e">
        <f t="shared" si="79"/>
        <v>#DIV/0!</v>
      </c>
      <c r="AJ97" s="545">
        <f t="shared" si="79"/>
        <v>0</v>
      </c>
      <c r="AK97" s="545">
        <f t="shared" si="79"/>
        <v>0</v>
      </c>
      <c r="AL97" s="545" t="e">
        <f t="shared" si="79"/>
        <v>#REF!</v>
      </c>
      <c r="AM97" s="545">
        <f t="shared" si="79"/>
        <v>2</v>
      </c>
      <c r="AN97" s="545">
        <f t="shared" si="79"/>
        <v>0</v>
      </c>
      <c r="AO97" s="545">
        <f t="shared" si="79"/>
        <v>0</v>
      </c>
      <c r="AP97" s="545">
        <f t="shared" si="79"/>
        <v>0</v>
      </c>
      <c r="AQ97" s="545">
        <f t="shared" si="79"/>
        <v>0</v>
      </c>
      <c r="AR97" s="545">
        <f t="shared" si="79"/>
        <v>0</v>
      </c>
      <c r="AS97" s="390"/>
      <c r="AU97" s="539" t="s">
        <v>1708</v>
      </c>
      <c r="AV97" s="392"/>
    </row>
    <row r="98" spans="1:48" s="391" customFormat="1" ht="96.6" customHeight="1" x14ac:dyDescent="0.5">
      <c r="A98" s="343" t="s">
        <v>29</v>
      </c>
      <c r="B98" s="838" t="s">
        <v>169</v>
      </c>
      <c r="C98" s="838" t="s">
        <v>169</v>
      </c>
      <c r="D98" s="838" t="s">
        <v>169</v>
      </c>
      <c r="E98" s="838" t="s">
        <v>179</v>
      </c>
      <c r="F98" s="502" t="s">
        <v>188</v>
      </c>
      <c r="G98" s="838" t="s">
        <v>167</v>
      </c>
      <c r="H98" s="344"/>
      <c r="I98" s="344"/>
      <c r="J98" s="110" t="s">
        <v>247</v>
      </c>
      <c r="K98" s="118"/>
      <c r="L98" s="118"/>
      <c r="M98" s="118"/>
      <c r="N98" s="76">
        <v>105000000</v>
      </c>
      <c r="O98" s="76">
        <v>105000000</v>
      </c>
      <c r="P98" s="76"/>
      <c r="Q98" s="76"/>
      <c r="R98" s="76">
        <f t="shared" si="78"/>
        <v>105000000</v>
      </c>
      <c r="S98" s="370"/>
      <c r="T98" s="370"/>
      <c r="U98" s="370"/>
      <c r="V98" s="370">
        <f t="shared" si="68"/>
        <v>0</v>
      </c>
      <c r="W98" s="631">
        <v>105000000</v>
      </c>
      <c r="X98" s="345"/>
      <c r="Y98" s="372">
        <f t="shared" si="69"/>
        <v>0</v>
      </c>
      <c r="Z98" s="114"/>
      <c r="AA98" s="345">
        <f t="shared" si="70"/>
        <v>0</v>
      </c>
      <c r="AB98" s="274"/>
      <c r="AC98" s="274"/>
      <c r="AD98" s="345">
        <f t="shared" si="71"/>
        <v>0</v>
      </c>
      <c r="AE98" s="257">
        <f t="shared" si="72"/>
        <v>0</v>
      </c>
      <c r="AF98" s="257"/>
      <c r="AG98" s="257">
        <f t="shared" si="73"/>
        <v>0</v>
      </c>
      <c r="AH98" s="373">
        <f t="shared" si="74"/>
        <v>105000000</v>
      </c>
      <c r="AI98" s="879" t="e">
        <f t="shared" si="75"/>
        <v>#DIV/0!</v>
      </c>
      <c r="AJ98" s="346"/>
      <c r="AK98" s="347"/>
      <c r="AL98" s="348" t="e">
        <f>SUM(AE98-AF98-#REF!-#REF!)</f>
        <v>#REF!</v>
      </c>
      <c r="AM98" s="349">
        <f t="shared" si="76"/>
        <v>1</v>
      </c>
      <c r="AN98" s="117"/>
      <c r="AO98" s="374"/>
      <c r="AP98" s="351"/>
      <c r="AQ98" s="886"/>
      <c r="AR98" s="896"/>
      <c r="AS98" s="493">
        <v>66742899</v>
      </c>
      <c r="AT98" s="494">
        <f>AH98-AS98</f>
        <v>38257101</v>
      </c>
      <c r="AU98" s="695">
        <v>5500000</v>
      </c>
      <c r="AV98" s="392"/>
    </row>
    <row r="99" spans="1:48" s="391" customFormat="1" ht="124.5" customHeight="1" x14ac:dyDescent="0.35">
      <c r="A99" s="343" t="s">
        <v>29</v>
      </c>
      <c r="B99" s="838" t="s">
        <v>169</v>
      </c>
      <c r="C99" s="838" t="s">
        <v>169</v>
      </c>
      <c r="D99" s="838" t="s">
        <v>169</v>
      </c>
      <c r="E99" s="838" t="s">
        <v>179</v>
      </c>
      <c r="F99" s="502" t="s">
        <v>188</v>
      </c>
      <c r="G99" s="838" t="s">
        <v>169</v>
      </c>
      <c r="H99" s="344"/>
      <c r="I99" s="344"/>
      <c r="J99" s="110" t="s">
        <v>416</v>
      </c>
      <c r="K99" s="118"/>
      <c r="L99" s="118"/>
      <c r="M99" s="118"/>
      <c r="N99" s="76">
        <v>55918106</v>
      </c>
      <c r="O99" s="76">
        <v>55918106</v>
      </c>
      <c r="P99" s="76">
        <f>64417444.51+2432375+30084675+13915325.44</f>
        <v>110849819.94999999</v>
      </c>
      <c r="Q99" s="76">
        <f>48486423+763777.32</f>
        <v>49250200.32</v>
      </c>
      <c r="R99" s="76">
        <f t="shared" si="78"/>
        <v>117517725.63</v>
      </c>
      <c r="S99" s="370"/>
      <c r="T99" s="370"/>
      <c r="U99" s="370"/>
      <c r="V99" s="370">
        <f t="shared" si="68"/>
        <v>0</v>
      </c>
      <c r="W99" s="345"/>
      <c r="X99" s="656">
        <f>55918105.95</f>
        <v>55918105.950000003</v>
      </c>
      <c r="Y99" s="372">
        <f t="shared" si="69"/>
        <v>0</v>
      </c>
      <c r="Z99" s="257">
        <v>7018412.0899999999</v>
      </c>
      <c r="AA99" s="345">
        <f t="shared" si="70"/>
        <v>54581207.589999989</v>
      </c>
      <c r="AB99" s="274">
        <v>110849820</v>
      </c>
      <c r="AC99" s="274">
        <v>54581207.590000004</v>
      </c>
      <c r="AD99" s="345">
        <f t="shared" si="71"/>
        <v>56268612.409999996</v>
      </c>
      <c r="AE99" s="257">
        <f t="shared" si="72"/>
        <v>-1.4901161193847656E-8</v>
      </c>
      <c r="AF99" s="257"/>
      <c r="AG99" s="257">
        <f t="shared" si="73"/>
        <v>-1.4901161193847656E-8</v>
      </c>
      <c r="AH99" s="373">
        <f t="shared" si="74"/>
        <v>117517725.63000001</v>
      </c>
      <c r="AI99" s="879">
        <f t="shared" si="75"/>
        <v>1.0000000000000002</v>
      </c>
      <c r="AJ99" s="346"/>
      <c r="AK99" s="347"/>
      <c r="AL99" s="348" t="e">
        <f>SUM(AE99-AF99-#REF!-#REF!)</f>
        <v>#REF!</v>
      </c>
      <c r="AM99" s="349">
        <f t="shared" si="76"/>
        <v>1.0000000000000002</v>
      </c>
      <c r="AN99" s="117"/>
      <c r="AO99" s="374"/>
      <c r="AP99" s="351"/>
      <c r="AQ99" s="886"/>
      <c r="AR99" s="880"/>
      <c r="AS99" s="393"/>
      <c r="AV99" s="392"/>
    </row>
    <row r="100" spans="1:48" s="391" customFormat="1" ht="69.95" customHeight="1" x14ac:dyDescent="0.35">
      <c r="A100" s="343"/>
      <c r="B100" s="541" t="s">
        <v>169</v>
      </c>
      <c r="C100" s="541" t="s">
        <v>169</v>
      </c>
      <c r="D100" s="541" t="s">
        <v>169</v>
      </c>
      <c r="E100" s="541" t="s">
        <v>179</v>
      </c>
      <c r="F100" s="541" t="s">
        <v>198</v>
      </c>
      <c r="G100" s="541"/>
      <c r="H100" s="542"/>
      <c r="I100" s="542"/>
      <c r="J100" s="543" t="s">
        <v>331</v>
      </c>
      <c r="K100" s="544"/>
      <c r="L100" s="544"/>
      <c r="M100" s="544"/>
      <c r="N100" s="545">
        <f>SUM(N101:N103)</f>
        <v>591780669</v>
      </c>
      <c r="O100" s="545">
        <f t="shared" ref="O100:AR100" si="80">SUM(O101:O103)</f>
        <v>591780669</v>
      </c>
      <c r="P100" s="545">
        <f t="shared" si="80"/>
        <v>0</v>
      </c>
      <c r="Q100" s="545">
        <f t="shared" si="80"/>
        <v>53000220.310000002</v>
      </c>
      <c r="R100" s="545">
        <f t="shared" si="80"/>
        <v>538780448.69000006</v>
      </c>
      <c r="S100" s="545">
        <f t="shared" si="80"/>
        <v>0</v>
      </c>
      <c r="T100" s="545">
        <f t="shared" si="80"/>
        <v>0</v>
      </c>
      <c r="U100" s="545">
        <f t="shared" si="80"/>
        <v>0</v>
      </c>
      <c r="V100" s="545">
        <f t="shared" si="80"/>
        <v>0</v>
      </c>
      <c r="W100" s="545">
        <f t="shared" si="80"/>
        <v>0</v>
      </c>
      <c r="X100" s="545">
        <f t="shared" si="80"/>
        <v>526780668.69</v>
      </c>
      <c r="Y100" s="545">
        <f t="shared" si="80"/>
        <v>0</v>
      </c>
      <c r="Z100" s="545">
        <f t="shared" si="80"/>
        <v>11975390.960000001</v>
      </c>
      <c r="AA100" s="545">
        <f t="shared" si="80"/>
        <v>24389.039999999106</v>
      </c>
      <c r="AB100" s="545">
        <f t="shared" si="80"/>
        <v>0</v>
      </c>
      <c r="AC100" s="545">
        <f t="shared" si="80"/>
        <v>0</v>
      </c>
      <c r="AD100" s="545">
        <f t="shared" si="80"/>
        <v>0</v>
      </c>
      <c r="AE100" s="545">
        <f t="shared" si="80"/>
        <v>24389.039999999106</v>
      </c>
      <c r="AF100" s="545">
        <f t="shared" si="80"/>
        <v>0</v>
      </c>
      <c r="AG100" s="545">
        <f t="shared" si="80"/>
        <v>24389.039999999106</v>
      </c>
      <c r="AH100" s="545">
        <f t="shared" si="80"/>
        <v>538756059.64999998</v>
      </c>
      <c r="AI100" s="545" t="e">
        <f t="shared" si="80"/>
        <v>#DIV/0!</v>
      </c>
      <c r="AJ100" s="545">
        <f t="shared" si="80"/>
        <v>0</v>
      </c>
      <c r="AK100" s="545">
        <f t="shared" si="80"/>
        <v>0</v>
      </c>
      <c r="AL100" s="545" t="e">
        <f t="shared" si="80"/>
        <v>#REF!</v>
      </c>
      <c r="AM100" s="545">
        <f t="shared" si="80"/>
        <v>1.9998967072606613</v>
      </c>
      <c r="AN100" s="545">
        <f t="shared" si="80"/>
        <v>0</v>
      </c>
      <c r="AO100" s="545">
        <f t="shared" si="80"/>
        <v>0</v>
      </c>
      <c r="AP100" s="545">
        <f t="shared" si="80"/>
        <v>0</v>
      </c>
      <c r="AQ100" s="545">
        <f t="shared" si="80"/>
        <v>0</v>
      </c>
      <c r="AR100" s="545">
        <f t="shared" si="80"/>
        <v>24389.040000000001</v>
      </c>
      <c r="AS100" s="390"/>
      <c r="AV100" s="392"/>
    </row>
    <row r="101" spans="1:48" s="391" customFormat="1" ht="83.1" customHeight="1" x14ac:dyDescent="0.5">
      <c r="A101" s="343" t="s">
        <v>29</v>
      </c>
      <c r="B101" s="838" t="s">
        <v>169</v>
      </c>
      <c r="C101" s="838" t="s">
        <v>169</v>
      </c>
      <c r="D101" s="838" t="s">
        <v>169</v>
      </c>
      <c r="E101" s="838" t="s">
        <v>179</v>
      </c>
      <c r="F101" s="503" t="s">
        <v>198</v>
      </c>
      <c r="G101" s="838" t="s">
        <v>205</v>
      </c>
      <c r="H101" s="344"/>
      <c r="I101" s="344"/>
      <c r="J101" s="110" t="s">
        <v>78</v>
      </c>
      <c r="K101" s="118"/>
      <c r="L101" s="118"/>
      <c r="M101" s="118"/>
      <c r="N101" s="76">
        <v>340665235</v>
      </c>
      <c r="O101" s="76">
        <v>340665235</v>
      </c>
      <c r="P101" s="76"/>
      <c r="Q101" s="916">
        <f>25000000.31+9542922.76+3457077</f>
        <v>38000000.07</v>
      </c>
      <c r="R101" s="76">
        <f t="shared" si="78"/>
        <v>302665234.93000001</v>
      </c>
      <c r="S101" s="370"/>
      <c r="T101" s="370"/>
      <c r="U101" s="370"/>
      <c r="V101" s="370">
        <f t="shared" si="68"/>
        <v>0</v>
      </c>
      <c r="W101" s="345"/>
      <c r="X101" s="656">
        <v>302665234.69</v>
      </c>
      <c r="Y101" s="372">
        <f t="shared" si="69"/>
        <v>0</v>
      </c>
      <c r="Z101" s="257"/>
      <c r="AA101" s="345">
        <f t="shared" si="70"/>
        <v>0.24000000953674316</v>
      </c>
      <c r="AB101" s="274"/>
      <c r="AC101" s="274"/>
      <c r="AD101" s="345">
        <f t="shared" si="71"/>
        <v>0</v>
      </c>
      <c r="AE101" s="257">
        <f t="shared" si="72"/>
        <v>0.24000000953674316</v>
      </c>
      <c r="AF101" s="257"/>
      <c r="AG101" s="257">
        <f t="shared" si="73"/>
        <v>0.24000000953674316</v>
      </c>
      <c r="AH101" s="373">
        <f t="shared" si="74"/>
        <v>302665234.69</v>
      </c>
      <c r="AI101" s="879">
        <f t="shared" si="75"/>
        <v>0</v>
      </c>
      <c r="AJ101" s="346"/>
      <c r="AK101" s="347"/>
      <c r="AL101" s="348" t="e">
        <f>SUM(AE101-AF101-#REF!-#REF!)</f>
        <v>#REF!</v>
      </c>
      <c r="AM101" s="349">
        <f t="shared" si="76"/>
        <v>0.99999999920704463</v>
      </c>
      <c r="AN101" s="117"/>
      <c r="AO101" s="374"/>
      <c r="AP101" s="402"/>
      <c r="AQ101" s="886"/>
      <c r="AR101" s="895">
        <v>0.24</v>
      </c>
      <c r="AS101" s="927">
        <v>3457077.24</v>
      </c>
      <c r="AT101" s="928">
        <f>SUM(AR101-AS101)</f>
        <v>-3457077</v>
      </c>
      <c r="AV101" s="392"/>
    </row>
    <row r="102" spans="1:48" s="391" customFormat="1" ht="67.5" customHeight="1" x14ac:dyDescent="0.35">
      <c r="A102" s="343" t="s">
        <v>29</v>
      </c>
      <c r="B102" s="838" t="s">
        <v>193</v>
      </c>
      <c r="C102" s="838" t="s">
        <v>169</v>
      </c>
      <c r="D102" s="838" t="s">
        <v>169</v>
      </c>
      <c r="E102" s="838" t="s">
        <v>179</v>
      </c>
      <c r="F102" s="503" t="s">
        <v>198</v>
      </c>
      <c r="G102" s="838" t="s">
        <v>169</v>
      </c>
      <c r="H102" s="344"/>
      <c r="I102" s="344"/>
      <c r="J102" s="110" t="s">
        <v>121</v>
      </c>
      <c r="K102" s="118"/>
      <c r="L102" s="118"/>
      <c r="M102" s="118"/>
      <c r="N102" s="76">
        <v>251115434</v>
      </c>
      <c r="O102" s="76">
        <v>251115434</v>
      </c>
      <c r="P102" s="76"/>
      <c r="Q102" s="76">
        <f>15000000+220.24</f>
        <v>15000220.24</v>
      </c>
      <c r="R102" s="76">
        <f t="shared" si="78"/>
        <v>236115213.75999999</v>
      </c>
      <c r="S102" s="370"/>
      <c r="T102" s="370"/>
      <c r="U102" s="370"/>
      <c r="V102" s="370">
        <f t="shared" si="68"/>
        <v>0</v>
      </c>
      <c r="W102" s="345"/>
      <c r="X102" s="656">
        <v>224115434</v>
      </c>
      <c r="Y102" s="372">
        <f t="shared" si="69"/>
        <v>0</v>
      </c>
      <c r="Z102" s="257">
        <v>11975390.960000001</v>
      </c>
      <c r="AA102" s="345">
        <f t="shared" si="70"/>
        <v>24388.799999989569</v>
      </c>
      <c r="AB102" s="274"/>
      <c r="AC102" s="274"/>
      <c r="AD102" s="345">
        <f t="shared" si="71"/>
        <v>0</v>
      </c>
      <c r="AE102" s="257">
        <f t="shared" si="72"/>
        <v>24388.799999989569</v>
      </c>
      <c r="AF102" s="257"/>
      <c r="AG102" s="257">
        <f t="shared" si="73"/>
        <v>24388.799999989569</v>
      </c>
      <c r="AH102" s="373">
        <f t="shared" si="74"/>
        <v>236090824.96000001</v>
      </c>
      <c r="AI102" s="879">
        <f t="shared" si="75"/>
        <v>0</v>
      </c>
      <c r="AJ102" s="346"/>
      <c r="AK102" s="347"/>
      <c r="AL102" s="348" t="e">
        <f>SUM(AE102-AF102-#REF!-#REF!)</f>
        <v>#REF!</v>
      </c>
      <c r="AM102" s="349">
        <f t="shared" si="76"/>
        <v>0.99989670805361663</v>
      </c>
      <c r="AN102" s="117"/>
      <c r="AO102" s="374"/>
      <c r="AP102" s="351"/>
      <c r="AQ102" s="886"/>
      <c r="AR102" s="880">
        <v>24388.799999999999</v>
      </c>
      <c r="AS102" s="390"/>
      <c r="AV102" s="392"/>
    </row>
    <row r="103" spans="1:48" s="391" customFormat="1" ht="72.95" customHeight="1" x14ac:dyDescent="0.35">
      <c r="A103" s="343"/>
      <c r="B103" s="838" t="s">
        <v>169</v>
      </c>
      <c r="C103" s="838" t="s">
        <v>169</v>
      </c>
      <c r="D103" s="838" t="s">
        <v>169</v>
      </c>
      <c r="E103" s="838" t="s">
        <v>179</v>
      </c>
      <c r="F103" s="503" t="s">
        <v>198</v>
      </c>
      <c r="G103" s="838" t="s">
        <v>193</v>
      </c>
      <c r="H103" s="344"/>
      <c r="I103" s="344"/>
      <c r="J103" s="110" t="s">
        <v>281</v>
      </c>
      <c r="K103" s="118"/>
      <c r="L103" s="118"/>
      <c r="M103" s="118"/>
      <c r="N103" s="76"/>
      <c r="O103" s="76"/>
      <c r="P103" s="76"/>
      <c r="Q103" s="76"/>
      <c r="R103" s="76">
        <f t="shared" si="78"/>
        <v>0</v>
      </c>
      <c r="S103" s="370"/>
      <c r="T103" s="370"/>
      <c r="U103" s="370"/>
      <c r="V103" s="370">
        <f t="shared" si="68"/>
        <v>0</v>
      </c>
      <c r="W103" s="345"/>
      <c r="X103" s="345"/>
      <c r="Y103" s="372">
        <f t="shared" si="69"/>
        <v>0</v>
      </c>
      <c r="Z103" s="114"/>
      <c r="AA103" s="345">
        <f t="shared" si="70"/>
        <v>0</v>
      </c>
      <c r="AB103" s="274"/>
      <c r="AC103" s="274"/>
      <c r="AD103" s="345">
        <f t="shared" si="71"/>
        <v>0</v>
      </c>
      <c r="AE103" s="257">
        <f t="shared" si="72"/>
        <v>0</v>
      </c>
      <c r="AF103" s="257"/>
      <c r="AG103" s="257">
        <f t="shared" si="73"/>
        <v>0</v>
      </c>
      <c r="AH103" s="373">
        <f t="shared" si="74"/>
        <v>0</v>
      </c>
      <c r="AI103" s="879" t="e">
        <f t="shared" si="75"/>
        <v>#DIV/0!</v>
      </c>
      <c r="AJ103" s="346"/>
      <c r="AK103" s="347"/>
      <c r="AL103" s="348"/>
      <c r="AM103" s="349"/>
      <c r="AN103" s="117"/>
      <c r="AO103" s="374"/>
      <c r="AP103" s="351"/>
      <c r="AQ103" s="399"/>
      <c r="AR103" s="880"/>
      <c r="AS103" s="390"/>
      <c r="AV103" s="392"/>
    </row>
    <row r="104" spans="1:48" s="391" customFormat="1" ht="114.95" customHeight="1" x14ac:dyDescent="0.35">
      <c r="A104" s="343"/>
      <c r="B104" s="541" t="s">
        <v>169</v>
      </c>
      <c r="C104" s="541" t="s">
        <v>169</v>
      </c>
      <c r="D104" s="541" t="s">
        <v>169</v>
      </c>
      <c r="E104" s="541" t="s">
        <v>179</v>
      </c>
      <c r="F104" s="541" t="s">
        <v>203</v>
      </c>
      <c r="G104" s="541"/>
      <c r="H104" s="542"/>
      <c r="I104" s="542"/>
      <c r="J104" s="543" t="s">
        <v>332</v>
      </c>
      <c r="K104" s="544"/>
      <c r="L104" s="544"/>
      <c r="M104" s="544"/>
      <c r="N104" s="545">
        <f>SUM(N105:N110)</f>
        <v>431036000</v>
      </c>
      <c r="O104" s="545">
        <f t="shared" ref="O104:AR104" si="81">SUM(O105:O110)</f>
        <v>431036000</v>
      </c>
      <c r="P104" s="545">
        <f t="shared" si="81"/>
        <v>47786837</v>
      </c>
      <c r="Q104" s="545">
        <f t="shared" si="81"/>
        <v>143237448.75999999</v>
      </c>
      <c r="R104" s="545">
        <f t="shared" si="81"/>
        <v>335585388.24000001</v>
      </c>
      <c r="S104" s="545">
        <f t="shared" si="81"/>
        <v>3500000</v>
      </c>
      <c r="T104" s="545">
        <f t="shared" si="81"/>
        <v>2456738.29</v>
      </c>
      <c r="U104" s="545">
        <f t="shared" si="81"/>
        <v>2456738.29</v>
      </c>
      <c r="V104" s="545">
        <f t="shared" si="81"/>
        <v>0</v>
      </c>
      <c r="W104" s="545">
        <f t="shared" si="81"/>
        <v>0</v>
      </c>
      <c r="X104" s="545">
        <f t="shared" si="81"/>
        <v>106078040</v>
      </c>
      <c r="Y104" s="545">
        <f t="shared" si="81"/>
        <v>0</v>
      </c>
      <c r="Z104" s="545">
        <f t="shared" si="81"/>
        <v>63272215</v>
      </c>
      <c r="AA104" s="545">
        <f t="shared" si="81"/>
        <v>160278394.94999999</v>
      </c>
      <c r="AB104" s="545">
        <f t="shared" si="81"/>
        <v>219360000</v>
      </c>
      <c r="AC104" s="545">
        <f t="shared" si="81"/>
        <v>129702321.23999999</v>
      </c>
      <c r="AD104" s="545">
        <f t="shared" si="81"/>
        <v>89657678.760000005</v>
      </c>
      <c r="AE104" s="545">
        <f t="shared" si="81"/>
        <v>30576073.710000016</v>
      </c>
      <c r="AF104" s="545">
        <f t="shared" si="81"/>
        <v>21000000</v>
      </c>
      <c r="AG104" s="545">
        <f t="shared" si="81"/>
        <v>9576073.7100000158</v>
      </c>
      <c r="AH104" s="545">
        <f t="shared" si="81"/>
        <v>305009314.52999997</v>
      </c>
      <c r="AI104" s="545" t="e">
        <f t="shared" si="81"/>
        <v>#DIV/0!</v>
      </c>
      <c r="AJ104" s="545">
        <f t="shared" si="81"/>
        <v>0</v>
      </c>
      <c r="AK104" s="545">
        <f t="shared" si="81"/>
        <v>0</v>
      </c>
      <c r="AL104" s="545" t="e">
        <f t="shared" si="81"/>
        <v>#REF!</v>
      </c>
      <c r="AM104" s="545">
        <f t="shared" si="81"/>
        <v>3.3442743724119097</v>
      </c>
      <c r="AN104" s="545">
        <f t="shared" si="81"/>
        <v>0</v>
      </c>
      <c r="AO104" s="545">
        <f t="shared" si="81"/>
        <v>0</v>
      </c>
      <c r="AP104" s="545">
        <f t="shared" si="81"/>
        <v>0</v>
      </c>
      <c r="AQ104" s="545">
        <f t="shared" si="81"/>
        <v>0</v>
      </c>
      <c r="AR104" s="545">
        <f t="shared" si="81"/>
        <v>9576073.7100000009</v>
      </c>
      <c r="AS104" s="671">
        <f>AR104-AQ104</f>
        <v>9576073.7100000009</v>
      </c>
      <c r="AV104" s="392"/>
    </row>
    <row r="105" spans="1:48" s="391" customFormat="1" ht="153.6" customHeight="1" x14ac:dyDescent="0.35">
      <c r="A105" s="343" t="s">
        <v>29</v>
      </c>
      <c r="B105" s="838" t="s">
        <v>169</v>
      </c>
      <c r="C105" s="838" t="s">
        <v>169</v>
      </c>
      <c r="D105" s="838" t="s">
        <v>169</v>
      </c>
      <c r="E105" s="838" t="s">
        <v>179</v>
      </c>
      <c r="F105" s="497" t="s">
        <v>203</v>
      </c>
      <c r="G105" s="838" t="s">
        <v>167</v>
      </c>
      <c r="H105" s="344"/>
      <c r="I105" s="344"/>
      <c r="J105" s="110" t="s">
        <v>75</v>
      </c>
      <c r="K105" s="118"/>
      <c r="L105" s="118"/>
      <c r="M105" s="118"/>
      <c r="N105" s="76">
        <v>45000000</v>
      </c>
      <c r="O105" s="76">
        <v>45000000</v>
      </c>
      <c r="P105" s="76">
        <f>1000000+3687215+2975000+1000000+1000000</f>
        <v>9662215</v>
      </c>
      <c r="Q105" s="939">
        <f>34000000+5217800+782200+397621+623408+5309361</f>
        <v>46330390</v>
      </c>
      <c r="R105" s="76">
        <f t="shared" si="78"/>
        <v>8331825</v>
      </c>
      <c r="S105" s="370"/>
      <c r="T105" s="370"/>
      <c r="U105" s="371"/>
      <c r="V105" s="370">
        <f t="shared" si="68"/>
        <v>0</v>
      </c>
      <c r="W105" s="345"/>
      <c r="X105" s="345"/>
      <c r="Y105" s="372">
        <f t="shared" si="69"/>
        <v>0</v>
      </c>
      <c r="Z105" s="257">
        <f>3687215+2975000</f>
        <v>6662215</v>
      </c>
      <c r="AA105" s="345">
        <f t="shared" si="70"/>
        <v>1669610</v>
      </c>
      <c r="AB105" s="274">
        <v>8000000</v>
      </c>
      <c r="AC105" s="274">
        <v>1669610</v>
      </c>
      <c r="AD105" s="345">
        <f t="shared" si="71"/>
        <v>6330390</v>
      </c>
      <c r="AE105" s="257">
        <f t="shared" si="72"/>
        <v>0</v>
      </c>
      <c r="AF105" s="257"/>
      <c r="AG105" s="257">
        <f t="shared" si="73"/>
        <v>0</v>
      </c>
      <c r="AH105" s="373">
        <f t="shared" si="74"/>
        <v>8331825</v>
      </c>
      <c r="AI105" s="879">
        <f t="shared" si="75"/>
        <v>1</v>
      </c>
      <c r="AJ105" s="346"/>
      <c r="AK105" s="347"/>
      <c r="AL105" s="348" t="e">
        <f>SUM(AE105-AF105-#REF!-#REF!)</f>
        <v>#REF!</v>
      </c>
      <c r="AM105" s="349">
        <f>SUM(R105-(AE105+Y105))/R105</f>
        <v>1</v>
      </c>
      <c r="AN105" s="117"/>
      <c r="AO105" s="374"/>
      <c r="AP105" s="400"/>
      <c r="AQ105" s="665"/>
      <c r="AR105" s="895"/>
      <c r="AS105" s="390"/>
      <c r="AV105" s="392"/>
    </row>
    <row r="106" spans="1:48" s="391" customFormat="1" ht="137.44999999999999" customHeight="1" x14ac:dyDescent="0.35">
      <c r="A106" s="343"/>
      <c r="B106" s="838" t="s">
        <v>169</v>
      </c>
      <c r="C106" s="838" t="s">
        <v>169</v>
      </c>
      <c r="D106" s="838" t="s">
        <v>169</v>
      </c>
      <c r="E106" s="838" t="s">
        <v>179</v>
      </c>
      <c r="F106" s="497" t="s">
        <v>203</v>
      </c>
      <c r="G106" s="838" t="s">
        <v>167</v>
      </c>
      <c r="H106" s="344" t="s">
        <v>184</v>
      </c>
      <c r="I106" s="344"/>
      <c r="J106" s="110" t="s">
        <v>248</v>
      </c>
      <c r="K106" s="118"/>
      <c r="L106" s="118"/>
      <c r="M106" s="118"/>
      <c r="N106" s="76">
        <v>2500000</v>
      </c>
      <c r="O106" s="76">
        <v>2500000</v>
      </c>
      <c r="P106" s="76">
        <f>1500000+623408</f>
        <v>2123408</v>
      </c>
      <c r="Q106" s="916">
        <f>1000000+100000+23408</f>
        <v>1123408</v>
      </c>
      <c r="R106" s="76">
        <f t="shared" si="78"/>
        <v>3500000</v>
      </c>
      <c r="S106" s="370">
        <v>1000000</v>
      </c>
      <c r="T106" s="370">
        <v>2345238.29</v>
      </c>
      <c r="U106" s="371">
        <f>672590+296000+608001.15+300000+146264+97883.15+224499.99</f>
        <v>2345238.29</v>
      </c>
      <c r="V106" s="370">
        <f t="shared" si="68"/>
        <v>0</v>
      </c>
      <c r="W106" s="345"/>
      <c r="X106" s="345"/>
      <c r="Y106" s="372">
        <f t="shared" si="69"/>
        <v>0</v>
      </c>
      <c r="Z106" s="114"/>
      <c r="AA106" s="345">
        <f t="shared" si="70"/>
        <v>154761.70999999996</v>
      </c>
      <c r="AB106" s="274"/>
      <c r="AC106" s="274"/>
      <c r="AD106" s="345"/>
      <c r="AE106" s="257">
        <f t="shared" si="72"/>
        <v>154761.70999999996</v>
      </c>
      <c r="AF106" s="257"/>
      <c r="AG106" s="257">
        <f t="shared" si="73"/>
        <v>154761.70999999996</v>
      </c>
      <c r="AH106" s="373">
        <f t="shared" si="74"/>
        <v>3345238.29</v>
      </c>
      <c r="AI106" s="879">
        <f t="shared" si="75"/>
        <v>0</v>
      </c>
      <c r="AJ106" s="346"/>
      <c r="AK106" s="347"/>
      <c r="AL106" s="348"/>
      <c r="AM106" s="349"/>
      <c r="AN106" s="117"/>
      <c r="AO106" s="374"/>
      <c r="AP106" s="400"/>
      <c r="AQ106" s="666"/>
      <c r="AR106" s="895">
        <v>154761.71</v>
      </c>
      <c r="AS106" s="390"/>
      <c r="AV106" s="392"/>
    </row>
    <row r="107" spans="1:48" s="352" customFormat="1" ht="120.95" customHeight="1" x14ac:dyDescent="0.35">
      <c r="A107" s="343" t="s">
        <v>29</v>
      </c>
      <c r="B107" s="838" t="s">
        <v>169</v>
      </c>
      <c r="C107" s="838" t="s">
        <v>169</v>
      </c>
      <c r="D107" s="838" t="s">
        <v>169</v>
      </c>
      <c r="E107" s="838" t="s">
        <v>179</v>
      </c>
      <c r="F107" s="497" t="s">
        <v>203</v>
      </c>
      <c r="G107" s="838" t="s">
        <v>167</v>
      </c>
      <c r="H107" s="344" t="s">
        <v>245</v>
      </c>
      <c r="I107" s="344"/>
      <c r="J107" s="110" t="s">
        <v>96</v>
      </c>
      <c r="K107" s="118"/>
      <c r="L107" s="118"/>
      <c r="M107" s="118"/>
      <c r="N107" s="76">
        <v>219611000</v>
      </c>
      <c r="O107" s="76">
        <v>219611000</v>
      </c>
      <c r="P107" s="76">
        <f>3380000+5217800+782200</f>
        <v>9380000</v>
      </c>
      <c r="Q107" s="916">
        <f>2738800+3687215+2975000+11300000+3567145+31243502+0.76</f>
        <v>55511662.759999998</v>
      </c>
      <c r="R107" s="76">
        <f t="shared" si="78"/>
        <v>173479337.24000001</v>
      </c>
      <c r="S107" s="370">
        <v>1000000</v>
      </c>
      <c r="T107" s="370">
        <v>111500</v>
      </c>
      <c r="U107" s="371">
        <v>111500</v>
      </c>
      <c r="V107" s="370">
        <f t="shared" si="68"/>
        <v>0</v>
      </c>
      <c r="W107" s="345"/>
      <c r="X107" s="345"/>
      <c r="Y107" s="372">
        <f t="shared" si="69"/>
        <v>0</v>
      </c>
      <c r="Z107" s="257">
        <f>37470000+19140000</f>
        <v>56610000</v>
      </c>
      <c r="AA107" s="345">
        <f t="shared" si="70"/>
        <v>115757837.24000001</v>
      </c>
      <c r="AB107" s="274">
        <v>165860000</v>
      </c>
      <c r="AC107" s="274">
        <v>115669337.23999999</v>
      </c>
      <c r="AD107" s="345">
        <f>SUM(AB107-AC107)</f>
        <v>50190662.760000005</v>
      </c>
      <c r="AE107" s="257">
        <f t="shared" si="72"/>
        <v>88500.000000014901</v>
      </c>
      <c r="AF107" s="257"/>
      <c r="AG107" s="257">
        <f t="shared" si="73"/>
        <v>88500.000000014901</v>
      </c>
      <c r="AH107" s="373">
        <f t="shared" si="74"/>
        <v>173390837.24000001</v>
      </c>
      <c r="AI107" s="879">
        <f t="shared" si="75"/>
        <v>0.99923547293116299</v>
      </c>
      <c r="AJ107" s="346"/>
      <c r="AK107" s="347"/>
      <c r="AL107" s="348" t="e">
        <f>SUM(AE107-AF107-#REF!-#REF!)</f>
        <v>#REF!</v>
      </c>
      <c r="AM107" s="349">
        <f>SUM(R107-(AE107+Y107))/R107</f>
        <v>0.99948985278934077</v>
      </c>
      <c r="AN107" s="117"/>
      <c r="AO107" s="401"/>
      <c r="AP107" s="351"/>
      <c r="AQ107" s="399"/>
      <c r="AR107" s="880">
        <v>88500</v>
      </c>
      <c r="AS107" s="115">
        <v>31243360</v>
      </c>
      <c r="AT107" s="670">
        <f>SUM(AR107-AS107)</f>
        <v>-31154860</v>
      </c>
      <c r="AU107" s="115"/>
      <c r="AV107" s="353"/>
    </row>
    <row r="108" spans="1:48" s="352" customFormat="1" ht="106.5" customHeight="1" x14ac:dyDescent="0.35">
      <c r="A108" s="343" t="s">
        <v>29</v>
      </c>
      <c r="B108" s="838" t="s">
        <v>169</v>
      </c>
      <c r="C108" s="838" t="s">
        <v>169</v>
      </c>
      <c r="D108" s="838" t="s">
        <v>169</v>
      </c>
      <c r="E108" s="838" t="s">
        <v>179</v>
      </c>
      <c r="F108" s="497" t="s">
        <v>203</v>
      </c>
      <c r="G108" s="838" t="s">
        <v>167</v>
      </c>
      <c r="H108" s="344" t="s">
        <v>186</v>
      </c>
      <c r="I108" s="344"/>
      <c r="J108" s="110" t="s">
        <v>249</v>
      </c>
      <c r="K108" s="118"/>
      <c r="L108" s="118"/>
      <c r="M108" s="118"/>
      <c r="N108" s="76">
        <v>105925000</v>
      </c>
      <c r="O108" s="76">
        <v>105925000</v>
      </c>
      <c r="P108" s="76">
        <v>9000000</v>
      </c>
      <c r="Q108" s="969">
        <f>1700000+767571</f>
        <v>2467571</v>
      </c>
      <c r="R108" s="76">
        <f t="shared" si="78"/>
        <v>112457429</v>
      </c>
      <c r="S108" s="370">
        <v>500000</v>
      </c>
      <c r="T108" s="370"/>
      <c r="U108" s="370"/>
      <c r="V108" s="370">
        <f t="shared" si="68"/>
        <v>0</v>
      </c>
      <c r="W108" s="345"/>
      <c r="X108" s="656">
        <f>70000000+32725000</f>
        <v>102725000</v>
      </c>
      <c r="Y108" s="372">
        <f t="shared" si="69"/>
        <v>0</v>
      </c>
      <c r="Z108" s="967"/>
      <c r="AA108" s="345">
        <f t="shared" si="70"/>
        <v>9232429</v>
      </c>
      <c r="AB108" s="274"/>
      <c r="AC108" s="274"/>
      <c r="AD108" s="345">
        <f>SUM(AB108-AC108)</f>
        <v>0</v>
      </c>
      <c r="AE108" s="257">
        <f t="shared" si="72"/>
        <v>9232429</v>
      </c>
      <c r="AF108" s="257"/>
      <c r="AG108" s="257">
        <f t="shared" si="73"/>
        <v>9232429</v>
      </c>
      <c r="AH108" s="373">
        <f t="shared" si="74"/>
        <v>103225000</v>
      </c>
      <c r="AI108" s="879">
        <f t="shared" si="75"/>
        <v>0</v>
      </c>
      <c r="AJ108" s="346"/>
      <c r="AK108" s="347"/>
      <c r="AL108" s="348" t="e">
        <f>SUM(AE108-AF108-#REF!-#REF!)</f>
        <v>#REF!</v>
      </c>
      <c r="AM108" s="349">
        <f>SUM(R108-(AE108+Y108))/R108</f>
        <v>0.9179028981713605</v>
      </c>
      <c r="AN108" s="117"/>
      <c r="AO108" s="374"/>
      <c r="AP108" s="351"/>
      <c r="AQ108" s="399"/>
      <c r="AR108" s="880">
        <v>9232429</v>
      </c>
      <c r="AS108" s="115"/>
      <c r="AT108" s="115"/>
      <c r="AU108" s="115"/>
      <c r="AV108" s="353"/>
    </row>
    <row r="109" spans="1:48" s="352" customFormat="1" ht="212.45" customHeight="1" x14ac:dyDescent="0.35">
      <c r="A109" s="343" t="s">
        <v>29</v>
      </c>
      <c r="B109" s="838" t="s">
        <v>169</v>
      </c>
      <c r="C109" s="838" t="s">
        <v>169</v>
      </c>
      <c r="D109" s="838" t="s">
        <v>169</v>
      </c>
      <c r="E109" s="838" t="s">
        <v>179</v>
      </c>
      <c r="F109" s="497" t="s">
        <v>203</v>
      </c>
      <c r="G109" s="838" t="s">
        <v>167</v>
      </c>
      <c r="H109" s="344" t="s">
        <v>241</v>
      </c>
      <c r="I109" s="344"/>
      <c r="J109" s="110" t="s">
        <v>84</v>
      </c>
      <c r="K109" s="118"/>
      <c r="L109" s="118"/>
      <c r="M109" s="118"/>
      <c r="N109" s="76">
        <v>36000000</v>
      </c>
      <c r="O109" s="76">
        <v>36000000</v>
      </c>
      <c r="P109" s="916">
        <f>12333040+1300000+3567145+23408+397621</f>
        <v>17621214</v>
      </c>
      <c r="Q109" s="76">
        <f>3380000+13424417</f>
        <v>16804417</v>
      </c>
      <c r="R109" s="76">
        <f t="shared" si="78"/>
        <v>36816797</v>
      </c>
      <c r="S109" s="370"/>
      <c r="T109" s="370"/>
      <c r="U109" s="370"/>
      <c r="V109" s="370">
        <f t="shared" si="68"/>
        <v>0</v>
      </c>
      <c r="W109" s="345"/>
      <c r="X109" s="656">
        <v>3353040</v>
      </c>
      <c r="Y109" s="372">
        <f t="shared" si="69"/>
        <v>0</v>
      </c>
      <c r="Z109" s="257"/>
      <c r="AA109" s="345">
        <f t="shared" si="70"/>
        <v>33463757</v>
      </c>
      <c r="AB109" s="274">
        <v>45500000</v>
      </c>
      <c r="AC109" s="274">
        <v>12363374</v>
      </c>
      <c r="AD109" s="345">
        <f>SUM(AB109-AC109)</f>
        <v>33136626</v>
      </c>
      <c r="AE109" s="257">
        <f t="shared" si="72"/>
        <v>21100383</v>
      </c>
      <c r="AF109" s="257">
        <v>21000000</v>
      </c>
      <c r="AG109" s="257">
        <f t="shared" si="73"/>
        <v>100383</v>
      </c>
      <c r="AH109" s="373">
        <f t="shared" si="74"/>
        <v>15716414</v>
      </c>
      <c r="AI109" s="879">
        <f t="shared" si="75"/>
        <v>0.36945564719466495</v>
      </c>
      <c r="AJ109" s="346"/>
      <c r="AK109" s="347"/>
      <c r="AL109" s="348" t="e">
        <f>SUM(AE109-AF109-#REF!-#REF!)</f>
        <v>#REF!</v>
      </c>
      <c r="AM109" s="349">
        <f>SUM(R109-(AE109+Y109))/R109</f>
        <v>0.42688162145120878</v>
      </c>
      <c r="AN109" s="117"/>
      <c r="AO109" s="374"/>
      <c r="AP109" s="402"/>
      <c r="AQ109" s="886"/>
      <c r="AR109" s="880">
        <v>100383</v>
      </c>
      <c r="AS109" s="115"/>
      <c r="AT109" s="115"/>
      <c r="AU109" s="115"/>
      <c r="AV109" s="353"/>
    </row>
    <row r="110" spans="1:48" s="352" customFormat="1" ht="113.45" customHeight="1" x14ac:dyDescent="0.35">
      <c r="A110" s="343" t="s">
        <v>29</v>
      </c>
      <c r="B110" s="838" t="s">
        <v>169</v>
      </c>
      <c r="C110" s="838" t="s">
        <v>169</v>
      </c>
      <c r="D110" s="838" t="s">
        <v>169</v>
      </c>
      <c r="E110" s="838" t="s">
        <v>179</v>
      </c>
      <c r="F110" s="497" t="s">
        <v>203</v>
      </c>
      <c r="G110" s="838" t="s">
        <v>169</v>
      </c>
      <c r="H110" s="344" t="s">
        <v>186</v>
      </c>
      <c r="I110" s="344"/>
      <c r="J110" s="110" t="s">
        <v>250</v>
      </c>
      <c r="K110" s="118"/>
      <c r="L110" s="118"/>
      <c r="M110" s="118"/>
      <c r="N110" s="76">
        <v>22000000</v>
      </c>
      <c r="O110" s="76">
        <v>22000000</v>
      </c>
      <c r="P110" s="76"/>
      <c r="Q110" s="76">
        <f>20000000+1000000</f>
        <v>21000000</v>
      </c>
      <c r="R110" s="76">
        <f t="shared" si="78"/>
        <v>1000000</v>
      </c>
      <c r="S110" s="370">
        <v>1000000</v>
      </c>
      <c r="T110" s="370"/>
      <c r="U110" s="371"/>
      <c r="V110" s="370">
        <f>SUM(T110-U110)</f>
        <v>0</v>
      </c>
      <c r="W110" s="345"/>
      <c r="X110" s="345"/>
      <c r="Y110" s="372">
        <f t="shared" si="69"/>
        <v>0</v>
      </c>
      <c r="Z110" s="394"/>
      <c r="AA110" s="345">
        <f t="shared" si="70"/>
        <v>0</v>
      </c>
      <c r="AB110" s="274"/>
      <c r="AC110" s="274"/>
      <c r="AD110" s="345">
        <f>SUM(AB110-AC110)</f>
        <v>0</v>
      </c>
      <c r="AE110" s="257">
        <f t="shared" si="72"/>
        <v>0</v>
      </c>
      <c r="AF110" s="257"/>
      <c r="AG110" s="257">
        <f t="shared" si="73"/>
        <v>0</v>
      </c>
      <c r="AH110" s="373">
        <f t="shared" si="74"/>
        <v>1000000</v>
      </c>
      <c r="AI110" s="879" t="e">
        <f t="shared" si="75"/>
        <v>#DIV/0!</v>
      </c>
      <c r="AJ110" s="346"/>
      <c r="AK110" s="347"/>
      <c r="AL110" s="348"/>
      <c r="AM110" s="349"/>
      <c r="AN110" s="117"/>
      <c r="AO110" s="374"/>
      <c r="AP110" s="351"/>
      <c r="AQ110" s="886"/>
      <c r="AR110" s="880"/>
      <c r="AS110" s="115"/>
      <c r="AT110" s="115"/>
      <c r="AU110" s="115"/>
      <c r="AV110" s="353"/>
    </row>
    <row r="111" spans="1:48" s="352" customFormat="1" ht="159.6" customHeight="1" x14ac:dyDescent="0.35">
      <c r="A111" s="343"/>
      <c r="B111" s="541" t="s">
        <v>169</v>
      </c>
      <c r="C111" s="561" t="s">
        <v>169</v>
      </c>
      <c r="D111" s="541" t="s">
        <v>169</v>
      </c>
      <c r="E111" s="541" t="s">
        <v>179</v>
      </c>
      <c r="F111" s="541" t="s">
        <v>237</v>
      </c>
      <c r="G111" s="541"/>
      <c r="H111" s="542"/>
      <c r="I111" s="542"/>
      <c r="J111" s="543" t="s">
        <v>333</v>
      </c>
      <c r="K111" s="544"/>
      <c r="L111" s="544"/>
      <c r="M111" s="544"/>
      <c r="N111" s="545">
        <f>SUM(N112)</f>
        <v>2500000</v>
      </c>
      <c r="O111" s="545">
        <f t="shared" ref="O111:AR111" si="82">SUM(O112)</f>
        <v>2500000</v>
      </c>
      <c r="P111" s="545">
        <f t="shared" si="82"/>
        <v>1600000</v>
      </c>
      <c r="Q111" s="545">
        <f t="shared" si="82"/>
        <v>1300000</v>
      </c>
      <c r="R111" s="545">
        <f t="shared" si="82"/>
        <v>2800000</v>
      </c>
      <c r="S111" s="545">
        <f t="shared" si="82"/>
        <v>500000</v>
      </c>
      <c r="T111" s="545">
        <f t="shared" si="82"/>
        <v>271600.48</v>
      </c>
      <c r="U111" s="545">
        <f t="shared" si="82"/>
        <v>271600.48</v>
      </c>
      <c r="V111" s="545">
        <f t="shared" si="82"/>
        <v>0</v>
      </c>
      <c r="W111" s="545">
        <f t="shared" si="82"/>
        <v>0</v>
      </c>
      <c r="X111" s="545">
        <f t="shared" si="82"/>
        <v>0</v>
      </c>
      <c r="Y111" s="545">
        <f t="shared" si="82"/>
        <v>0</v>
      </c>
      <c r="Z111" s="545">
        <f t="shared" si="82"/>
        <v>0</v>
      </c>
      <c r="AA111" s="545">
        <f t="shared" si="82"/>
        <v>2028399.52</v>
      </c>
      <c r="AB111" s="545">
        <f t="shared" si="82"/>
        <v>3000000</v>
      </c>
      <c r="AC111" s="545">
        <f t="shared" si="82"/>
        <v>1800000</v>
      </c>
      <c r="AD111" s="545">
        <f t="shared" si="82"/>
        <v>1200000</v>
      </c>
      <c r="AE111" s="545">
        <f t="shared" si="82"/>
        <v>228399.52000000002</v>
      </c>
      <c r="AF111" s="545">
        <f t="shared" si="82"/>
        <v>0</v>
      </c>
      <c r="AG111" s="545">
        <f t="shared" si="82"/>
        <v>228399.52000000002</v>
      </c>
      <c r="AH111" s="545">
        <f t="shared" si="82"/>
        <v>2571600.48</v>
      </c>
      <c r="AI111" s="545">
        <f t="shared" si="82"/>
        <v>0.8873991451151596</v>
      </c>
      <c r="AJ111" s="545">
        <f t="shared" si="82"/>
        <v>0</v>
      </c>
      <c r="AK111" s="545">
        <f t="shared" si="82"/>
        <v>0</v>
      </c>
      <c r="AL111" s="545">
        <f t="shared" si="82"/>
        <v>0</v>
      </c>
      <c r="AM111" s="545">
        <f t="shared" si="82"/>
        <v>0</v>
      </c>
      <c r="AN111" s="545">
        <f t="shared" si="82"/>
        <v>0</v>
      </c>
      <c r="AO111" s="545">
        <f t="shared" si="82"/>
        <v>0</v>
      </c>
      <c r="AP111" s="545">
        <f t="shared" si="82"/>
        <v>0</v>
      </c>
      <c r="AQ111" s="545">
        <f t="shared" si="82"/>
        <v>0</v>
      </c>
      <c r="AR111" s="545">
        <f t="shared" si="82"/>
        <v>228399.52</v>
      </c>
      <c r="AS111" s="115"/>
      <c r="AT111" s="115"/>
      <c r="AU111" s="115"/>
      <c r="AV111" s="353"/>
    </row>
    <row r="112" spans="1:48" s="352" customFormat="1" ht="69.599999999999994" customHeight="1" x14ac:dyDescent="0.35">
      <c r="A112" s="343" t="s">
        <v>29</v>
      </c>
      <c r="B112" s="838" t="s">
        <v>169</v>
      </c>
      <c r="C112" s="838" t="s">
        <v>169</v>
      </c>
      <c r="D112" s="838" t="s">
        <v>169</v>
      </c>
      <c r="E112" s="838" t="s">
        <v>179</v>
      </c>
      <c r="F112" s="838" t="s">
        <v>237</v>
      </c>
      <c r="G112" s="838" t="s">
        <v>167</v>
      </c>
      <c r="H112" s="344"/>
      <c r="I112" s="344"/>
      <c r="J112" s="110" t="s">
        <v>110</v>
      </c>
      <c r="K112" s="118"/>
      <c r="L112" s="118"/>
      <c r="M112" s="118"/>
      <c r="N112" s="76">
        <v>2500000</v>
      </c>
      <c r="O112" s="76">
        <v>2500000</v>
      </c>
      <c r="P112" s="916">
        <f>1500000+100000</f>
        <v>1600000</v>
      </c>
      <c r="Q112" s="916">
        <f>300000+1000000</f>
        <v>1300000</v>
      </c>
      <c r="R112" s="76">
        <f t="shared" si="78"/>
        <v>2800000</v>
      </c>
      <c r="S112" s="370">
        <v>500000</v>
      </c>
      <c r="T112" s="370">
        <v>271600.48</v>
      </c>
      <c r="U112" s="371">
        <f>20000+192500+8999.97+25500.51+24600</f>
        <v>271600.48</v>
      </c>
      <c r="V112" s="370">
        <f t="shared" si="68"/>
        <v>0</v>
      </c>
      <c r="W112" s="345"/>
      <c r="X112" s="345"/>
      <c r="Y112" s="372">
        <f t="shared" si="69"/>
        <v>0</v>
      </c>
      <c r="Z112" s="114"/>
      <c r="AA112" s="345">
        <f t="shared" si="70"/>
        <v>2028399.52</v>
      </c>
      <c r="AB112" s="274">
        <v>3000000</v>
      </c>
      <c r="AC112" s="690">
        <v>1800000</v>
      </c>
      <c r="AD112" s="345">
        <f>SUM(AB112-AC112)</f>
        <v>1200000</v>
      </c>
      <c r="AE112" s="257">
        <f t="shared" si="72"/>
        <v>228399.52000000002</v>
      </c>
      <c r="AF112" s="394"/>
      <c r="AG112" s="394">
        <f t="shared" si="73"/>
        <v>228399.52000000002</v>
      </c>
      <c r="AH112" s="373">
        <f t="shared" si="74"/>
        <v>2571600.48</v>
      </c>
      <c r="AI112" s="879">
        <f t="shared" si="75"/>
        <v>0.8873991451151596</v>
      </c>
      <c r="AJ112" s="346"/>
      <c r="AK112" s="347"/>
      <c r="AL112" s="348"/>
      <c r="AM112" s="349"/>
      <c r="AN112" s="117"/>
      <c r="AO112" s="374"/>
      <c r="AP112" s="351"/>
      <c r="AQ112" s="886"/>
      <c r="AR112" s="880">
        <v>228399.52</v>
      </c>
      <c r="AS112" s="115"/>
      <c r="AT112" s="115"/>
      <c r="AU112" s="115"/>
      <c r="AV112" s="353"/>
    </row>
    <row r="113" spans="1:48" s="368" customFormat="1" ht="102.75" customHeight="1" x14ac:dyDescent="0.35">
      <c r="A113" s="366"/>
      <c r="B113" s="591" t="s">
        <v>169</v>
      </c>
      <c r="C113" s="591" t="s">
        <v>169</v>
      </c>
      <c r="D113" s="591" t="s">
        <v>169</v>
      </c>
      <c r="E113" s="591" t="s">
        <v>237</v>
      </c>
      <c r="F113" s="591"/>
      <c r="G113" s="591"/>
      <c r="H113" s="592"/>
      <c r="I113" s="592"/>
      <c r="J113" s="593" t="s">
        <v>251</v>
      </c>
      <c r="K113" s="594"/>
      <c r="L113" s="594"/>
      <c r="M113" s="594"/>
      <c r="N113" s="596">
        <f>SUM(N114+N116+N119+N121)</f>
        <v>7000000</v>
      </c>
      <c r="O113" s="596">
        <f t="shared" ref="O113:AR113" si="83">SUM(O114+O116+O119+O121)</f>
        <v>7000000</v>
      </c>
      <c r="P113" s="596">
        <f t="shared" si="83"/>
        <v>40350716</v>
      </c>
      <c r="Q113" s="596">
        <f t="shared" si="83"/>
        <v>4200716</v>
      </c>
      <c r="R113" s="596">
        <f t="shared" si="83"/>
        <v>43150000</v>
      </c>
      <c r="S113" s="596">
        <f t="shared" si="83"/>
        <v>1300000</v>
      </c>
      <c r="T113" s="596">
        <f t="shared" si="83"/>
        <v>2247676</v>
      </c>
      <c r="U113" s="596">
        <f t="shared" si="83"/>
        <v>2247676</v>
      </c>
      <c r="V113" s="596">
        <f t="shared" si="83"/>
        <v>0</v>
      </c>
      <c r="W113" s="596">
        <f t="shared" si="83"/>
        <v>1400000</v>
      </c>
      <c r="X113" s="596">
        <f t="shared" si="83"/>
        <v>0</v>
      </c>
      <c r="Y113" s="596">
        <f t="shared" si="83"/>
        <v>0</v>
      </c>
      <c r="Z113" s="596">
        <f t="shared" si="83"/>
        <v>0</v>
      </c>
      <c r="AA113" s="596">
        <f t="shared" si="83"/>
        <v>38202324</v>
      </c>
      <c r="AB113" s="596">
        <f t="shared" si="83"/>
        <v>40000000</v>
      </c>
      <c r="AC113" s="596">
        <f t="shared" si="83"/>
        <v>38000000</v>
      </c>
      <c r="AD113" s="596">
        <f t="shared" si="83"/>
        <v>2000000</v>
      </c>
      <c r="AE113" s="596">
        <f t="shared" si="83"/>
        <v>202324</v>
      </c>
      <c r="AF113" s="596">
        <f t="shared" si="83"/>
        <v>0</v>
      </c>
      <c r="AG113" s="596">
        <f t="shared" si="83"/>
        <v>202324</v>
      </c>
      <c r="AH113" s="596">
        <f t="shared" si="83"/>
        <v>42947676</v>
      </c>
      <c r="AI113" s="596" t="e">
        <f t="shared" si="83"/>
        <v>#DIV/0!</v>
      </c>
      <c r="AJ113" s="596">
        <f t="shared" si="83"/>
        <v>0</v>
      </c>
      <c r="AK113" s="596">
        <f t="shared" si="83"/>
        <v>0</v>
      </c>
      <c r="AL113" s="596" t="e">
        <f t="shared" si="83"/>
        <v>#REF!</v>
      </c>
      <c r="AM113" s="596" t="e">
        <f t="shared" si="83"/>
        <v>#DIV/0!</v>
      </c>
      <c r="AN113" s="596">
        <f t="shared" si="83"/>
        <v>0</v>
      </c>
      <c r="AO113" s="596">
        <f t="shared" si="83"/>
        <v>0</v>
      </c>
      <c r="AP113" s="596">
        <f t="shared" si="83"/>
        <v>0</v>
      </c>
      <c r="AQ113" s="596">
        <f t="shared" si="83"/>
        <v>0</v>
      </c>
      <c r="AR113" s="596">
        <f t="shared" si="83"/>
        <v>202324</v>
      </c>
      <c r="AS113" s="844">
        <f>AR113-AQ113</f>
        <v>202324</v>
      </c>
      <c r="AT113" s="116"/>
      <c r="AU113" s="116"/>
      <c r="AV113" s="369"/>
    </row>
    <row r="114" spans="1:48" s="368" customFormat="1" ht="48.6" customHeight="1" x14ac:dyDescent="0.35">
      <c r="A114" s="366"/>
      <c r="B114" s="541" t="s">
        <v>169</v>
      </c>
      <c r="C114" s="541" t="s">
        <v>169</v>
      </c>
      <c r="D114" s="541" t="s">
        <v>169</v>
      </c>
      <c r="E114" s="541" t="s">
        <v>237</v>
      </c>
      <c r="F114" s="541" t="s">
        <v>208</v>
      </c>
      <c r="G114" s="541"/>
      <c r="H114" s="542"/>
      <c r="I114" s="542"/>
      <c r="J114" s="562"/>
      <c r="K114" s="544"/>
      <c r="L114" s="544"/>
      <c r="M114" s="544"/>
      <c r="N114" s="545">
        <f>SUM(N115)</f>
        <v>0</v>
      </c>
      <c r="O114" s="545">
        <f t="shared" ref="O114:AR114" si="84">SUM(O115)</f>
        <v>0</v>
      </c>
      <c r="P114" s="545">
        <f t="shared" si="84"/>
        <v>0</v>
      </c>
      <c r="Q114" s="545">
        <f t="shared" si="84"/>
        <v>0</v>
      </c>
      <c r="R114" s="545">
        <f t="shared" si="84"/>
        <v>0</v>
      </c>
      <c r="S114" s="545">
        <f t="shared" si="84"/>
        <v>0</v>
      </c>
      <c r="T114" s="545">
        <f t="shared" si="84"/>
        <v>0</v>
      </c>
      <c r="U114" s="545">
        <f t="shared" si="84"/>
        <v>0</v>
      </c>
      <c r="V114" s="545">
        <f t="shared" si="84"/>
        <v>0</v>
      </c>
      <c r="W114" s="545">
        <f t="shared" si="84"/>
        <v>0</v>
      </c>
      <c r="X114" s="545">
        <f t="shared" si="84"/>
        <v>0</v>
      </c>
      <c r="Y114" s="545">
        <f t="shared" si="84"/>
        <v>0</v>
      </c>
      <c r="Z114" s="545">
        <f t="shared" si="84"/>
        <v>0</v>
      </c>
      <c r="AA114" s="545">
        <f t="shared" si="84"/>
        <v>0</v>
      </c>
      <c r="AB114" s="545">
        <f t="shared" si="84"/>
        <v>0</v>
      </c>
      <c r="AC114" s="545">
        <f t="shared" si="84"/>
        <v>0</v>
      </c>
      <c r="AD114" s="545">
        <f t="shared" si="84"/>
        <v>0</v>
      </c>
      <c r="AE114" s="545">
        <f t="shared" si="84"/>
        <v>0</v>
      </c>
      <c r="AF114" s="545">
        <f t="shared" si="84"/>
        <v>0</v>
      </c>
      <c r="AG114" s="545">
        <f t="shared" si="84"/>
        <v>0</v>
      </c>
      <c r="AH114" s="545">
        <f t="shared" si="84"/>
        <v>0</v>
      </c>
      <c r="AI114" s="545" t="e">
        <f t="shared" si="84"/>
        <v>#DIV/0!</v>
      </c>
      <c r="AJ114" s="545">
        <f t="shared" si="84"/>
        <v>0</v>
      </c>
      <c r="AK114" s="545">
        <f t="shared" si="84"/>
        <v>0</v>
      </c>
      <c r="AL114" s="545" t="e">
        <f t="shared" si="84"/>
        <v>#REF!</v>
      </c>
      <c r="AM114" s="545" t="e">
        <f t="shared" si="84"/>
        <v>#DIV/0!</v>
      </c>
      <c r="AN114" s="545">
        <f t="shared" si="84"/>
        <v>0</v>
      </c>
      <c r="AO114" s="545">
        <f t="shared" si="84"/>
        <v>0</v>
      </c>
      <c r="AP114" s="545">
        <f t="shared" si="84"/>
        <v>0</v>
      </c>
      <c r="AQ114" s="545">
        <f t="shared" si="84"/>
        <v>0</v>
      </c>
      <c r="AR114" s="545">
        <f t="shared" si="84"/>
        <v>0</v>
      </c>
      <c r="AS114" s="116"/>
      <c r="AT114" s="116"/>
      <c r="AU114" s="116"/>
      <c r="AV114" s="369"/>
    </row>
    <row r="115" spans="1:48" s="352" customFormat="1" ht="96.6" customHeight="1" x14ac:dyDescent="0.35">
      <c r="A115" s="343" t="s">
        <v>29</v>
      </c>
      <c r="B115" s="838" t="s">
        <v>169</v>
      </c>
      <c r="C115" s="838" t="s">
        <v>169</v>
      </c>
      <c r="D115" s="838" t="s">
        <v>169</v>
      </c>
      <c r="E115" s="838" t="s">
        <v>237</v>
      </c>
      <c r="F115" s="838" t="s">
        <v>208</v>
      </c>
      <c r="G115" s="838" t="s">
        <v>193</v>
      </c>
      <c r="H115" s="344"/>
      <c r="I115" s="344"/>
      <c r="J115" s="110" t="s">
        <v>114</v>
      </c>
      <c r="K115" s="118"/>
      <c r="L115" s="118"/>
      <c r="M115" s="118"/>
      <c r="N115" s="76"/>
      <c r="O115" s="76"/>
      <c r="P115" s="76"/>
      <c r="Q115" s="76"/>
      <c r="R115" s="76">
        <f t="shared" ref="R115:R123" si="85">SUM(O115+P115-Q115)</f>
        <v>0</v>
      </c>
      <c r="S115" s="370"/>
      <c r="T115" s="370"/>
      <c r="U115" s="370"/>
      <c r="V115" s="370">
        <f t="shared" ref="V115:V123" si="86">SUM(T115-U115)</f>
        <v>0</v>
      </c>
      <c r="W115" s="345"/>
      <c r="X115" s="345"/>
      <c r="Y115" s="372">
        <f t="shared" ref="Y115:Y123" si="87">SUM(V115)</f>
        <v>0</v>
      </c>
      <c r="Z115" s="114"/>
      <c r="AA115" s="345">
        <f t="shared" ref="AA115:AA123" si="88">SUM(R115-S115-U115-W115-X115-Y115-Z115)</f>
        <v>0</v>
      </c>
      <c r="AB115" s="274"/>
      <c r="AC115" s="274"/>
      <c r="AD115" s="345">
        <f t="shared" ref="AD115:AD123" si="89">SUM(AB115-AC115)</f>
        <v>0</v>
      </c>
      <c r="AE115" s="257">
        <f t="shared" ref="AE115:AE123" si="90">SUM(AA115-AC115)</f>
        <v>0</v>
      </c>
      <c r="AF115" s="257"/>
      <c r="AG115" s="257">
        <f t="shared" ref="AG115:AG123" si="91">SUM(AE115-AF115)</f>
        <v>0</v>
      </c>
      <c r="AH115" s="373">
        <f t="shared" ref="AH115:AH123" si="92">SUM(S115+U115+W115+Z115+X115+AC115)</f>
        <v>0</v>
      </c>
      <c r="AI115" s="879" t="e">
        <f t="shared" ref="AI115:AI123" si="93">AC115/(AC115+AF115+AG115)</f>
        <v>#DIV/0!</v>
      </c>
      <c r="AJ115" s="346"/>
      <c r="AK115" s="347"/>
      <c r="AL115" s="348" t="e">
        <f>SUM(AE115-AF115-#REF!-#REF!)</f>
        <v>#REF!</v>
      </c>
      <c r="AM115" s="349" t="e">
        <f>SUM(R115-(AE115+Y115))/R115</f>
        <v>#DIV/0!</v>
      </c>
      <c r="AN115" s="117"/>
      <c r="AO115" s="374"/>
      <c r="AP115" s="351"/>
      <c r="AQ115" s="886"/>
      <c r="AR115" s="880"/>
      <c r="AS115" s="115"/>
      <c r="AT115" s="115"/>
      <c r="AU115" s="115"/>
      <c r="AV115" s="353"/>
    </row>
    <row r="116" spans="1:48" s="352" customFormat="1" ht="137.1" customHeight="1" x14ac:dyDescent="0.35">
      <c r="A116" s="343" t="s">
        <v>29</v>
      </c>
      <c r="B116" s="541" t="s">
        <v>169</v>
      </c>
      <c r="C116" s="541" t="s">
        <v>169</v>
      </c>
      <c r="D116" s="541" t="s">
        <v>169</v>
      </c>
      <c r="E116" s="541" t="s">
        <v>237</v>
      </c>
      <c r="F116" s="541" t="s">
        <v>188</v>
      </c>
      <c r="G116" s="541"/>
      <c r="H116" s="542"/>
      <c r="I116" s="542"/>
      <c r="J116" s="543" t="s">
        <v>252</v>
      </c>
      <c r="K116" s="544"/>
      <c r="L116" s="544"/>
      <c r="M116" s="544"/>
      <c r="N116" s="545">
        <f>SUM(N117:N118)</f>
        <v>3000000</v>
      </c>
      <c r="O116" s="545">
        <f t="shared" ref="O116:AR116" si="94">SUM(O117:O118)</f>
        <v>3000000</v>
      </c>
      <c r="P116" s="545">
        <f t="shared" si="94"/>
        <v>143700</v>
      </c>
      <c r="Q116" s="545">
        <f t="shared" si="94"/>
        <v>1300000</v>
      </c>
      <c r="R116" s="545">
        <f t="shared" si="94"/>
        <v>1843700</v>
      </c>
      <c r="S116" s="545">
        <f t="shared" si="94"/>
        <v>300000</v>
      </c>
      <c r="T116" s="545">
        <f t="shared" si="94"/>
        <v>143700</v>
      </c>
      <c r="U116" s="545">
        <f t="shared" si="94"/>
        <v>143700</v>
      </c>
      <c r="V116" s="545">
        <f t="shared" si="94"/>
        <v>0</v>
      </c>
      <c r="W116" s="545">
        <f t="shared" si="94"/>
        <v>1400000</v>
      </c>
      <c r="X116" s="545">
        <f t="shared" si="94"/>
        <v>0</v>
      </c>
      <c r="Y116" s="545">
        <f t="shared" si="94"/>
        <v>0</v>
      </c>
      <c r="Z116" s="545">
        <f t="shared" si="94"/>
        <v>0</v>
      </c>
      <c r="AA116" s="545">
        <f t="shared" si="94"/>
        <v>0</v>
      </c>
      <c r="AB116" s="545">
        <f t="shared" si="94"/>
        <v>0</v>
      </c>
      <c r="AC116" s="545">
        <f t="shared" si="94"/>
        <v>0</v>
      </c>
      <c r="AD116" s="545">
        <f t="shared" si="94"/>
        <v>0</v>
      </c>
      <c r="AE116" s="545">
        <f t="shared" si="94"/>
        <v>0</v>
      </c>
      <c r="AF116" s="545">
        <f t="shared" si="94"/>
        <v>0</v>
      </c>
      <c r="AG116" s="545">
        <f t="shared" si="94"/>
        <v>0</v>
      </c>
      <c r="AH116" s="545">
        <f t="shared" si="94"/>
        <v>1843700</v>
      </c>
      <c r="AI116" s="545" t="e">
        <f t="shared" si="94"/>
        <v>#DIV/0!</v>
      </c>
      <c r="AJ116" s="545">
        <f t="shared" si="94"/>
        <v>0</v>
      </c>
      <c r="AK116" s="545">
        <f t="shared" si="94"/>
        <v>0</v>
      </c>
      <c r="AL116" s="545" t="e">
        <f t="shared" si="94"/>
        <v>#REF!</v>
      </c>
      <c r="AM116" s="545">
        <f t="shared" si="94"/>
        <v>1</v>
      </c>
      <c r="AN116" s="545">
        <f t="shared" si="94"/>
        <v>0</v>
      </c>
      <c r="AO116" s="545">
        <f t="shared" si="94"/>
        <v>0</v>
      </c>
      <c r="AP116" s="545">
        <f t="shared" si="94"/>
        <v>0</v>
      </c>
      <c r="AQ116" s="545">
        <f t="shared" si="94"/>
        <v>0</v>
      </c>
      <c r="AR116" s="545">
        <f t="shared" si="94"/>
        <v>0</v>
      </c>
      <c r="AS116" s="115"/>
      <c r="AU116" s="403"/>
      <c r="AV116" s="353"/>
    </row>
    <row r="117" spans="1:48" s="352" customFormat="1" ht="76.5" customHeight="1" x14ac:dyDescent="0.45">
      <c r="A117" s="343" t="s">
        <v>29</v>
      </c>
      <c r="B117" s="838" t="s">
        <v>169</v>
      </c>
      <c r="C117" s="838" t="s">
        <v>169</v>
      </c>
      <c r="D117" s="838" t="s">
        <v>169</v>
      </c>
      <c r="E117" s="838" t="s">
        <v>237</v>
      </c>
      <c r="F117" s="497" t="s">
        <v>188</v>
      </c>
      <c r="G117" s="838" t="s">
        <v>169</v>
      </c>
      <c r="H117" s="344"/>
      <c r="I117" s="344"/>
      <c r="J117" s="110" t="s">
        <v>253</v>
      </c>
      <c r="K117" s="118"/>
      <c r="L117" s="118"/>
      <c r="M117" s="118"/>
      <c r="N117" s="76">
        <v>3000000</v>
      </c>
      <c r="O117" s="76">
        <v>3000000</v>
      </c>
      <c r="P117" s="968">
        <v>143700</v>
      </c>
      <c r="Q117" s="76">
        <v>1300000</v>
      </c>
      <c r="R117" s="76">
        <f t="shared" si="85"/>
        <v>1843700</v>
      </c>
      <c r="S117" s="370">
        <v>300000</v>
      </c>
      <c r="T117" s="370">
        <v>143700</v>
      </c>
      <c r="U117" s="371">
        <v>143700</v>
      </c>
      <c r="V117" s="370">
        <f t="shared" si="86"/>
        <v>0</v>
      </c>
      <c r="W117" s="345">
        <v>1400000</v>
      </c>
      <c r="X117" s="345"/>
      <c r="Y117" s="372">
        <f t="shared" si="87"/>
        <v>0</v>
      </c>
      <c r="Z117" s="257"/>
      <c r="AA117" s="345">
        <f t="shared" si="88"/>
        <v>0</v>
      </c>
      <c r="AB117" s="274"/>
      <c r="AC117" s="274"/>
      <c r="AD117" s="345">
        <f t="shared" si="89"/>
        <v>0</v>
      </c>
      <c r="AE117" s="257">
        <f t="shared" si="90"/>
        <v>0</v>
      </c>
      <c r="AF117" s="257"/>
      <c r="AG117" s="394">
        <f t="shared" si="91"/>
        <v>0</v>
      </c>
      <c r="AH117" s="373">
        <f t="shared" si="92"/>
        <v>1843700</v>
      </c>
      <c r="AI117" s="879" t="e">
        <f t="shared" si="93"/>
        <v>#DIV/0!</v>
      </c>
      <c r="AJ117" s="346"/>
      <c r="AK117" s="347"/>
      <c r="AL117" s="348" t="e">
        <f>SUM(AE117-AF117-#REF!-#REF!)</f>
        <v>#REF!</v>
      </c>
      <c r="AM117" s="349">
        <f>SUM(R117-(AE117+Y117))/R117</f>
        <v>1</v>
      </c>
      <c r="AN117" s="117"/>
      <c r="AO117" s="350"/>
      <c r="AP117" s="351"/>
      <c r="AQ117" s="886"/>
      <c r="AR117" s="880"/>
      <c r="AS117" s="921">
        <v>580923</v>
      </c>
      <c r="AT117" s="921">
        <f>AH117-AS117</f>
        <v>1262777</v>
      </c>
      <c r="AU117" s="694" t="s">
        <v>1707</v>
      </c>
      <c r="AV117" s="353"/>
    </row>
    <row r="118" spans="1:48" s="352" customFormat="1" ht="76.5" customHeight="1" x14ac:dyDescent="0.35">
      <c r="A118" s="343"/>
      <c r="B118" s="838" t="s">
        <v>169</v>
      </c>
      <c r="C118" s="838" t="s">
        <v>169</v>
      </c>
      <c r="D118" s="838" t="s">
        <v>169</v>
      </c>
      <c r="E118" s="838" t="s">
        <v>237</v>
      </c>
      <c r="F118" s="497" t="s">
        <v>188</v>
      </c>
      <c r="G118" s="838" t="s">
        <v>191</v>
      </c>
      <c r="H118" s="344"/>
      <c r="I118" s="344"/>
      <c r="J118" s="110" t="s">
        <v>254</v>
      </c>
      <c r="K118" s="118"/>
      <c r="L118" s="118"/>
      <c r="M118" s="118"/>
      <c r="N118" s="76"/>
      <c r="O118" s="76"/>
      <c r="P118" s="76"/>
      <c r="Q118" s="76"/>
      <c r="R118" s="76">
        <f t="shared" si="85"/>
        <v>0</v>
      </c>
      <c r="S118" s="370"/>
      <c r="T118" s="370"/>
      <c r="U118" s="371"/>
      <c r="V118" s="370">
        <f t="shared" si="86"/>
        <v>0</v>
      </c>
      <c r="W118" s="345"/>
      <c r="X118" s="345"/>
      <c r="Y118" s="372">
        <f t="shared" si="87"/>
        <v>0</v>
      </c>
      <c r="Z118" s="257"/>
      <c r="AA118" s="345">
        <f t="shared" si="88"/>
        <v>0</v>
      </c>
      <c r="AB118" s="274"/>
      <c r="AC118" s="274"/>
      <c r="AD118" s="345">
        <f t="shared" si="89"/>
        <v>0</v>
      </c>
      <c r="AE118" s="257">
        <f t="shared" si="90"/>
        <v>0</v>
      </c>
      <c r="AF118" s="257"/>
      <c r="AG118" s="257">
        <f t="shared" si="91"/>
        <v>0</v>
      </c>
      <c r="AH118" s="373">
        <f t="shared" si="92"/>
        <v>0</v>
      </c>
      <c r="AI118" s="879" t="e">
        <f t="shared" si="93"/>
        <v>#DIV/0!</v>
      </c>
      <c r="AJ118" s="346"/>
      <c r="AK118" s="347"/>
      <c r="AL118" s="348"/>
      <c r="AM118" s="349"/>
      <c r="AN118" s="117"/>
      <c r="AO118" s="350"/>
      <c r="AP118" s="402"/>
      <c r="AQ118" s="886"/>
      <c r="AR118" s="880"/>
      <c r="AS118" s="540"/>
      <c r="AU118" s="403"/>
      <c r="AV118" s="353"/>
    </row>
    <row r="119" spans="1:48" s="352" customFormat="1" ht="76.5" customHeight="1" x14ac:dyDescent="0.35">
      <c r="A119" s="343"/>
      <c r="B119" s="541" t="s">
        <v>169</v>
      </c>
      <c r="C119" s="541" t="s">
        <v>169</v>
      </c>
      <c r="D119" s="541" t="s">
        <v>169</v>
      </c>
      <c r="E119" s="541" t="s">
        <v>237</v>
      </c>
      <c r="F119" s="541" t="s">
        <v>172</v>
      </c>
      <c r="G119" s="541"/>
      <c r="H119" s="542"/>
      <c r="I119" s="542"/>
      <c r="J119" s="543" t="s">
        <v>334</v>
      </c>
      <c r="K119" s="544"/>
      <c r="L119" s="544"/>
      <c r="M119" s="544"/>
      <c r="N119" s="545">
        <f>SUM(N120)</f>
        <v>2000000</v>
      </c>
      <c r="O119" s="545">
        <f t="shared" ref="O119:AR119" si="95">SUM(O120)</f>
        <v>2000000</v>
      </c>
      <c r="P119" s="545">
        <f t="shared" si="95"/>
        <v>38000000</v>
      </c>
      <c r="Q119" s="545">
        <f t="shared" si="95"/>
        <v>1797676</v>
      </c>
      <c r="R119" s="545">
        <f t="shared" si="95"/>
        <v>38202324</v>
      </c>
      <c r="S119" s="545">
        <f t="shared" si="95"/>
        <v>0</v>
      </c>
      <c r="T119" s="545">
        <f t="shared" si="95"/>
        <v>0</v>
      </c>
      <c r="U119" s="545">
        <f t="shared" si="95"/>
        <v>0</v>
      </c>
      <c r="V119" s="545">
        <f t="shared" si="95"/>
        <v>0</v>
      </c>
      <c r="W119" s="545">
        <f t="shared" si="95"/>
        <v>0</v>
      </c>
      <c r="X119" s="545">
        <f t="shared" si="95"/>
        <v>0</v>
      </c>
      <c r="Y119" s="545">
        <f t="shared" si="95"/>
        <v>0</v>
      </c>
      <c r="Z119" s="545">
        <f t="shared" si="95"/>
        <v>0</v>
      </c>
      <c r="AA119" s="545">
        <f t="shared" si="95"/>
        <v>38202324</v>
      </c>
      <c r="AB119" s="545">
        <f t="shared" si="95"/>
        <v>40000000</v>
      </c>
      <c r="AC119" s="545">
        <f t="shared" si="95"/>
        <v>38000000</v>
      </c>
      <c r="AD119" s="545">
        <f t="shared" si="95"/>
        <v>2000000</v>
      </c>
      <c r="AE119" s="545">
        <f t="shared" si="95"/>
        <v>202324</v>
      </c>
      <c r="AF119" s="545">
        <f t="shared" si="95"/>
        <v>0</v>
      </c>
      <c r="AG119" s="545">
        <f t="shared" si="95"/>
        <v>202324</v>
      </c>
      <c r="AH119" s="545">
        <f t="shared" si="95"/>
        <v>38000000</v>
      </c>
      <c r="AI119" s="545">
        <f t="shared" si="95"/>
        <v>0.99470388241301755</v>
      </c>
      <c r="AJ119" s="545">
        <f t="shared" si="95"/>
        <v>0</v>
      </c>
      <c r="AK119" s="545">
        <f t="shared" si="95"/>
        <v>0</v>
      </c>
      <c r="AL119" s="545" t="e">
        <f t="shared" si="95"/>
        <v>#REF!</v>
      </c>
      <c r="AM119" s="545">
        <f t="shared" si="95"/>
        <v>0.99470388241301755</v>
      </c>
      <c r="AN119" s="545">
        <f t="shared" si="95"/>
        <v>0</v>
      </c>
      <c r="AO119" s="545">
        <f t="shared" si="95"/>
        <v>0</v>
      </c>
      <c r="AP119" s="545">
        <f t="shared" si="95"/>
        <v>0</v>
      </c>
      <c r="AQ119" s="545">
        <f t="shared" si="95"/>
        <v>0</v>
      </c>
      <c r="AR119" s="545">
        <f t="shared" si="95"/>
        <v>202324</v>
      </c>
      <c r="AS119" s="540"/>
      <c r="AU119" s="403"/>
      <c r="AV119" s="353"/>
    </row>
    <row r="120" spans="1:48" s="304" customFormat="1" ht="104.1" customHeight="1" x14ac:dyDescent="0.35">
      <c r="A120" s="343">
        <v>0</v>
      </c>
      <c r="B120" s="838" t="s">
        <v>169</v>
      </c>
      <c r="C120" s="838" t="s">
        <v>169</v>
      </c>
      <c r="D120" s="838" t="s">
        <v>169</v>
      </c>
      <c r="E120" s="838" t="s">
        <v>237</v>
      </c>
      <c r="F120" s="838" t="s">
        <v>172</v>
      </c>
      <c r="G120" s="838" t="s">
        <v>193</v>
      </c>
      <c r="H120" s="344"/>
      <c r="I120" s="344"/>
      <c r="J120" s="110" t="s">
        <v>104</v>
      </c>
      <c r="K120" s="404"/>
      <c r="L120" s="404"/>
      <c r="M120" s="404"/>
      <c r="N120" s="76">
        <v>2000000</v>
      </c>
      <c r="O120" s="76">
        <v>2000000</v>
      </c>
      <c r="P120" s="76">
        <f>23001040+14998960</f>
        <v>38000000</v>
      </c>
      <c r="Q120" s="968">
        <f>1350000+447676</f>
        <v>1797676</v>
      </c>
      <c r="R120" s="76">
        <f t="shared" si="85"/>
        <v>38202324</v>
      </c>
      <c r="S120" s="370"/>
      <c r="T120" s="370"/>
      <c r="U120" s="371"/>
      <c r="V120" s="370">
        <f t="shared" si="86"/>
        <v>0</v>
      </c>
      <c r="W120" s="345"/>
      <c r="X120" s="405"/>
      <c r="Y120" s="372">
        <f t="shared" si="87"/>
        <v>0</v>
      </c>
      <c r="Z120" s="257"/>
      <c r="AA120" s="345">
        <f t="shared" si="88"/>
        <v>38202324</v>
      </c>
      <c r="AB120" s="274">
        <v>40000000</v>
      </c>
      <c r="AC120" s="274">
        <v>38000000</v>
      </c>
      <c r="AD120" s="345">
        <f t="shared" si="89"/>
        <v>2000000</v>
      </c>
      <c r="AE120" s="257">
        <f t="shared" si="90"/>
        <v>202324</v>
      </c>
      <c r="AF120" s="257"/>
      <c r="AG120" s="257">
        <f t="shared" si="91"/>
        <v>202324</v>
      </c>
      <c r="AH120" s="373">
        <f t="shared" si="92"/>
        <v>38000000</v>
      </c>
      <c r="AI120" s="879">
        <f t="shared" si="93"/>
        <v>0.99470388241301755</v>
      </c>
      <c r="AJ120" s="346"/>
      <c r="AK120" s="347"/>
      <c r="AL120" s="348" t="e">
        <f>SUM(AE120-AF120-#REF!-#REF!)</f>
        <v>#REF!</v>
      </c>
      <c r="AM120" s="349">
        <f>SUM(R120-(AE120+Y120))/R120</f>
        <v>0.99470388241301755</v>
      </c>
      <c r="AN120" s="117"/>
      <c r="AO120" s="374"/>
      <c r="AP120" s="351"/>
      <c r="AQ120" s="886"/>
      <c r="AR120" s="880">
        <v>202324</v>
      </c>
      <c r="AS120" s="278"/>
      <c r="AU120" s="403"/>
      <c r="AV120" s="279"/>
    </row>
    <row r="121" spans="1:48" s="304" customFormat="1" ht="104.1" customHeight="1" x14ac:dyDescent="0.35">
      <c r="A121" s="343"/>
      <c r="B121" s="541" t="s">
        <v>169</v>
      </c>
      <c r="C121" s="541" t="s">
        <v>169</v>
      </c>
      <c r="D121" s="541" t="s">
        <v>169</v>
      </c>
      <c r="E121" s="541" t="s">
        <v>237</v>
      </c>
      <c r="F121" s="541" t="s">
        <v>203</v>
      </c>
      <c r="G121" s="541"/>
      <c r="H121" s="542"/>
      <c r="I121" s="542"/>
      <c r="J121" s="543" t="s">
        <v>335</v>
      </c>
      <c r="K121" s="563"/>
      <c r="L121" s="563"/>
      <c r="M121" s="563"/>
      <c r="N121" s="545">
        <f>SUM(N122:N123)</f>
        <v>2000000</v>
      </c>
      <c r="O121" s="545">
        <f t="shared" ref="O121:AQ121" si="96">SUM(O122:O123)</f>
        <v>2000000</v>
      </c>
      <c r="P121" s="545">
        <f t="shared" si="96"/>
        <v>2207016</v>
      </c>
      <c r="Q121" s="545">
        <f t="shared" si="96"/>
        <v>1103040</v>
      </c>
      <c r="R121" s="545">
        <f t="shared" si="96"/>
        <v>3103976</v>
      </c>
      <c r="S121" s="545">
        <f t="shared" si="96"/>
        <v>1000000</v>
      </c>
      <c r="T121" s="545">
        <f t="shared" si="96"/>
        <v>2103976</v>
      </c>
      <c r="U121" s="545">
        <f t="shared" si="96"/>
        <v>2103976</v>
      </c>
      <c r="V121" s="545">
        <f t="shared" si="96"/>
        <v>0</v>
      </c>
      <c r="W121" s="545">
        <f t="shared" si="96"/>
        <v>0</v>
      </c>
      <c r="X121" s="545">
        <f t="shared" si="96"/>
        <v>0</v>
      </c>
      <c r="Y121" s="545">
        <f t="shared" si="96"/>
        <v>0</v>
      </c>
      <c r="Z121" s="545">
        <f t="shared" si="96"/>
        <v>0</v>
      </c>
      <c r="AA121" s="545">
        <f t="shared" si="96"/>
        <v>0</v>
      </c>
      <c r="AB121" s="545">
        <f t="shared" si="96"/>
        <v>0</v>
      </c>
      <c r="AC121" s="545">
        <f t="shared" si="96"/>
        <v>0</v>
      </c>
      <c r="AD121" s="545">
        <f t="shared" si="96"/>
        <v>0</v>
      </c>
      <c r="AE121" s="545">
        <f t="shared" si="96"/>
        <v>0</v>
      </c>
      <c r="AF121" s="545">
        <f t="shared" si="96"/>
        <v>0</v>
      </c>
      <c r="AG121" s="545">
        <f t="shared" si="96"/>
        <v>0</v>
      </c>
      <c r="AH121" s="545">
        <f t="shared" si="96"/>
        <v>3103976</v>
      </c>
      <c r="AI121" s="545" t="e">
        <f t="shared" si="96"/>
        <v>#DIV/0!</v>
      </c>
      <c r="AJ121" s="545">
        <f t="shared" si="96"/>
        <v>0</v>
      </c>
      <c r="AK121" s="545">
        <f t="shared" si="96"/>
        <v>0</v>
      </c>
      <c r="AL121" s="545">
        <f t="shared" si="96"/>
        <v>0</v>
      </c>
      <c r="AM121" s="545">
        <f t="shared" si="96"/>
        <v>0</v>
      </c>
      <c r="AN121" s="545">
        <f t="shared" si="96"/>
        <v>0</v>
      </c>
      <c r="AO121" s="545">
        <f t="shared" si="96"/>
        <v>0</v>
      </c>
      <c r="AP121" s="545">
        <f t="shared" si="96"/>
        <v>0</v>
      </c>
      <c r="AQ121" s="545">
        <f t="shared" si="96"/>
        <v>0</v>
      </c>
      <c r="AR121" s="545">
        <f>SUM(AR122:AR123)</f>
        <v>0</v>
      </c>
      <c r="AS121" s="278"/>
      <c r="AU121" s="403"/>
      <c r="AV121" s="279"/>
    </row>
    <row r="122" spans="1:48" s="304" customFormat="1" ht="104.1" customHeight="1" x14ac:dyDescent="0.35">
      <c r="A122" s="343"/>
      <c r="B122" s="838" t="s">
        <v>169</v>
      </c>
      <c r="C122" s="838" t="s">
        <v>169</v>
      </c>
      <c r="D122" s="838" t="s">
        <v>169</v>
      </c>
      <c r="E122" s="838" t="s">
        <v>237</v>
      </c>
      <c r="F122" s="497" t="s">
        <v>203</v>
      </c>
      <c r="G122" s="838" t="s">
        <v>167</v>
      </c>
      <c r="H122" s="344"/>
      <c r="I122" s="344"/>
      <c r="J122" s="110" t="s">
        <v>291</v>
      </c>
      <c r="K122" s="404"/>
      <c r="L122" s="404"/>
      <c r="M122" s="404"/>
      <c r="N122" s="76">
        <v>1000000</v>
      </c>
      <c r="O122" s="76">
        <v>1000000</v>
      </c>
      <c r="P122" s="76">
        <v>800000</v>
      </c>
      <c r="Q122" s="968">
        <f>700000+403040</f>
        <v>1103040</v>
      </c>
      <c r="R122" s="76">
        <f t="shared" si="85"/>
        <v>696960</v>
      </c>
      <c r="S122" s="370">
        <v>500000</v>
      </c>
      <c r="T122" s="370">
        <v>196960</v>
      </c>
      <c r="U122" s="371">
        <v>196960</v>
      </c>
      <c r="V122" s="370">
        <f t="shared" si="86"/>
        <v>0</v>
      </c>
      <c r="W122" s="345"/>
      <c r="X122" s="405"/>
      <c r="Y122" s="372">
        <f t="shared" si="87"/>
        <v>0</v>
      </c>
      <c r="Z122" s="257"/>
      <c r="AA122" s="345">
        <f t="shared" si="88"/>
        <v>0</v>
      </c>
      <c r="AB122" s="274"/>
      <c r="AC122" s="274"/>
      <c r="AD122" s="345">
        <f t="shared" si="89"/>
        <v>0</v>
      </c>
      <c r="AE122" s="257">
        <f t="shared" si="90"/>
        <v>0</v>
      </c>
      <c r="AF122" s="257"/>
      <c r="AG122" s="257">
        <f t="shared" si="91"/>
        <v>0</v>
      </c>
      <c r="AH122" s="373">
        <f t="shared" si="92"/>
        <v>696960</v>
      </c>
      <c r="AI122" s="879" t="e">
        <f t="shared" si="93"/>
        <v>#DIV/0!</v>
      </c>
      <c r="AJ122" s="346"/>
      <c r="AK122" s="347"/>
      <c r="AL122" s="348"/>
      <c r="AM122" s="349"/>
      <c r="AN122" s="117"/>
      <c r="AO122" s="374"/>
      <c r="AP122" s="351"/>
      <c r="AQ122" s="886"/>
      <c r="AR122" s="880"/>
      <c r="AS122" s="278"/>
      <c r="AU122" s="403"/>
      <c r="AV122" s="279"/>
    </row>
    <row r="123" spans="1:48" s="304" customFormat="1" ht="104.1" customHeight="1" x14ac:dyDescent="0.35">
      <c r="A123" s="343"/>
      <c r="B123" s="838" t="s">
        <v>169</v>
      </c>
      <c r="C123" s="838" t="s">
        <v>169</v>
      </c>
      <c r="D123" s="838" t="s">
        <v>169</v>
      </c>
      <c r="E123" s="838" t="s">
        <v>237</v>
      </c>
      <c r="F123" s="497" t="s">
        <v>203</v>
      </c>
      <c r="G123" s="838" t="s">
        <v>193</v>
      </c>
      <c r="H123" s="344"/>
      <c r="I123" s="344"/>
      <c r="J123" s="110" t="s">
        <v>255</v>
      </c>
      <c r="K123" s="404"/>
      <c r="L123" s="404"/>
      <c r="M123" s="404"/>
      <c r="N123" s="76">
        <v>1000000</v>
      </c>
      <c r="O123" s="76">
        <v>1000000</v>
      </c>
      <c r="P123" s="968">
        <f>700000+403040+303976</f>
        <v>1407016</v>
      </c>
      <c r="Q123" s="76"/>
      <c r="R123" s="76">
        <f t="shared" si="85"/>
        <v>2407016</v>
      </c>
      <c r="S123" s="370">
        <v>500000</v>
      </c>
      <c r="T123" s="370">
        <v>1907016</v>
      </c>
      <c r="U123" s="371">
        <f>278120+61880+33320+141600+299000+388280+185642+119556+286338+113280</f>
        <v>1907016</v>
      </c>
      <c r="V123" s="371">
        <f t="shared" si="86"/>
        <v>0</v>
      </c>
      <c r="W123" s="345"/>
      <c r="X123" s="405"/>
      <c r="Y123" s="372">
        <f t="shared" si="87"/>
        <v>0</v>
      </c>
      <c r="Z123" s="257"/>
      <c r="AA123" s="345">
        <f t="shared" si="88"/>
        <v>0</v>
      </c>
      <c r="AB123" s="274"/>
      <c r="AC123" s="274"/>
      <c r="AD123" s="345">
        <f t="shared" si="89"/>
        <v>0</v>
      </c>
      <c r="AE123" s="257">
        <f t="shared" si="90"/>
        <v>0</v>
      </c>
      <c r="AF123" s="257"/>
      <c r="AG123" s="394">
        <f t="shared" si="91"/>
        <v>0</v>
      </c>
      <c r="AH123" s="373">
        <f t="shared" si="92"/>
        <v>2407016</v>
      </c>
      <c r="AI123" s="879" t="e">
        <f t="shared" si="93"/>
        <v>#DIV/0!</v>
      </c>
      <c r="AJ123" s="346"/>
      <c r="AK123" s="347"/>
      <c r="AL123" s="348"/>
      <c r="AM123" s="349"/>
      <c r="AN123" s="117"/>
      <c r="AO123" s="374"/>
      <c r="AP123" s="402"/>
      <c r="AQ123" s="886"/>
      <c r="AR123" s="880"/>
      <c r="AS123" s="278"/>
      <c r="AU123" s="403"/>
      <c r="AV123" s="279"/>
    </row>
    <row r="124" spans="1:48" s="368" customFormat="1" ht="63" customHeight="1" x14ac:dyDescent="0.35">
      <c r="A124" s="366" t="s">
        <v>29</v>
      </c>
      <c r="B124" s="591" t="s">
        <v>169</v>
      </c>
      <c r="C124" s="591" t="s">
        <v>169</v>
      </c>
      <c r="D124" s="591" t="s">
        <v>169</v>
      </c>
      <c r="E124" s="591" t="s">
        <v>256</v>
      </c>
      <c r="F124" s="591"/>
      <c r="G124" s="591"/>
      <c r="H124" s="592"/>
      <c r="I124" s="592"/>
      <c r="J124" s="593" t="s">
        <v>257</v>
      </c>
      <c r="K124" s="594"/>
      <c r="L124" s="594"/>
      <c r="M124" s="594"/>
      <c r="N124" s="595">
        <f>SUM(N125)</f>
        <v>27000000</v>
      </c>
      <c r="O124" s="595">
        <f t="shared" ref="O124:AR124" si="97">SUM(O125)</f>
        <v>27000000</v>
      </c>
      <c r="P124" s="595">
        <f t="shared" si="97"/>
        <v>0</v>
      </c>
      <c r="Q124" s="595">
        <f t="shared" si="97"/>
        <v>23300000</v>
      </c>
      <c r="R124" s="595">
        <f t="shared" si="97"/>
        <v>3700000</v>
      </c>
      <c r="S124" s="595">
        <f t="shared" si="97"/>
        <v>0</v>
      </c>
      <c r="T124" s="595">
        <f t="shared" si="97"/>
        <v>0</v>
      </c>
      <c r="U124" s="595">
        <f t="shared" si="97"/>
        <v>0</v>
      </c>
      <c r="V124" s="595">
        <f t="shared" si="97"/>
        <v>0</v>
      </c>
      <c r="W124" s="595">
        <f t="shared" si="97"/>
        <v>3700000</v>
      </c>
      <c r="X124" s="595">
        <f t="shared" si="97"/>
        <v>0</v>
      </c>
      <c r="Y124" s="595">
        <f t="shared" si="97"/>
        <v>0</v>
      </c>
      <c r="Z124" s="595">
        <f t="shared" si="97"/>
        <v>0</v>
      </c>
      <c r="AA124" s="595">
        <f t="shared" si="97"/>
        <v>0</v>
      </c>
      <c r="AB124" s="595">
        <f t="shared" si="97"/>
        <v>0</v>
      </c>
      <c r="AC124" s="595">
        <f t="shared" si="97"/>
        <v>0</v>
      </c>
      <c r="AD124" s="595">
        <f t="shared" si="97"/>
        <v>0</v>
      </c>
      <c r="AE124" s="595">
        <f t="shared" si="97"/>
        <v>0</v>
      </c>
      <c r="AF124" s="595">
        <f t="shared" si="97"/>
        <v>0</v>
      </c>
      <c r="AG124" s="595">
        <f t="shared" si="97"/>
        <v>0</v>
      </c>
      <c r="AH124" s="595">
        <f t="shared" si="97"/>
        <v>3700000</v>
      </c>
      <c r="AI124" s="595" t="e">
        <f t="shared" si="97"/>
        <v>#DIV/0!</v>
      </c>
      <c r="AJ124" s="595">
        <f t="shared" si="97"/>
        <v>0</v>
      </c>
      <c r="AK124" s="595">
        <f t="shared" si="97"/>
        <v>0</v>
      </c>
      <c r="AL124" s="595" t="e">
        <f t="shared" si="97"/>
        <v>#REF!</v>
      </c>
      <c r="AM124" s="595">
        <f t="shared" si="97"/>
        <v>1</v>
      </c>
      <c r="AN124" s="595">
        <f t="shared" si="97"/>
        <v>0</v>
      </c>
      <c r="AO124" s="595">
        <f t="shared" si="97"/>
        <v>0</v>
      </c>
      <c r="AP124" s="595">
        <f t="shared" si="97"/>
        <v>0</v>
      </c>
      <c r="AQ124" s="595">
        <f t="shared" si="97"/>
        <v>0</v>
      </c>
      <c r="AR124" s="595">
        <f t="shared" si="97"/>
        <v>0</v>
      </c>
      <c r="AS124" s="116"/>
      <c r="AU124" s="406"/>
      <c r="AV124" s="369"/>
    </row>
    <row r="125" spans="1:48" s="304" customFormat="1" ht="65.45" customHeight="1" x14ac:dyDescent="0.4">
      <c r="A125" s="343" t="s">
        <v>29</v>
      </c>
      <c r="B125" s="541" t="s">
        <v>169</v>
      </c>
      <c r="C125" s="541" t="s">
        <v>169</v>
      </c>
      <c r="D125" s="541" t="s">
        <v>169</v>
      </c>
      <c r="E125" s="541" t="s">
        <v>256</v>
      </c>
      <c r="F125" s="541"/>
      <c r="G125" s="541"/>
      <c r="H125" s="542"/>
      <c r="I125" s="542"/>
      <c r="J125" s="565" t="s">
        <v>258</v>
      </c>
      <c r="K125" s="544"/>
      <c r="L125" s="544"/>
      <c r="M125" s="544"/>
      <c r="N125" s="545">
        <v>27000000</v>
      </c>
      <c r="O125" s="545">
        <v>27000000</v>
      </c>
      <c r="P125" s="545"/>
      <c r="Q125" s="545">
        <v>23300000</v>
      </c>
      <c r="R125" s="545">
        <f>SUM(O125+P125-Q125)</f>
        <v>3700000</v>
      </c>
      <c r="S125" s="546"/>
      <c r="T125" s="546"/>
      <c r="U125" s="546"/>
      <c r="V125" s="546">
        <f>SUM(T125-U125)</f>
        <v>0</v>
      </c>
      <c r="W125" s="547">
        <v>3700000</v>
      </c>
      <c r="X125" s="564"/>
      <c r="Y125" s="548">
        <f>SUM(V125)</f>
        <v>0</v>
      </c>
      <c r="Z125" s="548"/>
      <c r="AA125" s="547">
        <f>SUM(R125-S125-U125-W125-X125-Y125-Z125)</f>
        <v>0</v>
      </c>
      <c r="AB125" s="547">
        <v>0</v>
      </c>
      <c r="AC125" s="547"/>
      <c r="AD125" s="547">
        <f>SUM(AB125-AC125)</f>
        <v>0</v>
      </c>
      <c r="AE125" s="548">
        <f>SUM(AA125-AC125)</f>
        <v>0</v>
      </c>
      <c r="AF125" s="548">
        <v>0</v>
      </c>
      <c r="AG125" s="548">
        <f>SUM(AE125-AF125)</f>
        <v>0</v>
      </c>
      <c r="AH125" s="548">
        <f>SUM(S125+U125+W125+Z125+X125+AC125)</f>
        <v>3700000</v>
      </c>
      <c r="AI125" s="887" t="e">
        <f>AC125/(AC125+AF125+AG125)</f>
        <v>#DIV/0!</v>
      </c>
      <c r="AJ125" s="548"/>
      <c r="AK125" s="549"/>
      <c r="AL125" s="550" t="e">
        <f>SUM(AE125-AF125-#REF!-#REF!)</f>
        <v>#REF!</v>
      </c>
      <c r="AM125" s="551">
        <f>SUM(R125-(AE125+Y125))/R125</f>
        <v>1</v>
      </c>
      <c r="AN125" s="552"/>
      <c r="AO125" s="553"/>
      <c r="AP125" s="554"/>
      <c r="AQ125" s="894"/>
      <c r="AR125" s="926"/>
      <c r="AS125" s="922">
        <v>3379837</v>
      </c>
      <c r="AT125" s="922">
        <f>AH125-AS125</f>
        <v>320163</v>
      </c>
      <c r="AU125" s="403"/>
      <c r="AV125" s="279"/>
    </row>
    <row r="126" spans="1:48" s="388" customFormat="1" ht="42.95" customHeight="1" x14ac:dyDescent="0.35">
      <c r="A126" s="375"/>
      <c r="B126" s="376"/>
      <c r="C126" s="376"/>
      <c r="D126" s="376"/>
      <c r="E126" s="376"/>
      <c r="F126" s="376"/>
      <c r="G126" s="376"/>
      <c r="H126" s="377"/>
      <c r="I126" s="377"/>
      <c r="J126" s="407"/>
      <c r="K126" s="378">
        <f>SUM(K42:K125)</f>
        <v>0</v>
      </c>
      <c r="L126" s="378">
        <f>SUM(L42:L125)</f>
        <v>0</v>
      </c>
      <c r="M126" s="378">
        <f>SUM(M42:M125)</f>
        <v>0</v>
      </c>
      <c r="N126" s="113"/>
      <c r="O126" s="113"/>
      <c r="P126" s="113"/>
      <c r="Q126" s="113"/>
      <c r="R126" s="113"/>
      <c r="S126" s="311"/>
      <c r="T126" s="311"/>
      <c r="U126" s="311"/>
      <c r="V126" s="311"/>
      <c r="W126" s="380"/>
      <c r="X126" s="380"/>
      <c r="Y126" s="408"/>
      <c r="Z126" s="381"/>
      <c r="AA126" s="381"/>
      <c r="AB126" s="380"/>
      <c r="AC126" s="380"/>
      <c r="AD126" s="380">
        <f>SUM(AD42:AD125)</f>
        <v>1028174310.15</v>
      </c>
      <c r="AE126" s="381"/>
      <c r="AF126" s="381"/>
      <c r="AG126" s="381"/>
      <c r="AH126" s="409"/>
      <c r="AI126" s="890"/>
      <c r="AJ126" s="381"/>
      <c r="AK126" s="381"/>
      <c r="AL126" s="410"/>
      <c r="AM126" s="411"/>
      <c r="AN126" s="117"/>
      <c r="AO126" s="385"/>
      <c r="AP126" s="386"/>
      <c r="AQ126" s="891"/>
      <c r="AR126" s="891"/>
      <c r="AS126" s="387"/>
      <c r="AV126" s="389"/>
    </row>
    <row r="127" spans="1:48" s="304" customFormat="1" ht="29.25" customHeight="1" x14ac:dyDescent="0.35">
      <c r="A127" s="343"/>
      <c r="B127" s="412"/>
      <c r="C127" s="412"/>
      <c r="D127" s="412"/>
      <c r="E127" s="412"/>
      <c r="F127" s="412"/>
      <c r="G127" s="412"/>
      <c r="H127" s="412"/>
      <c r="I127" s="412"/>
      <c r="J127" s="111" t="s">
        <v>259</v>
      </c>
      <c r="K127" s="118"/>
      <c r="L127" s="118"/>
      <c r="M127" s="118"/>
      <c r="N127" s="119">
        <f>SUM(N15)</f>
        <v>2584700001</v>
      </c>
      <c r="O127" s="119">
        <f>SUM(O15)</f>
        <v>2584700001</v>
      </c>
      <c r="P127" s="119">
        <f>SUM(P15)</f>
        <v>491926802.72999996</v>
      </c>
      <c r="Q127" s="119">
        <f>SUM(Q15)</f>
        <v>543276071.73000002</v>
      </c>
      <c r="R127" s="119">
        <f>SUM(O127+P127-Q127)</f>
        <v>2533350732</v>
      </c>
      <c r="S127" s="119">
        <f t="shared" ref="S127:AH127" si="98">SUM(S15)</f>
        <v>14000000</v>
      </c>
      <c r="T127" s="119">
        <f t="shared" si="98"/>
        <v>19599230.559999999</v>
      </c>
      <c r="U127" s="119">
        <f t="shared" si="98"/>
        <v>19599230.559999999</v>
      </c>
      <c r="V127" s="119">
        <f t="shared" si="98"/>
        <v>0</v>
      </c>
      <c r="W127" s="119">
        <f t="shared" si="98"/>
        <v>265443412</v>
      </c>
      <c r="X127" s="119">
        <f t="shared" si="98"/>
        <v>1108731634.4400001</v>
      </c>
      <c r="Y127" s="119">
        <f t="shared" si="98"/>
        <v>0</v>
      </c>
      <c r="Z127" s="119">
        <f t="shared" si="98"/>
        <v>286175162.03000003</v>
      </c>
      <c r="AA127" s="119">
        <f t="shared" si="98"/>
        <v>839701292.96999991</v>
      </c>
      <c r="AB127" s="119">
        <f>SUM(AB15)</f>
        <v>989848778.72000003</v>
      </c>
      <c r="AC127" s="119">
        <f t="shared" si="98"/>
        <v>761901809.49000001</v>
      </c>
      <c r="AD127" s="119">
        <f t="shared" si="98"/>
        <v>227946969.23000002</v>
      </c>
      <c r="AE127" s="119">
        <f t="shared" si="98"/>
        <v>77799483.479999989</v>
      </c>
      <c r="AF127" s="119">
        <f t="shared" si="98"/>
        <v>35000000</v>
      </c>
      <c r="AG127" s="119">
        <f t="shared" si="98"/>
        <v>42799483.479999997</v>
      </c>
      <c r="AH127" s="119">
        <f t="shared" si="98"/>
        <v>2455851248.5200005</v>
      </c>
      <c r="AI127" s="897">
        <f>AC127/(AC127+AF127+AG127)</f>
        <v>0.90734862012082251</v>
      </c>
      <c r="AJ127" s="413"/>
      <c r="AK127" s="414"/>
      <c r="AL127" s="415" t="e">
        <f>SUM(AE127-AF127-#REF!-#REF!)</f>
        <v>#REF!</v>
      </c>
      <c r="AM127" s="416">
        <f>SUM(R127-(AE127+Y127))/R127</f>
        <v>0.96928988848749742</v>
      </c>
      <c r="AN127" s="417"/>
      <c r="AO127" s="350"/>
      <c r="AP127" s="351"/>
      <c r="AQ127" s="886"/>
      <c r="AR127" s="886"/>
      <c r="AS127" s="278"/>
      <c r="AV127" s="279"/>
    </row>
    <row r="128" spans="1:48" s="304" customFormat="1" x14ac:dyDescent="0.35">
      <c r="A128" s="343"/>
      <c r="B128" s="412"/>
      <c r="C128" s="412"/>
      <c r="D128" s="412"/>
      <c r="E128" s="412"/>
      <c r="F128" s="412"/>
      <c r="G128" s="412"/>
      <c r="H128" s="412"/>
      <c r="I128" s="412"/>
      <c r="J128" s="111" t="s">
        <v>260</v>
      </c>
      <c r="K128" s="118"/>
      <c r="L128" s="118"/>
      <c r="M128" s="118"/>
      <c r="N128" s="119">
        <f>SUM(N7)</f>
        <v>0</v>
      </c>
      <c r="O128" s="119">
        <f>SUM(O7)</f>
        <v>42054900</v>
      </c>
      <c r="P128" s="119">
        <f>SUM(P7)</f>
        <v>2551300</v>
      </c>
      <c r="Q128" s="119">
        <f>SUM(Q7)</f>
        <v>0</v>
      </c>
      <c r="R128" s="119">
        <f>SUM(O128+P128-Q128)</f>
        <v>44606200</v>
      </c>
      <c r="S128" s="418">
        <f t="shared" ref="S128:AH128" si="99">SUM(S7)</f>
        <v>0</v>
      </c>
      <c r="T128" s="418">
        <f t="shared" si="99"/>
        <v>0</v>
      </c>
      <c r="U128" s="418">
        <f t="shared" si="99"/>
        <v>0</v>
      </c>
      <c r="V128" s="418">
        <f t="shared" si="99"/>
        <v>0</v>
      </c>
      <c r="W128" s="418">
        <f t="shared" si="99"/>
        <v>44606200</v>
      </c>
      <c r="X128" s="418">
        <f t="shared" si="99"/>
        <v>0</v>
      </c>
      <c r="Y128" s="418">
        <f t="shared" si="99"/>
        <v>0</v>
      </c>
      <c r="Z128" s="418">
        <f t="shared" si="99"/>
        <v>0</v>
      </c>
      <c r="AA128" s="418">
        <f t="shared" si="99"/>
        <v>0</v>
      </c>
      <c r="AB128" s="418">
        <f t="shared" si="99"/>
        <v>0</v>
      </c>
      <c r="AC128" s="418">
        <f t="shared" si="99"/>
        <v>0</v>
      </c>
      <c r="AD128" s="418">
        <f t="shared" si="99"/>
        <v>0</v>
      </c>
      <c r="AE128" s="418">
        <f t="shared" si="99"/>
        <v>0</v>
      </c>
      <c r="AF128" s="418">
        <f t="shared" si="99"/>
        <v>0</v>
      </c>
      <c r="AG128" s="418">
        <f t="shared" si="99"/>
        <v>0</v>
      </c>
      <c r="AH128" s="418">
        <f t="shared" si="99"/>
        <v>44606200</v>
      </c>
      <c r="AI128" s="897"/>
      <c r="AJ128" s="413"/>
      <c r="AK128" s="414"/>
      <c r="AL128" s="415" t="e">
        <f>SUM(AE128-AF128-#REF!-#REF!)</f>
        <v>#REF!</v>
      </c>
      <c r="AM128" s="416">
        <f>SUM(R128-(AE128+Y128))/R128</f>
        <v>1</v>
      </c>
      <c r="AN128" s="417"/>
      <c r="AO128" s="350"/>
      <c r="AP128" s="351"/>
      <c r="AQ128" s="886"/>
      <c r="AR128" s="886"/>
      <c r="AS128" s="278"/>
      <c r="AV128" s="279"/>
    </row>
    <row r="129" spans="1:48" s="304" customFormat="1" x14ac:dyDescent="0.35">
      <c r="A129" s="343"/>
      <c r="B129" s="412"/>
      <c r="C129" s="412"/>
      <c r="D129" s="412"/>
      <c r="E129" s="412"/>
      <c r="F129" s="412"/>
      <c r="G129" s="412"/>
      <c r="H129" s="412"/>
      <c r="I129" s="412"/>
      <c r="J129" s="111" t="s">
        <v>261</v>
      </c>
      <c r="K129" s="118"/>
      <c r="L129" s="118"/>
      <c r="M129" s="118"/>
      <c r="N129" s="119">
        <f>SUM(N127:N128)</f>
        <v>2584700001</v>
      </c>
      <c r="O129" s="119">
        <f>SUM(O127:O128)</f>
        <v>2626754901</v>
      </c>
      <c r="P129" s="119">
        <f>SUM(P127:P128)</f>
        <v>494478102.72999996</v>
      </c>
      <c r="Q129" s="119">
        <f>SUM(Q127:Q128)</f>
        <v>543276071.73000002</v>
      </c>
      <c r="R129" s="119">
        <f>SUM(O129+P129-Q129)</f>
        <v>2577956932</v>
      </c>
      <c r="S129" s="418">
        <f t="shared" ref="S129:AH129" si="100">SUM(S127:S128)</f>
        <v>14000000</v>
      </c>
      <c r="T129" s="418">
        <f t="shared" si="100"/>
        <v>19599230.559999999</v>
      </c>
      <c r="U129" s="418">
        <f t="shared" si="100"/>
        <v>19599230.559999999</v>
      </c>
      <c r="V129" s="418">
        <f t="shared" si="100"/>
        <v>0</v>
      </c>
      <c r="W129" s="418">
        <f t="shared" si="100"/>
        <v>310049612</v>
      </c>
      <c r="X129" s="418">
        <f t="shared" si="100"/>
        <v>1108731634.4400001</v>
      </c>
      <c r="Y129" s="418">
        <f t="shared" si="100"/>
        <v>0</v>
      </c>
      <c r="Z129" s="418">
        <f t="shared" si="100"/>
        <v>286175162.03000003</v>
      </c>
      <c r="AA129" s="418">
        <f t="shared" si="100"/>
        <v>839701292.96999991</v>
      </c>
      <c r="AB129" s="418">
        <f t="shared" si="100"/>
        <v>989848778.72000003</v>
      </c>
      <c r="AC129" s="418">
        <f t="shared" si="100"/>
        <v>761901809.49000001</v>
      </c>
      <c r="AD129" s="418">
        <f t="shared" si="100"/>
        <v>227946969.23000002</v>
      </c>
      <c r="AE129" s="418">
        <f t="shared" si="100"/>
        <v>77799483.479999989</v>
      </c>
      <c r="AF129" s="418">
        <f t="shared" si="100"/>
        <v>35000000</v>
      </c>
      <c r="AG129" s="418">
        <f t="shared" si="100"/>
        <v>42799483.479999997</v>
      </c>
      <c r="AH129" s="418">
        <f t="shared" si="100"/>
        <v>2500457448.5200005</v>
      </c>
      <c r="AI129" s="897">
        <f>AC129/(AC129+AF129+AG129)</f>
        <v>0.90734862012082251</v>
      </c>
      <c r="AJ129" s="413"/>
      <c r="AK129" s="414"/>
      <c r="AL129" s="415" t="e">
        <f>SUM(AE129-AF129-#REF!-#REF!)</f>
        <v>#REF!</v>
      </c>
      <c r="AM129" s="416">
        <f>SUM(R129-(AE129+Y129))/R129</f>
        <v>0.96982126329797036</v>
      </c>
      <c r="AN129" s="417"/>
      <c r="AO129" s="350"/>
      <c r="AP129" s="401"/>
      <c r="AQ129" s="886"/>
      <c r="AR129" s="886"/>
      <c r="AS129" s="278"/>
      <c r="AV129" s="279"/>
    </row>
    <row r="130" spans="1:48" s="304" customFormat="1" ht="27" customHeight="1" x14ac:dyDescent="0.35">
      <c r="A130" s="419"/>
      <c r="B130" s="1018" t="s">
        <v>162</v>
      </c>
      <c r="C130" s="1019"/>
      <c r="D130" s="1019"/>
      <c r="E130" s="1019"/>
      <c r="F130" s="1019"/>
      <c r="G130" s="1019"/>
      <c r="H130" s="1019"/>
      <c r="I130" s="1020"/>
      <c r="J130" s="420"/>
      <c r="K130" s="378"/>
      <c r="L130" s="378"/>
      <c r="M130" s="1027" t="s">
        <v>262</v>
      </c>
      <c r="N130" s="841"/>
      <c r="O130" s="421"/>
      <c r="P130" s="421"/>
      <c r="Q130" s="421"/>
      <c r="R130" s="421">
        <f>SUM(O127+P127-Q127)</f>
        <v>2533350732</v>
      </c>
      <c r="S130" s="120"/>
      <c r="T130" s="120"/>
      <c r="U130" s="120"/>
      <c r="V130" s="275">
        <f>SUM(T129-U129)</f>
        <v>0</v>
      </c>
      <c r="W130" s="422">
        <f>SUM(W129)</f>
        <v>310049612</v>
      </c>
      <c r="X130" s="421"/>
      <c r="Y130" s="423"/>
      <c r="Z130" s="424"/>
      <c r="AA130" s="312">
        <f>SUM(R127-S127-U127-W127-X127-Y127-Z127)</f>
        <v>839401292.97000003</v>
      </c>
      <c r="AB130" s="425"/>
      <c r="AC130" s="312"/>
      <c r="AD130" s="312">
        <f>SUM(AB129-AC129)</f>
        <v>227946969.23000002</v>
      </c>
      <c r="AE130" s="424">
        <f>(AA127-AC127)</f>
        <v>77799483.4799999</v>
      </c>
      <c r="AF130" s="424" t="e">
        <f>SUM(#REF!+AF41+AF126+#REF!+#REF!+#REF!+#REF!+#REF!+#REF!)</f>
        <v>#REF!</v>
      </c>
      <c r="AG130" s="424"/>
      <c r="AH130" s="426"/>
      <c r="AI130" s="427"/>
      <c r="AJ130" s="428"/>
      <c r="AK130" s="429"/>
      <c r="AL130" s="430" t="e">
        <f>SUM(AE130-AF130-#REF!-#REF!)</f>
        <v>#REF!</v>
      </c>
      <c r="AM130" s="427"/>
      <c r="AN130" s="117"/>
      <c r="AO130" s="431"/>
      <c r="AP130" s="432"/>
      <c r="AQ130" s="898"/>
      <c r="AR130" s="899"/>
      <c r="AS130" s="278"/>
      <c r="AV130" s="279"/>
    </row>
    <row r="131" spans="1:48" s="304" customFormat="1" ht="17.25" customHeight="1" x14ac:dyDescent="0.35">
      <c r="A131" s="419"/>
      <c r="B131" s="1021"/>
      <c r="C131" s="1022"/>
      <c r="D131" s="1022"/>
      <c r="E131" s="1022"/>
      <c r="F131" s="1022"/>
      <c r="G131" s="1022"/>
      <c r="H131" s="1022"/>
      <c r="I131" s="1023"/>
      <c r="J131" s="420"/>
      <c r="K131" s="378"/>
      <c r="L131" s="378"/>
      <c r="M131" s="1027"/>
      <c r="N131" s="841"/>
      <c r="O131" s="421"/>
      <c r="P131" s="421"/>
      <c r="Q131" s="421"/>
      <c r="R131" s="421" t="e">
        <f>SUM(#REF!+#REF!-#REF!)</f>
        <v>#REF!</v>
      </c>
      <c r="S131" s="120"/>
      <c r="T131" s="120"/>
      <c r="U131" s="120"/>
      <c r="V131" s="120"/>
      <c r="W131" s="422"/>
      <c r="X131" s="421"/>
      <c r="Y131" s="433"/>
      <c r="Z131" s="434"/>
      <c r="AA131" s="312" t="e">
        <f>SUM(#REF!-#REF!-#REF!-#REF!-#REF!-#REF!-#REF!)</f>
        <v>#REF!</v>
      </c>
      <c r="AB131" s="425"/>
      <c r="AC131" s="312"/>
      <c r="AD131" s="312"/>
      <c r="AE131" s="424" t="e">
        <f>SUM(#REF!-#REF!)</f>
        <v>#REF!</v>
      </c>
      <c r="AF131" s="435"/>
      <c r="AG131" s="434"/>
      <c r="AH131" s="436"/>
      <c r="AI131" s="437"/>
      <c r="AJ131" s="438"/>
      <c r="AK131" s="429"/>
      <c r="AL131" s="430" t="e">
        <f>SUM(AE131-AF131-#REF!-#REF!)</f>
        <v>#REF!</v>
      </c>
      <c r="AM131" s="439"/>
      <c r="AN131" s="440"/>
      <c r="AO131" s="431"/>
      <c r="AP131" s="429"/>
      <c r="AQ131" s="899"/>
      <c r="AR131" s="899"/>
      <c r="AS131" s="278"/>
      <c r="AV131" s="279"/>
    </row>
    <row r="132" spans="1:48" s="304" customFormat="1" ht="17.25" customHeight="1" x14ac:dyDescent="0.35">
      <c r="A132" s="419"/>
      <c r="B132" s="1024"/>
      <c r="C132" s="1025"/>
      <c r="D132" s="1025"/>
      <c r="E132" s="1025"/>
      <c r="F132" s="1025"/>
      <c r="G132" s="1025"/>
      <c r="H132" s="1025"/>
      <c r="I132" s="1026"/>
      <c r="J132" s="420"/>
      <c r="K132" s="378"/>
      <c r="L132" s="378"/>
      <c r="M132" s="1027"/>
      <c r="N132" s="841"/>
      <c r="O132" s="421"/>
      <c r="P132" s="421"/>
      <c r="Q132" s="421">
        <f>SUM(O129+P129-Q129)</f>
        <v>2577956932</v>
      </c>
      <c r="R132" s="421">
        <f>SUM(O128+P128-Q128)</f>
        <v>44606200</v>
      </c>
      <c r="S132" s="120"/>
      <c r="T132" s="120"/>
      <c r="U132" s="120"/>
      <c r="V132" s="120"/>
      <c r="W132" s="422"/>
      <c r="X132" s="421"/>
      <c r="Y132" s="433"/>
      <c r="Z132" s="434"/>
      <c r="AA132" s="312">
        <f>SUM(R128-S128-U128-W128-X128-Y128-Z128)</f>
        <v>0</v>
      </c>
      <c r="AB132" s="425"/>
      <c r="AC132" s="312"/>
      <c r="AD132" s="312"/>
      <c r="AE132" s="424">
        <f>SUM(AA128-AC128)</f>
        <v>0</v>
      </c>
      <c r="AF132" s="435" t="e">
        <f>SUM(AA128-AC128-#REF!)</f>
        <v>#REF!</v>
      </c>
      <c r="AG132" s="434"/>
      <c r="AH132" s="436"/>
      <c r="AI132" s="437"/>
      <c r="AJ132" s="438"/>
      <c r="AK132" s="429"/>
      <c r="AL132" s="430" t="e">
        <f>SUM(AE132-AF132-#REF!-#REF!)</f>
        <v>#REF!</v>
      </c>
      <c r="AM132" s="439"/>
      <c r="AN132" s="440"/>
      <c r="AO132" s="431"/>
      <c r="AP132" s="429"/>
      <c r="AQ132" s="899"/>
      <c r="AR132" s="899"/>
      <c r="AS132" s="278"/>
      <c r="AV132" s="279"/>
    </row>
    <row r="133" spans="1:48" s="449" customFormat="1" ht="26.25" x14ac:dyDescent="0.35">
      <c r="A133" s="121"/>
      <c r="B133" s="122"/>
      <c r="C133" s="122"/>
      <c r="D133" s="122"/>
      <c r="E133" s="122"/>
      <c r="F133" s="122"/>
      <c r="G133" s="122"/>
      <c r="H133" s="122"/>
      <c r="I133" s="122"/>
      <c r="J133" s="123"/>
      <c r="K133" s="124"/>
      <c r="L133" s="124"/>
      <c r="M133" s="124"/>
      <c r="N133" s="124"/>
      <c r="O133" s="125"/>
      <c r="P133" s="125"/>
      <c r="Q133" s="125"/>
      <c r="R133" s="125"/>
      <c r="S133" s="125"/>
      <c r="T133" s="125"/>
      <c r="U133" s="125"/>
      <c r="V133" s="125"/>
      <c r="W133" s="125"/>
      <c r="X133" s="125"/>
      <c r="Y133" s="125"/>
      <c r="Z133" s="126"/>
      <c r="AA133" s="126"/>
      <c r="AB133" s="126"/>
      <c r="AC133" s="126"/>
      <c r="AD133" s="126"/>
      <c r="AE133" s="127"/>
      <c r="AF133" s="126"/>
      <c r="AG133" s="126"/>
      <c r="AH133" s="128"/>
      <c r="AI133" s="900"/>
      <c r="AJ133" s="441"/>
      <c r="AK133" s="442"/>
      <c r="AL133" s="443"/>
      <c r="AM133" s="444"/>
      <c r="AN133" s="445"/>
      <c r="AO133" s="446"/>
      <c r="AP133" s="447"/>
      <c r="AQ133" s="901"/>
      <c r="AR133" s="901"/>
      <c r="AS133" s="448"/>
      <c r="AV133" s="450"/>
    </row>
    <row r="134" spans="1:48" s="168" customFormat="1" ht="57.75" customHeight="1" x14ac:dyDescent="0.35">
      <c r="A134" s="129"/>
      <c r="B134" s="1002" t="s">
        <v>263</v>
      </c>
      <c r="C134" s="1003"/>
      <c r="D134" s="1003"/>
      <c r="E134" s="1003"/>
      <c r="F134" s="1003"/>
      <c r="G134" s="1003"/>
      <c r="H134" s="1003"/>
      <c r="I134" s="1003"/>
      <c r="J134" s="1003"/>
      <c r="K134" s="118"/>
      <c r="L134" s="118"/>
      <c r="M134" s="118"/>
      <c r="N134" s="118"/>
      <c r="O134" s="130"/>
      <c r="P134" s="130"/>
      <c r="Q134" s="130"/>
      <c r="R134" s="130"/>
      <c r="S134" s="130"/>
      <c r="T134" s="130"/>
      <c r="U134" s="130"/>
      <c r="V134" s="130"/>
      <c r="W134" s="130"/>
      <c r="X134" s="130"/>
      <c r="Y134" s="131"/>
      <c r="Z134" s="132"/>
      <c r="AA134" s="119"/>
      <c r="AB134" s="119"/>
      <c r="AC134" s="119"/>
      <c r="AD134" s="119"/>
      <c r="AE134" s="132"/>
      <c r="AF134" s="132"/>
      <c r="AG134" s="132"/>
      <c r="AH134" s="133"/>
      <c r="AI134" s="134"/>
      <c r="AJ134" s="135"/>
      <c r="AK134" s="136"/>
      <c r="AL134" s="451"/>
      <c r="AM134" s="452"/>
      <c r="AN134" s="181"/>
      <c r="AO134" s="453"/>
      <c r="AP134" s="71"/>
      <c r="AQ134" s="875"/>
      <c r="AR134" s="875"/>
      <c r="AS134" s="288"/>
      <c r="AV134" s="289"/>
    </row>
    <row r="135" spans="1:48" ht="40.5" customHeight="1" x14ac:dyDescent="0.35">
      <c r="A135" s="454" t="s">
        <v>29</v>
      </c>
      <c r="B135" s="455">
        <v>3</v>
      </c>
      <c r="C135" s="455">
        <v>6</v>
      </c>
      <c r="D135" s="455">
        <v>3</v>
      </c>
      <c r="E135" s="455">
        <v>20</v>
      </c>
      <c r="F135" s="455"/>
      <c r="G135" s="455" t="s">
        <v>264</v>
      </c>
      <c r="H135" s="455">
        <v>10</v>
      </c>
      <c r="I135" s="455" t="s">
        <v>265</v>
      </c>
      <c r="J135" s="456" t="s">
        <v>263</v>
      </c>
      <c r="K135" s="457"/>
      <c r="L135" s="457"/>
      <c r="M135" s="457"/>
      <c r="N135" s="457"/>
      <c r="O135" s="137">
        <v>1174750619</v>
      </c>
      <c r="P135" s="137">
        <v>0</v>
      </c>
      <c r="Q135" s="137">
        <v>1174750619</v>
      </c>
      <c r="R135" s="137">
        <f>SUM(O135+P135-Q135)</f>
        <v>0</v>
      </c>
      <c r="S135" s="137"/>
      <c r="T135" s="130"/>
      <c r="U135" s="130"/>
      <c r="V135" s="130"/>
      <c r="W135" s="130"/>
      <c r="X135" s="130"/>
      <c r="Y135" s="131"/>
      <c r="Z135" s="132"/>
      <c r="AA135" s="119">
        <f>SUM(R135-S135-U135-W135-X135-Y135-Z135)</f>
        <v>0</v>
      </c>
      <c r="AB135" s="119"/>
      <c r="AC135" s="119"/>
      <c r="AD135" s="119"/>
      <c r="AE135" s="132"/>
      <c r="AF135" s="132"/>
      <c r="AG135" s="132"/>
      <c r="AH135" s="133"/>
      <c r="AI135" s="134"/>
      <c r="AJ135" s="135"/>
      <c r="AL135" s="451" t="e">
        <f>SUM(AE135-AF135-#REF!-#REF!)</f>
        <v>#REF!</v>
      </c>
      <c r="AM135" s="458"/>
      <c r="AO135" s="329"/>
      <c r="AP135" s="138"/>
      <c r="AQ135" s="902"/>
      <c r="AR135" s="902"/>
    </row>
    <row r="136" spans="1:48" s="449" customFormat="1" ht="28.5" customHeight="1" x14ac:dyDescent="0.35">
      <c r="A136" s="121"/>
      <c r="B136" s="122"/>
      <c r="C136" s="122"/>
      <c r="D136" s="122"/>
      <c r="E136" s="122"/>
      <c r="F136" s="122"/>
      <c r="G136" s="122"/>
      <c r="H136" s="122"/>
      <c r="I136" s="122">
        <f>SUBTOTAL(9,R138:R141)</f>
        <v>20397418487</v>
      </c>
      <c r="J136" s="139" t="s">
        <v>266</v>
      </c>
      <c r="K136" s="140"/>
      <c r="L136" s="140"/>
      <c r="M136" s="140"/>
      <c r="N136" s="140"/>
      <c r="O136" s="141">
        <f>SUM(O135:O135)</f>
        <v>1174750619</v>
      </c>
      <c r="P136" s="141">
        <f>SUM(P135:P135)</f>
        <v>0</v>
      </c>
      <c r="Q136" s="141">
        <f>SUM(Q135:Q135)</f>
        <v>1174750619</v>
      </c>
      <c r="R136" s="141">
        <f>SUM(R135:R135)</f>
        <v>0</v>
      </c>
      <c r="S136" s="141"/>
      <c r="T136" s="141"/>
      <c r="U136" s="141">
        <f>SUM(U135:U135)</f>
        <v>0</v>
      </c>
      <c r="V136" s="141"/>
      <c r="W136" s="141">
        <f>SUM(W135:W135)</f>
        <v>0</v>
      </c>
      <c r="X136" s="141"/>
      <c r="Y136" s="131"/>
      <c r="Z136" s="142"/>
      <c r="AA136" s="141">
        <f>SUM(AA135:AA135)</f>
        <v>0</v>
      </c>
      <c r="AB136" s="141">
        <f>SUM(AB135:AB135)</f>
        <v>0</v>
      </c>
      <c r="AC136" s="141"/>
      <c r="AD136" s="141"/>
      <c r="AE136" s="142">
        <f>SUM(AA136-AC136)</f>
        <v>0</v>
      </c>
      <c r="AF136" s="142"/>
      <c r="AG136" s="142"/>
      <c r="AH136" s="143"/>
      <c r="AI136" s="144"/>
      <c r="AJ136" s="142"/>
      <c r="AK136" s="145"/>
      <c r="AL136" s="451" t="e">
        <f>SUM(AE136-AF136-#REF!-#REF!)</f>
        <v>#REF!</v>
      </c>
      <c r="AM136" s="459"/>
      <c r="AN136" s="181"/>
      <c r="AO136" s="460"/>
      <c r="AP136" s="145"/>
      <c r="AQ136" s="903"/>
      <c r="AR136" s="903"/>
      <c r="AS136" s="461"/>
      <c r="AV136" s="450"/>
    </row>
    <row r="137" spans="1:48" s="449" customFormat="1" ht="28.5" customHeight="1" x14ac:dyDescent="0.35">
      <c r="A137" s="121"/>
      <c r="B137" s="1004" t="s">
        <v>267</v>
      </c>
      <c r="C137" s="1005"/>
      <c r="D137" s="1005"/>
      <c r="E137" s="1005"/>
      <c r="F137" s="1005"/>
      <c r="G137" s="1005"/>
      <c r="H137" s="1005"/>
      <c r="I137" s="1005"/>
      <c r="J137" s="1006"/>
      <c r="K137" s="140"/>
      <c r="L137" s="140"/>
      <c r="M137" s="140"/>
      <c r="N137" s="140"/>
      <c r="O137" s="141"/>
      <c r="P137" s="141"/>
      <c r="Q137" s="141"/>
      <c r="R137" s="141"/>
      <c r="S137" s="141"/>
      <c r="T137" s="141"/>
      <c r="U137" s="141"/>
      <c r="V137" s="141"/>
      <c r="W137" s="141"/>
      <c r="X137" s="141"/>
      <c r="Y137" s="131"/>
      <c r="Z137" s="142"/>
      <c r="AA137" s="141"/>
      <c r="AB137" s="141"/>
      <c r="AC137" s="141"/>
      <c r="AD137" s="141"/>
      <c r="AE137" s="142"/>
      <c r="AF137" s="142"/>
      <c r="AG137" s="142"/>
      <c r="AH137" s="144"/>
      <c r="AI137" s="144"/>
      <c r="AJ137" s="142"/>
      <c r="AK137" s="145"/>
      <c r="AL137" s="451"/>
      <c r="AM137" s="459"/>
      <c r="AN137" s="181"/>
      <c r="AO137" s="460"/>
      <c r="AP137" s="145"/>
      <c r="AQ137" s="903">
        <v>0</v>
      </c>
      <c r="AR137" s="903"/>
      <c r="AS137" s="461"/>
      <c r="AV137" s="450"/>
    </row>
    <row r="138" spans="1:48" ht="100.5" customHeight="1" x14ac:dyDescent="0.35">
      <c r="A138" s="454" t="s">
        <v>30</v>
      </c>
      <c r="B138" s="146">
        <v>505</v>
      </c>
      <c r="C138" s="146">
        <v>1000</v>
      </c>
      <c r="D138" s="146" t="s">
        <v>245</v>
      </c>
      <c r="E138" s="146" t="s">
        <v>125</v>
      </c>
      <c r="F138" s="146" t="s">
        <v>125</v>
      </c>
      <c r="G138" s="146" t="s">
        <v>264</v>
      </c>
      <c r="H138" s="146">
        <v>11</v>
      </c>
      <c r="I138" s="147" t="s">
        <v>265</v>
      </c>
      <c r="J138" s="273" t="s">
        <v>336</v>
      </c>
      <c r="K138" s="148" t="s">
        <v>268</v>
      </c>
      <c r="L138" s="149" t="s">
        <v>269</v>
      </c>
      <c r="M138" s="149">
        <v>2</v>
      </c>
      <c r="N138" s="76"/>
      <c r="O138" s="76">
        <v>7645858774</v>
      </c>
      <c r="P138" s="76"/>
      <c r="Q138" s="255"/>
      <c r="R138" s="496">
        <f>SUM(O138+P138-Q138)</f>
        <v>7645858774</v>
      </c>
      <c r="S138" s="150"/>
      <c r="T138" s="150"/>
      <c r="U138" s="150"/>
      <c r="V138" s="150"/>
      <c r="W138" s="151">
        <v>250000000</v>
      </c>
      <c r="X138" s="151"/>
      <c r="Y138" s="152">
        <f>SUM(V138)</f>
        <v>0</v>
      </c>
      <c r="Z138" s="256"/>
      <c r="AA138" s="151">
        <f>SUM(R138-S138-U138-W138-X138-Y138-Z138)</f>
        <v>7395858774</v>
      </c>
      <c r="AB138" s="153">
        <v>7470479598</v>
      </c>
      <c r="AC138" s="153">
        <v>7306620261</v>
      </c>
      <c r="AD138" s="151">
        <f>SUM(AB138-AC138)</f>
        <v>163859337</v>
      </c>
      <c r="AE138" s="151">
        <f>SUM(AA138-AC138)</f>
        <v>89238513</v>
      </c>
      <c r="AF138" s="151"/>
      <c r="AG138" s="151">
        <f>SUM(AE138-AF138)</f>
        <v>89238513</v>
      </c>
      <c r="AH138" s="153">
        <f>SUM(S138+U138+W138+Z138+X138+AC138)</f>
        <v>7556620261</v>
      </c>
      <c r="AI138" s="897">
        <f>AC138/(AC138+AF138+AG138)</f>
        <v>0.9879339890434744</v>
      </c>
      <c r="AJ138" s="462"/>
      <c r="AK138" s="463"/>
      <c r="AL138" s="464" t="e">
        <f>SUM(AE138-AF138-#REF!-#REF!)</f>
        <v>#REF!</v>
      </c>
      <c r="AM138" s="465">
        <f>SUM(R138-(AE138+Y138))/R138</f>
        <v>0.98832851669933286</v>
      </c>
      <c r="AN138" s="154"/>
      <c r="AO138" s="453"/>
      <c r="AQ138" s="875"/>
      <c r="AR138" s="875"/>
    </row>
    <row r="139" spans="1:48" ht="100.5" customHeight="1" x14ac:dyDescent="0.35">
      <c r="A139" s="454"/>
      <c r="B139" s="146">
        <v>505</v>
      </c>
      <c r="C139" s="146">
        <v>1000</v>
      </c>
      <c r="D139" s="146" t="s">
        <v>186</v>
      </c>
      <c r="E139" s="146" t="s">
        <v>125</v>
      </c>
      <c r="F139" s="146" t="s">
        <v>125</v>
      </c>
      <c r="G139" s="146" t="s">
        <v>264</v>
      </c>
      <c r="H139" s="146">
        <v>11</v>
      </c>
      <c r="I139" s="147" t="s">
        <v>265</v>
      </c>
      <c r="J139" s="273" t="s">
        <v>316</v>
      </c>
      <c r="K139" s="148"/>
      <c r="L139" s="149"/>
      <c r="M139" s="149"/>
      <c r="N139" s="76"/>
      <c r="O139" s="76">
        <v>8130976879</v>
      </c>
      <c r="P139" s="76"/>
      <c r="Q139" s="255"/>
      <c r="R139" s="496">
        <f>SUM(O139+P139-Q139)</f>
        <v>8130976879</v>
      </c>
      <c r="S139" s="150"/>
      <c r="T139" s="150"/>
      <c r="U139" s="150"/>
      <c r="V139" s="150"/>
      <c r="W139" s="151">
        <v>68245436</v>
      </c>
      <c r="X139" s="151"/>
      <c r="Y139" s="152"/>
      <c r="Z139" s="151"/>
      <c r="AA139" s="151">
        <f>SUM(R139-S139-U139-W139-X139-Y139-Z139)</f>
        <v>8062731443</v>
      </c>
      <c r="AB139" s="153">
        <v>8725843544.9333344</v>
      </c>
      <c r="AC139" s="153">
        <v>7239272698.5</v>
      </c>
      <c r="AD139" s="151">
        <f>SUM(AB139-AC139)</f>
        <v>1486570846.4333344</v>
      </c>
      <c r="AE139" s="151">
        <f>SUM(AA139-AC139)</f>
        <v>823458744.5</v>
      </c>
      <c r="AF139" s="151">
        <v>771196859</v>
      </c>
      <c r="AG139" s="151">
        <f>SUM(AE139-AF139)</f>
        <v>52261885.5</v>
      </c>
      <c r="AH139" s="153">
        <f>SUM(S139+U139+W139+Z139+X139+AC139)</f>
        <v>7307518134.5</v>
      </c>
      <c r="AI139" s="897">
        <f>AC139/(AC139+AF139+AG139)</f>
        <v>0.89786851387504407</v>
      </c>
      <c r="AJ139" s="462"/>
      <c r="AK139" s="463"/>
      <c r="AL139" s="464"/>
      <c r="AM139" s="465">
        <f>SUM(R139-(AE139+Y139))/R139</f>
        <v>0.89872573040679038</v>
      </c>
      <c r="AN139" s="154"/>
      <c r="AO139" s="453"/>
      <c r="AP139" s="155"/>
      <c r="AQ139" s="875"/>
      <c r="AR139" s="875"/>
    </row>
    <row r="140" spans="1:48" ht="98.25" customHeight="1" x14ac:dyDescent="0.35">
      <c r="A140" s="454" t="s">
        <v>30</v>
      </c>
      <c r="B140" s="146" t="s">
        <v>311</v>
      </c>
      <c r="C140" s="146">
        <v>1000</v>
      </c>
      <c r="D140" s="146" t="s">
        <v>186</v>
      </c>
      <c r="E140" s="146" t="s">
        <v>125</v>
      </c>
      <c r="F140" s="146" t="s">
        <v>125</v>
      </c>
      <c r="G140" s="146" t="s">
        <v>264</v>
      </c>
      <c r="H140" s="146">
        <v>11</v>
      </c>
      <c r="I140" s="147" t="s">
        <v>265</v>
      </c>
      <c r="J140" s="273" t="s">
        <v>270</v>
      </c>
      <c r="K140" s="148"/>
      <c r="L140" s="149"/>
      <c r="M140" s="149"/>
      <c r="N140" s="76">
        <v>1260000000</v>
      </c>
      <c r="O140" s="76">
        <v>1260000000</v>
      </c>
      <c r="P140" s="76"/>
      <c r="Q140" s="255">
        <v>1072791313</v>
      </c>
      <c r="R140" s="496">
        <f>SUM(O140+P140-Q140)</f>
        <v>187208687</v>
      </c>
      <c r="S140" s="150"/>
      <c r="T140" s="150"/>
      <c r="U140" s="150"/>
      <c r="V140" s="150"/>
      <c r="W140" s="151"/>
      <c r="X140" s="657">
        <v>27714576</v>
      </c>
      <c r="Y140" s="152">
        <f>SUM(V140)</f>
        <v>0</v>
      </c>
      <c r="Z140" s="151"/>
      <c r="AA140" s="151">
        <f>SUM(R140-S140-U140-W140-X140-Y140-Z140)</f>
        <v>159494111</v>
      </c>
      <c r="AB140" s="153">
        <v>159494110</v>
      </c>
      <c r="AC140" s="153">
        <v>145039237</v>
      </c>
      <c r="AD140" s="151">
        <f>SUM(AB140-AC140)</f>
        <v>14454873</v>
      </c>
      <c r="AE140" s="151">
        <f>SUM(AA140-AC140)</f>
        <v>14454874</v>
      </c>
      <c r="AF140" s="151"/>
      <c r="AG140" s="151">
        <f>SUM(AE140-AF140)</f>
        <v>14454874</v>
      </c>
      <c r="AH140" s="153">
        <f>SUM(S140+U140+W140+Z140+X140+AC140)</f>
        <v>172753813</v>
      </c>
      <c r="AI140" s="897">
        <f>AC140/(AC140+AF140+AG140)</f>
        <v>0.90937048453155744</v>
      </c>
      <c r="AJ140" s="462"/>
      <c r="AK140" s="463"/>
      <c r="AL140" s="464" t="e">
        <f>SUM(AE140-AF140-#REF!-#REF!)</f>
        <v>#REF!</v>
      </c>
      <c r="AM140" s="465">
        <f>SUM(R140-(AE140+Y140))/R140</f>
        <v>0.92278737578027026</v>
      </c>
      <c r="AN140" s="154"/>
      <c r="AO140" s="453"/>
      <c r="AP140" s="156"/>
      <c r="AQ140" s="875"/>
      <c r="AR140" s="875"/>
    </row>
    <row r="141" spans="1:48" ht="102.75" customHeight="1" x14ac:dyDescent="0.35">
      <c r="A141" s="454"/>
      <c r="B141" s="146" t="s">
        <v>311</v>
      </c>
      <c r="C141" s="146">
        <v>1000</v>
      </c>
      <c r="D141" s="146" t="s">
        <v>241</v>
      </c>
      <c r="E141" s="146" t="s">
        <v>125</v>
      </c>
      <c r="F141" s="146" t="s">
        <v>125</v>
      </c>
      <c r="G141" s="146" t="s">
        <v>264</v>
      </c>
      <c r="H141" s="146">
        <v>11</v>
      </c>
      <c r="I141" s="147" t="s">
        <v>265</v>
      </c>
      <c r="J141" s="273" t="s">
        <v>315</v>
      </c>
      <c r="K141" s="148"/>
      <c r="L141" s="149"/>
      <c r="M141" s="149"/>
      <c r="N141" s="76"/>
      <c r="O141" s="76">
        <v>3360582834</v>
      </c>
      <c r="P141" s="255">
        <v>1072791313</v>
      </c>
      <c r="Q141" s="255"/>
      <c r="R141" s="496">
        <f>SUM(O141+P141-Q141)</f>
        <v>4433374147</v>
      </c>
      <c r="S141" s="150"/>
      <c r="T141" s="150"/>
      <c r="U141" s="150"/>
      <c r="V141" s="150"/>
      <c r="W141" s="151"/>
      <c r="X141" s="151"/>
      <c r="Y141" s="152"/>
      <c r="Z141" s="151"/>
      <c r="AA141" s="151">
        <f>SUM(R141-S141-U141-W141-X141-Y141-Z141)</f>
        <v>4433374147</v>
      </c>
      <c r="AB141" s="153">
        <v>4727387385.4466667</v>
      </c>
      <c r="AC141" s="153">
        <v>3515727635.9499998</v>
      </c>
      <c r="AD141" s="151">
        <f>SUM(AB141-AC141)</f>
        <v>1211659749.4966669</v>
      </c>
      <c r="AE141" s="151">
        <f>SUM(AA141-AC141)</f>
        <v>917646511.05000019</v>
      </c>
      <c r="AF141" s="151">
        <v>259463300</v>
      </c>
      <c r="AG141" s="151">
        <f>SUM(AE141-AF141)</f>
        <v>658183211.05000019</v>
      </c>
      <c r="AH141" s="153">
        <f>SUM(S141+U141+W141+Z141+X141+AC141)</f>
        <v>3515727635.9499998</v>
      </c>
      <c r="AI141" s="897">
        <f>AC141/(AC141+AF141+AG141)</f>
        <v>0.79301397070875279</v>
      </c>
      <c r="AJ141" s="462"/>
      <c r="AK141" s="463"/>
      <c r="AL141" s="464"/>
      <c r="AM141" s="465">
        <f>SUM(R141-(AE141+Y141))/R141</f>
        <v>0.79301397070875279</v>
      </c>
      <c r="AN141" s="154"/>
      <c r="AO141" s="453"/>
      <c r="AP141" s="155"/>
      <c r="AQ141" s="875"/>
      <c r="AR141" s="875"/>
    </row>
    <row r="142" spans="1:48" s="471" customFormat="1" ht="53.25" customHeight="1" x14ac:dyDescent="0.35">
      <c r="A142" s="121"/>
      <c r="B142" s="122"/>
      <c r="C142" s="122"/>
      <c r="D142" s="122"/>
      <c r="E142" s="122"/>
      <c r="F142" s="122"/>
      <c r="G142" s="122"/>
      <c r="H142" s="122"/>
      <c r="I142" s="122"/>
      <c r="J142" s="509" t="s">
        <v>271</v>
      </c>
      <c r="K142" s="140"/>
      <c r="L142" s="140"/>
      <c r="M142" s="140"/>
      <c r="N142" s="140">
        <f>SUM(N138:N141)</f>
        <v>1260000000</v>
      </c>
      <c r="O142" s="158">
        <f>SUM(O138:O141)</f>
        <v>20397418487</v>
      </c>
      <c r="P142" s="158">
        <f>SUM(P138:P141)</f>
        <v>1072791313</v>
      </c>
      <c r="Q142" s="158">
        <f>SUM(Q138:Q141)</f>
        <v>1072791313</v>
      </c>
      <c r="R142" s="158">
        <f>SUM(R138:R141)</f>
        <v>20397418487</v>
      </c>
      <c r="S142" s="158"/>
      <c r="T142" s="158"/>
      <c r="U142" s="158">
        <f>SUM(U138:U141)</f>
        <v>0</v>
      </c>
      <c r="V142" s="158"/>
      <c r="W142" s="158">
        <f t="shared" ref="W142:AH142" si="101">SUM(W138:W141)</f>
        <v>318245436</v>
      </c>
      <c r="X142" s="158">
        <f t="shared" si="101"/>
        <v>27714576</v>
      </c>
      <c r="Y142" s="159">
        <f t="shared" si="101"/>
        <v>0</v>
      </c>
      <c r="Z142" s="510">
        <f t="shared" si="101"/>
        <v>0</v>
      </c>
      <c r="AA142" s="511">
        <f t="shared" si="101"/>
        <v>20051458475</v>
      </c>
      <c r="AB142" s="345">
        <f t="shared" si="101"/>
        <v>21083204638.380001</v>
      </c>
      <c r="AC142" s="512">
        <f t="shared" si="101"/>
        <v>18206659832.450001</v>
      </c>
      <c r="AD142" s="512">
        <f t="shared" si="101"/>
        <v>2876544805.9300013</v>
      </c>
      <c r="AE142" s="512">
        <f t="shared" si="101"/>
        <v>1844798642.5500002</v>
      </c>
      <c r="AF142" s="512">
        <f t="shared" si="101"/>
        <v>1030660159</v>
      </c>
      <c r="AG142" s="512">
        <f t="shared" si="101"/>
        <v>814138483.55000019</v>
      </c>
      <c r="AH142" s="512">
        <f t="shared" si="101"/>
        <v>18552619844.450001</v>
      </c>
      <c r="AI142" s="904">
        <f>AC142/(AC142+AF142+AG142)</f>
        <v>0.90799678512911763</v>
      </c>
      <c r="AJ142" s="466"/>
      <c r="AK142" s="467"/>
      <c r="AL142" s="468" t="e">
        <f>SUM(AE142-AF142-#REF!-#REF!)</f>
        <v>#REF!</v>
      </c>
      <c r="AM142" s="469">
        <f>SUM(R142-(AE142+Y142))/R142</f>
        <v>0.90955724893688117</v>
      </c>
      <c r="AN142" s="157"/>
      <c r="AO142" s="460"/>
      <c r="AP142" s="470"/>
      <c r="AQ142" s="903"/>
      <c r="AR142" s="903"/>
      <c r="AS142" s="461"/>
      <c r="AV142" s="450"/>
    </row>
    <row r="143" spans="1:48" s="477" customFormat="1" x14ac:dyDescent="0.35">
      <c r="A143" s="472" t="s">
        <v>125</v>
      </c>
      <c r="B143" s="473" t="s">
        <v>125</v>
      </c>
      <c r="C143" s="473" t="s">
        <v>125</v>
      </c>
      <c r="D143" s="473" t="s">
        <v>125</v>
      </c>
      <c r="E143" s="473" t="s">
        <v>125</v>
      </c>
      <c r="F143" s="473" t="s">
        <v>125</v>
      </c>
      <c r="G143" s="473" t="s">
        <v>125</v>
      </c>
      <c r="H143" s="473" t="s">
        <v>125</v>
      </c>
      <c r="I143" s="473" t="s">
        <v>125</v>
      </c>
      <c r="J143" s="160"/>
      <c r="K143" s="457"/>
      <c r="L143" s="457"/>
      <c r="M143" s="457"/>
      <c r="N143" s="457"/>
      <c r="O143" s="137"/>
      <c r="P143" s="137"/>
      <c r="Q143" s="161"/>
      <c r="R143" s="161"/>
      <c r="S143" s="161"/>
      <c r="T143" s="161"/>
      <c r="U143" s="161"/>
      <c r="V143" s="161"/>
      <c r="W143" s="161"/>
      <c r="X143" s="161"/>
      <c r="Y143" s="162" t="s">
        <v>272</v>
      </c>
      <c r="Z143" s="163"/>
      <c r="AA143" s="161"/>
      <c r="AB143" s="161"/>
      <c r="AC143" s="161"/>
      <c r="AD143" s="251"/>
      <c r="AE143" s="142">
        <f>SUM(AA142-AC142)</f>
        <v>1844798642.5499992</v>
      </c>
      <c r="AF143" s="142"/>
      <c r="AG143" s="252">
        <f>SUM(AE142-AF142)</f>
        <v>814138483.55000019</v>
      </c>
      <c r="AH143" s="252"/>
      <c r="AI143" s="253"/>
      <c r="AJ143" s="164"/>
      <c r="AK143" s="165"/>
      <c r="AL143" s="474"/>
      <c r="AM143" s="475"/>
      <c r="AN143" s="476"/>
      <c r="AP143" s="478"/>
      <c r="AQ143" s="905"/>
      <c r="AR143" s="905"/>
      <c r="AS143" s="278"/>
      <c r="AV143" s="279"/>
    </row>
    <row r="144" spans="1:48" s="477" customFormat="1" ht="27.75" customHeight="1" x14ac:dyDescent="0.35">
      <c r="A144" s="166"/>
      <c r="B144" s="479"/>
      <c r="C144" s="479"/>
      <c r="D144" s="479"/>
      <c r="E144" s="479"/>
      <c r="F144" s="479"/>
      <c r="G144" s="479"/>
      <c r="H144" s="479"/>
      <c r="I144" s="479"/>
      <c r="J144" s="480"/>
      <c r="K144" s="166"/>
      <c r="L144" s="166"/>
      <c r="M144" s="481"/>
      <c r="N144" s="166"/>
      <c r="O144" s="166"/>
      <c r="P144" s="166"/>
      <c r="Q144" s="166"/>
      <c r="R144" s="167"/>
      <c r="S144" s="167"/>
      <c r="T144" s="167"/>
      <c r="U144" s="168"/>
      <c r="V144" s="168"/>
      <c r="W144" s="168"/>
      <c r="X144" s="166"/>
      <c r="Y144" s="169"/>
      <c r="Z144" s="170"/>
      <c r="AA144" s="166"/>
      <c r="AB144" s="171"/>
      <c r="AC144" s="171"/>
      <c r="AD144" s="171"/>
      <c r="AE144" s="170"/>
      <c r="AF144" s="172" t="e">
        <f>#REF!+#REF!+AF138+#REF!</f>
        <v>#REF!</v>
      </c>
      <c r="AG144" s="172" t="e">
        <f>#REF!+#REF!+AG138+#REF!</f>
        <v>#REF!</v>
      </c>
      <c r="AH144" s="173"/>
      <c r="AI144" s="174"/>
      <c r="AJ144" s="170"/>
      <c r="AK144" s="175"/>
      <c r="AM144" s="482"/>
      <c r="AN144" s="476"/>
      <c r="AQ144" s="847"/>
      <c r="AR144" s="847"/>
      <c r="AS144" s="278"/>
      <c r="AV144" s="279"/>
    </row>
    <row r="145" spans="1:48" s="477" customFormat="1" ht="66" customHeight="1" x14ac:dyDescent="0.35">
      <c r="A145" s="166"/>
      <c r="B145" s="479" t="s">
        <v>7</v>
      </c>
      <c r="C145" s="479"/>
      <c r="D145" s="479"/>
      <c r="E145" s="479"/>
      <c r="F145" s="479"/>
      <c r="G145" s="479"/>
      <c r="H145" s="479"/>
      <c r="I145" s="479"/>
      <c r="J145" s="480"/>
      <c r="K145" s="166"/>
      <c r="L145" s="166"/>
      <c r="M145" s="481"/>
      <c r="N145" s="166"/>
      <c r="O145" s="166"/>
      <c r="P145" s="166"/>
      <c r="Q145" s="166"/>
      <c r="R145" s="167"/>
      <c r="S145" s="167"/>
      <c r="T145" s="167"/>
      <c r="U145" s="168"/>
      <c r="V145" s="168"/>
      <c r="W145" s="168"/>
      <c r="X145" s="1007" t="s">
        <v>2068</v>
      </c>
      <c r="Y145" s="1007"/>
      <c r="Z145" s="1007"/>
      <c r="AA145" s="1007"/>
      <c r="AB145" s="1007"/>
      <c r="AC145" s="1007"/>
      <c r="AD145" s="1007"/>
      <c r="AE145" s="1007"/>
      <c r="AF145" s="1007"/>
      <c r="AG145" s="1007"/>
      <c r="AH145" s="1007"/>
      <c r="AI145" s="176"/>
      <c r="AJ145" s="177"/>
      <c r="AK145" s="177"/>
      <c r="AL145" s="177"/>
      <c r="AM145" s="177"/>
      <c r="AN145" s="476"/>
      <c r="AQ145" s="847"/>
      <c r="AR145" s="847"/>
      <c r="AS145" s="278"/>
      <c r="AV145" s="279"/>
    </row>
    <row r="146" spans="1:48" s="477" customFormat="1" ht="81.75" customHeight="1" x14ac:dyDescent="0.35">
      <c r="A146" s="166"/>
      <c r="B146" s="479"/>
      <c r="C146" s="479"/>
      <c r="D146" s="479"/>
      <c r="E146" s="479"/>
      <c r="F146" s="479"/>
      <c r="G146" s="479"/>
      <c r="H146" s="479"/>
      <c r="I146" s="479"/>
      <c r="J146" s="483"/>
      <c r="K146" s="166"/>
      <c r="L146" s="166"/>
      <c r="M146" s="166"/>
      <c r="N146" s="166"/>
      <c r="O146" s="168"/>
      <c r="P146" s="168"/>
      <c r="Q146" s="178"/>
      <c r="R146" s="178"/>
      <c r="S146" s="178"/>
      <c r="T146" s="178"/>
      <c r="U146" s="168"/>
      <c r="V146" s="168"/>
      <c r="W146" s="168"/>
      <c r="X146" s="1008" t="s">
        <v>273</v>
      </c>
      <c r="Y146" s="1008"/>
      <c r="Z146" s="1008"/>
      <c r="AA146" s="842" t="s">
        <v>274</v>
      </c>
      <c r="AB146" s="498" t="s">
        <v>152</v>
      </c>
      <c r="AC146" s="498" t="s">
        <v>153</v>
      </c>
      <c r="AD146" s="842" t="s">
        <v>275</v>
      </c>
      <c r="AE146" s="499" t="s">
        <v>276</v>
      </c>
      <c r="AF146" s="499" t="s">
        <v>156</v>
      </c>
      <c r="AG146" s="499" t="s">
        <v>157</v>
      </c>
      <c r="AH146" s="906" t="s">
        <v>277</v>
      </c>
      <c r="AI146" s="907"/>
      <c r="AJ146" s="908" t="s">
        <v>159</v>
      </c>
      <c r="AK146" s="908" t="s">
        <v>159</v>
      </c>
      <c r="AL146" s="908" t="s">
        <v>159</v>
      </c>
      <c r="AM146" s="908" t="s">
        <v>130</v>
      </c>
      <c r="AN146" s="476"/>
      <c r="AQ146" s="847"/>
      <c r="AR146" s="847"/>
      <c r="AS146" s="278"/>
      <c r="AV146" s="279"/>
    </row>
    <row r="147" spans="1:48" s="477" customFormat="1" ht="60.75" customHeight="1" x14ac:dyDescent="0.35">
      <c r="A147" s="166"/>
      <c r="B147" s="479"/>
      <c r="C147" s="479"/>
      <c r="D147" s="479"/>
      <c r="E147" s="479"/>
      <c r="F147" s="479"/>
      <c r="G147" s="479"/>
      <c r="H147" s="479"/>
      <c r="I147" s="479"/>
      <c r="J147" s="179"/>
      <c r="K147" s="180"/>
      <c r="L147" s="180"/>
      <c r="M147" s="180"/>
      <c r="N147" s="180"/>
      <c r="O147" s="181"/>
      <c r="P147" s="181"/>
      <c r="Q147" s="181"/>
      <c r="R147" s="182"/>
      <c r="S147" s="182"/>
      <c r="T147" s="182"/>
      <c r="U147" s="168"/>
      <c r="V147" s="168"/>
      <c r="W147" s="168"/>
      <c r="X147" s="1009" t="s">
        <v>278</v>
      </c>
      <c r="Y147" s="1009"/>
      <c r="Z147" s="1009"/>
      <c r="AA147" s="183">
        <f>SUM(AA127)</f>
        <v>839701292.96999991</v>
      </c>
      <c r="AB147" s="183">
        <f>SUM(AB127)</f>
        <v>989848778.72000003</v>
      </c>
      <c r="AC147" s="183">
        <f>SUM(AC127)</f>
        <v>761901809.49000001</v>
      </c>
      <c r="AD147" s="183">
        <f>SUM(AD129)</f>
        <v>227946969.23000002</v>
      </c>
      <c r="AE147" s="183">
        <f>SUM(AE127)</f>
        <v>77799483.479999989</v>
      </c>
      <c r="AF147" s="183">
        <f>SUM(AF127)</f>
        <v>35000000</v>
      </c>
      <c r="AG147" s="183">
        <f>SUM(AG127)</f>
        <v>42799483.479999997</v>
      </c>
      <c r="AH147" s="909">
        <f>AC147/(AC147+AF147+AG147)</f>
        <v>0.90734862012082251</v>
      </c>
      <c r="AI147" s="910"/>
      <c r="AJ147" s="184"/>
      <c r="AK147" s="185"/>
      <c r="AL147" s="186"/>
      <c r="AM147" s="187" t="e">
        <f>SUM(#REF!)</f>
        <v>#REF!</v>
      </c>
      <c r="AN147" s="188"/>
      <c r="AQ147" s="847"/>
      <c r="AR147" s="847"/>
      <c r="AS147" s="278"/>
      <c r="AV147" s="279"/>
    </row>
    <row r="148" spans="1:48" s="477" customFormat="1" ht="45" customHeight="1" x14ac:dyDescent="0.35">
      <c r="A148" s="166"/>
      <c r="B148" s="479"/>
      <c r="C148" s="479"/>
      <c r="D148" s="479"/>
      <c r="E148" s="479"/>
      <c r="F148" s="479"/>
      <c r="G148" s="479"/>
      <c r="H148" s="479"/>
      <c r="I148" s="479"/>
      <c r="J148" s="484"/>
      <c r="K148" s="192"/>
      <c r="L148" s="161"/>
      <c r="M148" s="193"/>
      <c r="N148" s="167"/>
      <c r="O148" s="178"/>
      <c r="P148" s="178"/>
      <c r="Q148" s="178"/>
      <c r="R148" s="178"/>
      <c r="S148" s="178"/>
      <c r="T148" s="178"/>
      <c r="U148" s="178"/>
      <c r="V148" s="178"/>
      <c r="W148" s="178"/>
      <c r="X148" s="1010" t="s">
        <v>279</v>
      </c>
      <c r="Y148" s="1010"/>
      <c r="Z148" s="1010"/>
      <c r="AA148" s="183">
        <f t="shared" ref="AA148:AG148" si="102">SUM(AA142)</f>
        <v>20051458475</v>
      </c>
      <c r="AB148" s="183">
        <f t="shared" si="102"/>
        <v>21083204638.380001</v>
      </c>
      <c r="AC148" s="183">
        <f t="shared" si="102"/>
        <v>18206659832.450001</v>
      </c>
      <c r="AD148" s="183">
        <f t="shared" si="102"/>
        <v>2876544805.9300013</v>
      </c>
      <c r="AE148" s="183">
        <f t="shared" si="102"/>
        <v>1844798642.5500002</v>
      </c>
      <c r="AF148" s="183">
        <f t="shared" si="102"/>
        <v>1030660159</v>
      </c>
      <c r="AG148" s="183">
        <f t="shared" si="102"/>
        <v>814138483.55000019</v>
      </c>
      <c r="AH148" s="909">
        <f>AC148/(AC148+AF148+AG148)</f>
        <v>0.90799678512911763</v>
      </c>
      <c r="AI148" s="910"/>
      <c r="AJ148" s="184"/>
      <c r="AK148" s="185"/>
      <c r="AL148" s="186"/>
      <c r="AM148" s="187">
        <f>SUM(AM142)</f>
        <v>0.90955724893688117</v>
      </c>
      <c r="AN148" s="188"/>
      <c r="AQ148" s="847"/>
      <c r="AR148" s="847"/>
      <c r="AS148" s="278"/>
      <c r="AV148" s="279"/>
    </row>
    <row r="149" spans="1:48" s="477" customFormat="1" ht="45.75" customHeight="1" x14ac:dyDescent="0.35">
      <c r="A149" s="166"/>
      <c r="B149" s="479"/>
      <c r="C149" s="479"/>
      <c r="D149" s="479"/>
      <c r="E149" s="479"/>
      <c r="F149" s="479"/>
      <c r="G149" s="479"/>
      <c r="H149" s="479"/>
      <c r="I149" s="479"/>
      <c r="J149" s="191"/>
      <c r="K149" s="192"/>
      <c r="L149" s="161"/>
      <c r="M149" s="193"/>
      <c r="N149" s="167"/>
      <c r="O149" s="178"/>
      <c r="P149" s="178"/>
      <c r="Q149" s="178"/>
      <c r="R149" s="178"/>
      <c r="S149" s="178"/>
      <c r="T149" s="178"/>
      <c r="U149" s="178"/>
      <c r="V149" s="178"/>
      <c r="W149" s="178"/>
      <c r="X149" s="993" t="s">
        <v>280</v>
      </c>
      <c r="Y149" s="993"/>
      <c r="Z149" s="993"/>
      <c r="AA149" s="183">
        <f t="shared" ref="AA149:AF149" si="103">SUM(AA147:AA148)</f>
        <v>20891159767.970001</v>
      </c>
      <c r="AB149" s="183">
        <f t="shared" si="103"/>
        <v>22073053417.100002</v>
      </c>
      <c r="AC149" s="183">
        <f t="shared" si="103"/>
        <v>18968561641.940002</v>
      </c>
      <c r="AD149" s="183">
        <f t="shared" si="103"/>
        <v>3104491775.1600013</v>
      </c>
      <c r="AE149" s="183">
        <f t="shared" si="103"/>
        <v>1922598126.0300002</v>
      </c>
      <c r="AF149" s="183">
        <f t="shared" si="103"/>
        <v>1065660159</v>
      </c>
      <c r="AG149" s="183">
        <f>SUM(AG147:AG148)</f>
        <v>856937967.03000021</v>
      </c>
      <c r="AH149" s="909">
        <f>AC149/(AC149+AF149+AG149)</f>
        <v>0.90797073272218731</v>
      </c>
      <c r="AI149" s="910"/>
      <c r="AJ149" s="911" t="e">
        <f>AVERAGE(AJ147:AJ148)</f>
        <v>#DIV/0!</v>
      </c>
      <c r="AK149" s="911" t="e">
        <f>AVERAGE(AK147:AK148)</f>
        <v>#DIV/0!</v>
      </c>
      <c r="AL149" s="911" t="e">
        <f>AVERAGE(AL147:AL148)</f>
        <v>#DIV/0!</v>
      </c>
      <c r="AM149" s="911" t="e">
        <f>AVERAGE(AM147:AM148)</f>
        <v>#REF!</v>
      </c>
      <c r="AN149" s="476"/>
      <c r="AQ149" s="847"/>
      <c r="AR149" s="847"/>
      <c r="AS149" s="278"/>
      <c r="AV149" s="279"/>
    </row>
    <row r="150" spans="1:48" s="477" customFormat="1" ht="56.1" customHeight="1" x14ac:dyDescent="0.35">
      <c r="A150" s="166"/>
      <c r="B150" s="479"/>
      <c r="C150" s="479"/>
      <c r="D150" s="479"/>
      <c r="E150" s="479"/>
      <c r="F150" s="479"/>
      <c r="G150" s="479"/>
      <c r="H150" s="479"/>
      <c r="I150" s="479"/>
      <c r="J150" s="191"/>
      <c r="K150" s="192"/>
      <c r="L150" s="161"/>
      <c r="M150" s="193"/>
      <c r="N150" s="167"/>
      <c r="O150" s="178"/>
      <c r="P150" s="178"/>
      <c r="Q150" s="178"/>
      <c r="R150" s="178"/>
      <c r="S150" s="178"/>
      <c r="T150" s="178"/>
      <c r="U150" s="178"/>
      <c r="V150" s="178"/>
      <c r="W150" s="178"/>
      <c r="X150" s="178"/>
      <c r="Y150" s="189"/>
      <c r="Z150" s="178"/>
      <c r="AA150" s="994"/>
      <c r="AB150" s="995"/>
      <c r="AC150" s="995"/>
      <c r="AD150" s="995"/>
      <c r="AE150" s="995"/>
      <c r="AF150" s="995"/>
      <c r="AG150" s="996"/>
      <c r="AH150" s="190"/>
      <c r="AI150" s="181"/>
      <c r="AJ150" s="168"/>
      <c r="AK150" s="138"/>
      <c r="AM150" s="482"/>
      <c r="AN150" s="476"/>
      <c r="AQ150" s="847"/>
      <c r="AR150" s="847"/>
      <c r="AS150" s="278"/>
      <c r="AV150" s="279"/>
    </row>
    <row r="151" spans="1:48" s="477" customFormat="1" ht="32.25" customHeight="1" x14ac:dyDescent="0.35">
      <c r="A151" s="166"/>
      <c r="B151" s="479"/>
      <c r="C151" s="479"/>
      <c r="D151" s="479"/>
      <c r="E151" s="479"/>
      <c r="F151" s="479"/>
      <c r="G151" s="479"/>
      <c r="H151" s="479"/>
      <c r="I151" s="479"/>
      <c r="J151" s="191"/>
      <c r="K151" s="192"/>
      <c r="L151" s="161"/>
      <c r="M151" s="193"/>
      <c r="N151" s="167"/>
      <c r="O151" s="178"/>
      <c r="P151" s="178"/>
      <c r="Q151" s="178"/>
      <c r="R151" s="194"/>
      <c r="S151" s="194"/>
      <c r="T151" s="194"/>
      <c r="U151" s="178"/>
      <c r="V151" s="178"/>
      <c r="W151" s="178"/>
      <c r="X151" s="178"/>
      <c r="Y151" s="189"/>
      <c r="Z151" s="178"/>
      <c r="AA151" s="195">
        <f>SUBTOTAL(9,AA138:AA141)</f>
        <v>20051458475</v>
      </c>
      <c r="AB151" s="196">
        <f>SUBTOTAL(9,AB138:AB141)</f>
        <v>21083204638.380001</v>
      </c>
      <c r="AC151" s="196">
        <f>SUBTOTAL(9,AC138:AC141)</f>
        <v>18206659832.450001</v>
      </c>
      <c r="AD151" s="196">
        <f>SUM(AB149-AC149)</f>
        <v>3104491775.1599998</v>
      </c>
      <c r="AE151" s="196">
        <f>SUM(AA149-AC149)</f>
        <v>1922598126.0299988</v>
      </c>
      <c r="AF151" s="196">
        <f>SUM(AB149-AC149)</f>
        <v>3104491775.1599998</v>
      </c>
      <c r="AG151" s="197">
        <f>SUM(AE148-AF148)</f>
        <v>814138483.55000019</v>
      </c>
      <c r="AH151" s="198"/>
      <c r="AI151" s="199"/>
      <c r="AJ151" s="200"/>
      <c r="AK151" s="138"/>
      <c r="AM151" s="482"/>
      <c r="AN151" s="476"/>
      <c r="AQ151" s="847"/>
      <c r="AR151" s="847"/>
      <c r="AS151" s="278"/>
      <c r="AV151" s="279"/>
    </row>
    <row r="152" spans="1:48" s="477" customFormat="1" x14ac:dyDescent="0.35">
      <c r="A152" s="166"/>
      <c r="B152" s="479"/>
      <c r="C152" s="479"/>
      <c r="D152" s="479"/>
      <c r="E152" s="479"/>
      <c r="F152" s="479"/>
      <c r="G152" s="479"/>
      <c r="H152" s="479"/>
      <c r="I152" s="479"/>
      <c r="J152" s="191"/>
      <c r="K152" s="485"/>
      <c r="L152" s="486"/>
      <c r="M152" s="487"/>
      <c r="N152" s="166"/>
      <c r="O152" s="168"/>
      <c r="P152" s="168"/>
      <c r="Q152" s="168"/>
      <c r="R152" s="201"/>
      <c r="S152" s="201"/>
      <c r="T152" s="201"/>
      <c r="U152" s="178"/>
      <c r="V152" s="178"/>
      <c r="W152" s="168"/>
      <c r="X152" s="168"/>
      <c r="Y152" s="202"/>
      <c r="Z152" s="168"/>
      <c r="AA152" s="195"/>
      <c r="AB152" s="196"/>
      <c r="AC152" s="196"/>
      <c r="AD152" s="196"/>
      <c r="AE152" s="196"/>
      <c r="AF152" s="196"/>
      <c r="AG152" s="203">
        <f>SUM(AA147-AF147)</f>
        <v>804701292.96999991</v>
      </c>
      <c r="AH152" s="198"/>
      <c r="AI152" s="199"/>
      <c r="AJ152" s="200"/>
      <c r="AK152" s="138"/>
      <c r="AM152" s="482"/>
      <c r="AN152" s="476"/>
      <c r="AQ152" s="847"/>
      <c r="AR152" s="847"/>
      <c r="AS152" s="278"/>
      <c r="AV152" s="279"/>
    </row>
    <row r="153" spans="1:48" s="477" customFormat="1" ht="24" thickBot="1" x14ac:dyDescent="0.4">
      <c r="A153" s="166"/>
      <c r="B153" s="479"/>
      <c r="C153" s="479"/>
      <c r="D153" s="479"/>
      <c r="E153" s="479"/>
      <c r="F153" s="479"/>
      <c r="G153" s="479"/>
      <c r="H153" s="479"/>
      <c r="I153" s="479"/>
      <c r="J153" s="191"/>
      <c r="K153" s="192"/>
      <c r="L153" s="161"/>
      <c r="M153" s="193"/>
      <c r="N153" s="167"/>
      <c r="O153" s="178"/>
      <c r="P153" s="178"/>
      <c r="Q153" s="178"/>
      <c r="R153" s="194"/>
      <c r="S153" s="194"/>
      <c r="T153" s="194"/>
      <c r="U153" s="178"/>
      <c r="V153" s="178"/>
      <c r="W153" s="178"/>
      <c r="X153" s="178"/>
      <c r="Y153" s="189"/>
      <c r="Z153" s="178"/>
      <c r="AA153" s="204" t="s">
        <v>162</v>
      </c>
      <c r="AB153" s="205"/>
      <c r="AC153" s="205"/>
      <c r="AD153" s="205"/>
      <c r="AE153" s="205">
        <f>SUM(AE149-AF149)</f>
        <v>856937967.03000021</v>
      </c>
      <c r="AF153" s="205">
        <f>SUM(AG153-AG149)</f>
        <v>0</v>
      </c>
      <c r="AG153" s="206">
        <f>SUM(AE149-AF149)</f>
        <v>856937967.03000021</v>
      </c>
      <c r="AH153" s="198"/>
      <c r="AI153" s="199"/>
      <c r="AJ153" s="200"/>
      <c r="AK153" s="138"/>
      <c r="AM153" s="482"/>
      <c r="AN153" s="476"/>
      <c r="AQ153" s="847"/>
      <c r="AR153" s="847"/>
      <c r="AS153" s="278"/>
      <c r="AV153" s="279"/>
    </row>
    <row r="154" spans="1:48" s="477" customFormat="1" ht="93" customHeight="1" x14ac:dyDescent="0.35">
      <c r="A154" s="166"/>
      <c r="B154" s="479"/>
      <c r="C154" s="479"/>
      <c r="D154" s="479"/>
      <c r="E154" s="479"/>
      <c r="F154" s="479"/>
      <c r="G154" s="479"/>
      <c r="H154" s="479"/>
      <c r="I154" s="479"/>
      <c r="J154" s="191"/>
      <c r="K154" s="192"/>
      <c r="L154" s="161"/>
      <c r="M154" s="193"/>
      <c r="N154" s="167"/>
      <c r="O154" s="178"/>
      <c r="P154" s="178"/>
      <c r="Q154" s="178"/>
      <c r="R154" s="178"/>
      <c r="S154" s="178"/>
      <c r="T154" s="178"/>
      <c r="U154" s="178"/>
      <c r="V154" s="178"/>
      <c r="W154" s="178"/>
      <c r="X154" s="178"/>
      <c r="Y154" s="189"/>
      <c r="Z154" s="178"/>
      <c r="AA154" s="168"/>
      <c r="AB154" s="207"/>
      <c r="AC154" s="208"/>
      <c r="AD154" s="168"/>
      <c r="AE154" s="208"/>
      <c r="AF154" s="168"/>
      <c r="AG154" s="168"/>
      <c r="AH154" s="209"/>
      <c r="AI154" s="181"/>
      <c r="AJ154" s="168"/>
      <c r="AK154" s="210"/>
      <c r="AM154" s="482"/>
      <c r="AN154" s="476"/>
      <c r="AQ154" s="847"/>
      <c r="AR154" s="847"/>
      <c r="AS154" s="278"/>
      <c r="AV154" s="279"/>
    </row>
    <row r="155" spans="1:48" s="477" customFormat="1" ht="58.35" customHeight="1" x14ac:dyDescent="0.35">
      <c r="A155" s="166"/>
      <c r="B155" s="479"/>
      <c r="C155" s="479"/>
      <c r="D155" s="479"/>
      <c r="E155" s="479"/>
      <c r="F155" s="479"/>
      <c r="G155" s="479"/>
      <c r="H155" s="479"/>
      <c r="I155" s="479"/>
      <c r="J155" s="191"/>
      <c r="K155" s="192"/>
      <c r="L155" s="161"/>
      <c r="M155" s="193"/>
      <c r="N155" s="167"/>
      <c r="O155" s="178"/>
      <c r="P155" s="178"/>
      <c r="Q155" s="178"/>
      <c r="R155" s="178"/>
      <c r="S155" s="178"/>
      <c r="T155" s="178"/>
      <c r="U155" s="178"/>
      <c r="V155" s="178"/>
      <c r="W155" s="178"/>
      <c r="X155" s="178"/>
      <c r="Y155" s="189"/>
      <c r="Z155" s="211"/>
      <c r="AA155" s="212"/>
      <c r="AB155" s="212"/>
      <c r="AC155" s="213"/>
      <c r="AD155" s="213"/>
      <c r="AE155" s="213"/>
      <c r="AF155" s="213"/>
      <c r="AG155" s="213"/>
      <c r="AH155" s="209"/>
      <c r="AI155" s="181"/>
      <c r="AJ155" s="168"/>
      <c r="AK155" s="488"/>
      <c r="AL155" s="168"/>
      <c r="AM155" s="997"/>
      <c r="AN155" s="476"/>
      <c r="AQ155" s="847"/>
      <c r="AR155" s="847"/>
      <c r="AS155" s="278"/>
      <c r="AV155" s="279"/>
    </row>
    <row r="156" spans="1:48" s="477" customFormat="1" ht="32.1" customHeight="1" x14ac:dyDescent="0.35">
      <c r="A156" s="166"/>
      <c r="B156" s="479"/>
      <c r="C156" s="479"/>
      <c r="D156" s="479"/>
      <c r="E156" s="479"/>
      <c r="F156" s="479"/>
      <c r="G156" s="479"/>
      <c r="H156" s="479"/>
      <c r="I156" s="479"/>
      <c r="J156" s="191"/>
      <c r="K156" s="485"/>
      <c r="L156" s="486"/>
      <c r="M156" s="487"/>
      <c r="N156" s="166"/>
      <c r="O156" s="168"/>
      <c r="P156" s="168"/>
      <c r="Q156" s="168"/>
      <c r="R156" s="201"/>
      <c r="S156" s="201"/>
      <c r="T156" s="201"/>
      <c r="U156" s="168"/>
      <c r="V156" s="168"/>
      <c r="W156" s="168"/>
      <c r="X156" s="168"/>
      <c r="Y156" s="202"/>
      <c r="Z156" s="214"/>
      <c r="AA156" s="215"/>
      <c r="AB156" s="215"/>
      <c r="AC156" s="215"/>
      <c r="AD156" s="215"/>
      <c r="AE156" s="215"/>
      <c r="AF156" s="998"/>
      <c r="AG156" s="999"/>
      <c r="AH156" s="216"/>
      <c r="AI156" s="912"/>
      <c r="AJ156" s="912"/>
      <c r="AK156" s="488"/>
      <c r="AL156" s="217"/>
      <c r="AM156" s="997"/>
      <c r="AN156" s="476"/>
      <c r="AQ156" s="847"/>
      <c r="AR156" s="847"/>
      <c r="AS156" s="278"/>
      <c r="AV156" s="279"/>
    </row>
    <row r="157" spans="1:48" s="477" customFormat="1" ht="51" customHeight="1" x14ac:dyDescent="0.4">
      <c r="A157" s="166"/>
      <c r="B157" s="479"/>
      <c r="C157" s="479"/>
      <c r="D157" s="479"/>
      <c r="E157" s="479"/>
      <c r="F157" s="479"/>
      <c r="G157" s="479"/>
      <c r="H157" s="479"/>
      <c r="I157" s="479"/>
      <c r="J157" s="191"/>
      <c r="K157" s="192"/>
      <c r="L157" s="161"/>
      <c r="M157" s="193"/>
      <c r="N157" s="167"/>
      <c r="O157" s="178"/>
      <c r="P157" s="178"/>
      <c r="Q157" s="178"/>
      <c r="R157" s="194"/>
      <c r="S157" s="194"/>
      <c r="T157" s="194"/>
      <c r="U157" s="178"/>
      <c r="V157" s="178"/>
      <c r="W157" s="178"/>
      <c r="X157" s="178"/>
      <c r="Y157" s="189"/>
      <c r="Z157" s="211"/>
      <c r="AA157" s="218"/>
      <c r="AB157" s="218"/>
      <c r="AC157" s="219"/>
      <c r="AD157" s="219"/>
      <c r="AE157" s="219"/>
      <c r="AF157" s="219"/>
      <c r="AG157" s="219"/>
      <c r="AH157" s="198"/>
      <c r="AI157" s="913"/>
      <c r="AJ157" s="220"/>
      <c r="AK157" s="90"/>
      <c r="AL157" s="220"/>
      <c r="AM157" s="221"/>
      <c r="AN157" s="476"/>
      <c r="AQ157" s="847"/>
      <c r="AR157" s="847"/>
      <c r="AS157" s="278"/>
      <c r="AV157" s="279"/>
    </row>
    <row r="158" spans="1:48" s="477" customFormat="1" ht="42.75" customHeight="1" x14ac:dyDescent="0.4">
      <c r="A158" s="166"/>
      <c r="B158" s="479"/>
      <c r="C158" s="479"/>
      <c r="D158" s="479"/>
      <c r="E158" s="479"/>
      <c r="F158" s="479"/>
      <c r="G158" s="479"/>
      <c r="H158" s="479"/>
      <c r="I158" s="479"/>
      <c r="J158" s="166"/>
      <c r="K158" s="166"/>
      <c r="L158" s="166"/>
      <c r="M158" s="166"/>
      <c r="N158" s="166"/>
      <c r="O158" s="168"/>
      <c r="P158" s="168"/>
      <c r="Q158" s="168"/>
      <c r="R158" s="178"/>
      <c r="S158" s="178"/>
      <c r="T158" s="178"/>
      <c r="U158" s="168"/>
      <c r="V158" s="168"/>
      <c r="W158" s="168"/>
      <c r="X158" s="168"/>
      <c r="Y158" s="202"/>
      <c r="Z158" s="222"/>
      <c r="AA158" s="218"/>
      <c r="AB158" s="218"/>
      <c r="AC158" s="218"/>
      <c r="AD158" s="218"/>
      <c r="AE158" s="218"/>
      <c r="AF158" s="1000"/>
      <c r="AG158" s="1001"/>
      <c r="AH158" s="223"/>
      <c r="AI158" s="913"/>
      <c r="AJ158" s="220"/>
      <c r="AK158" s="90"/>
      <c r="AL158" s="220"/>
      <c r="AM158" s="221"/>
      <c r="AN158" s="476"/>
      <c r="AQ158" s="847"/>
      <c r="AR158" s="847"/>
      <c r="AS158" s="278"/>
      <c r="AV158" s="279"/>
    </row>
    <row r="159" spans="1:48" x14ac:dyDescent="0.35">
      <c r="P159" s="167">
        <f>SUM(Q157-P157)</f>
        <v>0</v>
      </c>
      <c r="Z159" s="178"/>
      <c r="AA159" s="224"/>
      <c r="AB159" s="224"/>
      <c r="AC159" s="225"/>
      <c r="AD159" s="225"/>
      <c r="AE159" s="225"/>
      <c r="AF159" s="225"/>
      <c r="AG159" s="225"/>
      <c r="AH159" s="198"/>
      <c r="AI159" s="913"/>
      <c r="AJ159" s="220"/>
      <c r="AK159" s="90"/>
      <c r="AL159" s="220"/>
      <c r="AM159" s="221"/>
    </row>
    <row r="160" spans="1:48" x14ac:dyDescent="0.35">
      <c r="E160" s="489"/>
      <c r="AC160" s="490"/>
      <c r="AD160" s="490"/>
      <c r="AE160" s="490"/>
      <c r="AF160" s="490"/>
      <c r="AG160" s="490"/>
      <c r="AK160" s="491"/>
    </row>
    <row r="161" spans="29:33" x14ac:dyDescent="0.35">
      <c r="AE161" s="276"/>
      <c r="AG161" s="276"/>
    </row>
    <row r="162" spans="29:33" x14ac:dyDescent="0.35">
      <c r="AC162" s="276"/>
    </row>
    <row r="163" spans="29:33" x14ac:dyDescent="0.35">
      <c r="AE163" s="276"/>
    </row>
    <row r="164" spans="29:33" x14ac:dyDescent="0.35">
      <c r="AF164" s="276"/>
    </row>
  </sheetData>
  <autoFilter ref="A5:WXD5">
    <filterColumn colId="42" showButton="0"/>
  </autoFilter>
  <mergeCells count="24">
    <mergeCell ref="B130:I132"/>
    <mergeCell ref="M130:M132"/>
    <mergeCell ref="A1:AB1"/>
    <mergeCell ref="A2:AB2"/>
    <mergeCell ref="B3:I3"/>
    <mergeCell ref="K4:K5"/>
    <mergeCell ref="L4:L5"/>
    <mergeCell ref="M4:M5"/>
    <mergeCell ref="AB4:AF4"/>
    <mergeCell ref="X148:Z148"/>
    <mergeCell ref="AM4:AM5"/>
    <mergeCell ref="AQ5:AR5"/>
    <mergeCell ref="AS81:AS82"/>
    <mergeCell ref="AT81:AT82"/>
    <mergeCell ref="B134:J134"/>
    <mergeCell ref="B137:J137"/>
    <mergeCell ref="X145:AH145"/>
    <mergeCell ref="X146:Z146"/>
    <mergeCell ref="X147:Z147"/>
    <mergeCell ref="X149:Z149"/>
    <mergeCell ref="AA150:AG150"/>
    <mergeCell ref="AM155:AM156"/>
    <mergeCell ref="AF156:AG156"/>
    <mergeCell ref="AF158:AG158"/>
  </mergeCells>
  <pageMargins left="1.299212598425197" right="0" top="0.39370078740157483" bottom="0" header="0.78740157480314965" footer="0.78740157480314965"/>
  <pageSetup paperSize="5" scale="65" orientation="landscape" r:id="rId1"/>
  <headerFooter alignWithMargins="0"/>
  <rowBreaks count="3" manualBreakCount="3">
    <brk id="61" max="14" man="1"/>
    <brk id="83" max="14" man="1"/>
    <brk id="153" max="16383" man="1"/>
  </rowBreaks>
  <colBreaks count="1" manualBreakCount="1">
    <brk id="39" max="12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67"/>
  <sheetViews>
    <sheetView tabSelected="1" zoomScale="25" zoomScaleNormal="25" zoomScaleSheetLayoutView="24" zoomScalePageLayoutView="24" workbookViewId="0">
      <selection activeCell="H11" sqref="H11"/>
    </sheetView>
  </sheetViews>
  <sheetFormatPr baseColWidth="10" defaultRowHeight="272.45" customHeight="1" x14ac:dyDescent="0.7"/>
  <cols>
    <col min="1" max="1" width="16.26953125" style="661" customWidth="1"/>
    <col min="2" max="2" width="33.81640625" style="272" customWidth="1"/>
    <col min="3" max="3" width="33.7265625" customWidth="1"/>
    <col min="4" max="4" width="30.6328125" customWidth="1"/>
    <col min="5" max="5" width="55.90625" customWidth="1"/>
    <col min="6" max="6" width="15.7265625" customWidth="1"/>
    <col min="7" max="7" width="18.08984375" customWidth="1"/>
    <col min="8" max="8" width="24.81640625" customWidth="1"/>
    <col min="9" max="9" width="18.54296875" customWidth="1"/>
    <col min="10" max="10" width="29.81640625" style="250" customWidth="1"/>
    <col min="11" max="11" width="33.26953125" customWidth="1"/>
    <col min="12" max="12" width="49.90625" customWidth="1"/>
    <col min="13" max="13" width="54.6328125" style="264" customWidth="1"/>
    <col min="14" max="14" width="53.36328125" style="264"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525" customWidth="1"/>
    <col min="25" max="25" width="77.6328125" style="525" customWidth="1"/>
    <col min="26" max="26" width="66.453125" style="525"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659"/>
      <c r="B1" s="268"/>
      <c r="C1" s="1"/>
      <c r="D1" s="2"/>
      <c r="E1" s="3"/>
      <c r="F1" s="2"/>
      <c r="G1" s="2"/>
      <c r="H1" s="2"/>
      <c r="I1" s="2"/>
      <c r="J1" s="2"/>
      <c r="K1" s="4"/>
      <c r="L1" s="2"/>
      <c r="M1" s="698"/>
      <c r="N1" s="260"/>
      <c r="O1" s="2"/>
      <c r="P1" s="2"/>
      <c r="Q1" s="2"/>
      <c r="R1" s="5"/>
      <c r="S1" s="6"/>
      <c r="T1" s="699"/>
      <c r="U1" s="500"/>
      <c r="V1" s="7"/>
      <c r="W1" s="7"/>
      <c r="X1" s="513"/>
      <c r="Y1" s="514"/>
      <c r="Z1" s="515"/>
      <c r="AA1" s="7"/>
      <c r="AB1" s="7"/>
      <c r="AC1" s="7"/>
      <c r="AD1" s="7"/>
      <c r="AE1" s="7"/>
      <c r="AF1" s="7"/>
      <c r="AG1" s="8"/>
    </row>
    <row r="2" spans="1:33" ht="61.5" x14ac:dyDescent="0.7">
      <c r="A2" s="632"/>
      <c r="B2" s="269"/>
      <c r="C2" s="1060" t="s">
        <v>350</v>
      </c>
      <c r="D2" s="1060"/>
      <c r="E2" s="1060"/>
      <c r="F2" s="1060"/>
      <c r="G2" s="1060"/>
      <c r="H2" s="1060"/>
      <c r="I2" s="1060"/>
      <c r="J2" s="1060"/>
      <c r="K2" s="1060"/>
      <c r="L2" s="1060"/>
      <c r="M2" s="1060"/>
      <c r="N2" s="1060"/>
      <c r="O2" s="1060"/>
      <c r="P2" s="1060"/>
      <c r="Q2" s="1060"/>
      <c r="R2" s="9"/>
      <c r="S2" s="6"/>
      <c r="T2" s="699"/>
      <c r="U2" s="500"/>
      <c r="V2" s="7"/>
      <c r="W2" s="7"/>
      <c r="X2" s="513"/>
      <c r="Y2" s="514"/>
      <c r="Z2" s="515"/>
      <c r="AA2" s="7"/>
      <c r="AB2" s="7"/>
      <c r="AC2" s="7"/>
      <c r="AD2" s="7"/>
      <c r="AE2" s="7"/>
      <c r="AF2" s="7"/>
      <c r="AG2" s="8"/>
    </row>
    <row r="3" spans="1:33" ht="61.5" x14ac:dyDescent="0.7">
      <c r="A3" s="659"/>
      <c r="B3" s="268"/>
      <c r="C3" s="1"/>
      <c r="D3" s="10"/>
      <c r="E3" s="11"/>
      <c r="F3" s="2"/>
      <c r="G3" s="2"/>
      <c r="H3" s="2"/>
      <c r="I3" s="2"/>
      <c r="J3" s="2"/>
      <c r="K3" s="4"/>
      <c r="L3" s="2"/>
      <c r="M3" s="698"/>
      <c r="N3" s="260"/>
      <c r="O3" s="2"/>
      <c r="P3" s="2"/>
      <c r="Q3" s="2"/>
      <c r="R3" s="5"/>
      <c r="S3" s="6"/>
      <c r="T3" s="699"/>
      <c r="U3" s="500"/>
      <c r="V3" s="7"/>
      <c r="W3" s="7"/>
      <c r="X3" s="513"/>
      <c r="Y3" s="514"/>
      <c r="Z3" s="515"/>
      <c r="AA3" s="7"/>
      <c r="AB3" s="7"/>
      <c r="AC3" s="7"/>
      <c r="AD3" s="7"/>
      <c r="AE3" s="7"/>
      <c r="AF3" s="7"/>
      <c r="AG3" s="8"/>
    </row>
    <row r="4" spans="1:33" ht="61.5" x14ac:dyDescent="0.7">
      <c r="A4" s="659"/>
      <c r="B4" s="268"/>
      <c r="C4" s="1"/>
      <c r="D4" s="1061" t="s">
        <v>0</v>
      </c>
      <c r="E4" s="1061"/>
      <c r="F4" s="2"/>
      <c r="G4" s="2"/>
      <c r="H4" s="2"/>
      <c r="I4" s="2"/>
      <c r="J4" s="2"/>
      <c r="K4" s="4"/>
      <c r="L4" s="2"/>
      <c r="M4" s="698"/>
      <c r="N4" s="260"/>
      <c r="O4" s="2"/>
      <c r="P4" s="2"/>
      <c r="Q4" s="2"/>
      <c r="R4" s="5"/>
      <c r="S4" s="6"/>
      <c r="T4" s="699"/>
      <c r="U4" s="500"/>
      <c r="V4" s="7"/>
      <c r="W4" s="7"/>
      <c r="X4" s="513"/>
      <c r="Y4" s="514"/>
      <c r="Z4" s="515"/>
      <c r="AA4" s="7"/>
      <c r="AB4" s="7"/>
      <c r="AC4" s="7"/>
      <c r="AD4" s="7"/>
      <c r="AE4" s="7"/>
      <c r="AF4" s="7"/>
      <c r="AG4" s="8"/>
    </row>
    <row r="5" spans="1:33" ht="61.5" x14ac:dyDescent="0.7">
      <c r="A5" s="632"/>
      <c r="B5" s="270"/>
      <c r="C5" s="12"/>
      <c r="D5" s="13" t="s">
        <v>1</v>
      </c>
      <c r="E5" s="1062" t="s">
        <v>2</v>
      </c>
      <c r="F5" s="1062"/>
      <c r="G5" s="2"/>
      <c r="H5" s="6"/>
      <c r="I5" s="6"/>
      <c r="J5" s="1063" t="s">
        <v>3</v>
      </c>
      <c r="K5" s="1063"/>
      <c r="L5" s="1063"/>
      <c r="M5" s="1063"/>
      <c r="N5" s="1063"/>
      <c r="O5" s="6"/>
      <c r="P5" s="6"/>
      <c r="Q5" s="6"/>
      <c r="R5" s="14"/>
      <c r="S5" s="6"/>
      <c r="T5" s="699"/>
      <c r="U5" s="500"/>
      <c r="V5" s="7"/>
      <c r="W5" s="7"/>
      <c r="X5" s="513"/>
      <c r="Y5" s="514"/>
      <c r="Z5" s="515"/>
      <c r="AA5" s="7"/>
      <c r="AB5" s="7"/>
      <c r="AC5" s="7"/>
      <c r="AD5" s="7"/>
      <c r="AE5" s="7"/>
      <c r="AF5" s="7"/>
      <c r="AG5" s="8"/>
    </row>
    <row r="6" spans="1:33" ht="61.5" x14ac:dyDescent="0.7">
      <c r="A6" s="632"/>
      <c r="B6" s="270"/>
      <c r="C6" s="12"/>
      <c r="D6" s="15" t="s">
        <v>4</v>
      </c>
      <c r="E6" s="1062" t="s">
        <v>5</v>
      </c>
      <c r="F6" s="1062"/>
      <c r="G6" s="2"/>
      <c r="H6" s="6"/>
      <c r="I6" s="6"/>
      <c r="J6" s="1063"/>
      <c r="K6" s="1063"/>
      <c r="L6" s="1063"/>
      <c r="M6" s="1063"/>
      <c r="N6" s="1063"/>
      <c r="O6" s="6"/>
      <c r="P6" s="6"/>
      <c r="Q6" s="6"/>
      <c r="R6" s="14"/>
      <c r="S6" s="6"/>
      <c r="T6" s="699"/>
      <c r="U6" s="500"/>
      <c r="V6" s="7"/>
      <c r="W6" s="7"/>
      <c r="X6" s="513"/>
      <c r="Y6" s="514"/>
      <c r="Z6" s="515"/>
      <c r="AA6" s="7"/>
      <c r="AB6" s="7"/>
      <c r="AC6" s="7"/>
      <c r="AD6" s="7"/>
      <c r="AE6" s="7"/>
      <c r="AF6" s="7"/>
      <c r="AG6" s="8"/>
    </row>
    <row r="7" spans="1:33" ht="61.5" x14ac:dyDescent="0.7">
      <c r="A7" s="632"/>
      <c r="B7" s="270"/>
      <c r="C7" s="12"/>
      <c r="D7" s="15" t="s">
        <v>6</v>
      </c>
      <c r="E7" s="1064">
        <v>7395656</v>
      </c>
      <c r="F7" s="1064"/>
      <c r="G7" s="16"/>
      <c r="H7" s="6"/>
      <c r="I7" s="6"/>
      <c r="J7" s="1063"/>
      <c r="K7" s="1063"/>
      <c r="L7" s="1063"/>
      <c r="M7" s="1063"/>
      <c r="N7" s="1063"/>
      <c r="O7" s="6"/>
      <c r="P7" s="6"/>
      <c r="Q7" s="6"/>
      <c r="R7" s="14"/>
      <c r="S7" s="6"/>
      <c r="T7" s="699"/>
      <c r="U7" s="500" t="s">
        <v>7</v>
      </c>
      <c r="V7" s="7"/>
      <c r="W7" s="7"/>
      <c r="X7" s="513"/>
      <c r="Y7" s="514"/>
      <c r="Z7" s="515"/>
      <c r="AA7" s="7"/>
      <c r="AB7" s="7"/>
      <c r="AC7" s="7"/>
      <c r="AD7" s="7"/>
      <c r="AE7" s="7"/>
      <c r="AF7" s="7"/>
      <c r="AG7" s="8"/>
    </row>
    <row r="8" spans="1:33" ht="61.5" x14ac:dyDescent="0.7">
      <c r="A8" s="632"/>
      <c r="B8" s="270"/>
      <c r="C8" s="12"/>
      <c r="D8" s="15" t="s">
        <v>8</v>
      </c>
      <c r="E8" s="1065" t="s">
        <v>9</v>
      </c>
      <c r="F8" s="1065"/>
      <c r="G8" s="17"/>
      <c r="H8" s="6"/>
      <c r="I8" s="6"/>
      <c r="J8" s="1063"/>
      <c r="K8" s="1063"/>
      <c r="L8" s="1063"/>
      <c r="M8" s="1063"/>
      <c r="N8" s="1063"/>
      <c r="O8" s="6"/>
      <c r="P8" s="6"/>
      <c r="Q8" s="6"/>
      <c r="R8" s="14"/>
      <c r="S8" s="6"/>
      <c r="T8" s="699"/>
      <c r="U8" s="500"/>
      <c r="V8" s="7"/>
      <c r="W8" s="7"/>
      <c r="X8" s="513"/>
      <c r="Y8" s="514"/>
      <c r="Z8" s="515"/>
      <c r="AA8" s="7"/>
      <c r="AB8" s="7"/>
      <c r="AC8" s="7"/>
      <c r="AD8" s="7"/>
      <c r="AE8" s="7"/>
      <c r="AF8" s="7"/>
      <c r="AG8" s="8"/>
    </row>
    <row r="9" spans="1:33" ht="61.5" x14ac:dyDescent="0.7">
      <c r="A9" s="632"/>
      <c r="B9" s="270"/>
      <c r="C9" s="12"/>
      <c r="D9" s="15" t="s">
        <v>10</v>
      </c>
      <c r="E9" s="1062" t="s">
        <v>11</v>
      </c>
      <c r="F9" s="1062"/>
      <c r="G9" s="2"/>
      <c r="H9" s="6"/>
      <c r="I9" s="6"/>
      <c r="J9" s="1063"/>
      <c r="K9" s="1063"/>
      <c r="L9" s="1063"/>
      <c r="M9" s="1063"/>
      <c r="N9" s="1063"/>
      <c r="O9" s="6"/>
      <c r="P9" s="6"/>
      <c r="Q9" s="6"/>
      <c r="R9" s="14"/>
      <c r="S9" s="643" t="s">
        <v>12</v>
      </c>
      <c r="T9" s="700" t="s">
        <v>13</v>
      </c>
      <c r="U9" s="643" t="s">
        <v>14</v>
      </c>
      <c r="V9" s="643" t="s">
        <v>15</v>
      </c>
      <c r="W9" s="7"/>
      <c r="X9" s="513"/>
      <c r="Y9" s="514"/>
      <c r="Z9" s="515"/>
      <c r="AA9" s="7"/>
      <c r="AB9" s="7"/>
      <c r="AC9" s="7"/>
      <c r="AD9" s="7"/>
      <c r="AE9" s="7"/>
      <c r="AF9" s="7"/>
      <c r="AG9" s="8"/>
    </row>
    <row r="10" spans="1:33" ht="61.5" x14ac:dyDescent="0.7">
      <c r="A10" s="632"/>
      <c r="B10" s="270"/>
      <c r="C10" s="12"/>
      <c r="D10" s="15" t="s">
        <v>16</v>
      </c>
      <c r="E10" s="1037" t="s">
        <v>17</v>
      </c>
      <c r="F10" s="1037"/>
      <c r="G10" s="18"/>
      <c r="H10" s="6"/>
      <c r="I10" s="6"/>
      <c r="J10" s="19"/>
      <c r="K10" s="19"/>
      <c r="L10" s="19"/>
      <c r="M10" s="701"/>
      <c r="N10" s="261"/>
      <c r="O10" s="6"/>
      <c r="P10" s="6"/>
      <c r="Q10" s="6"/>
      <c r="R10" s="14"/>
      <c r="S10" s="20" t="s">
        <v>18</v>
      </c>
      <c r="T10" s="702" t="e">
        <f>SUM(#REF!)</f>
        <v>#REF!</v>
      </c>
      <c r="U10" s="703" t="e">
        <f>SUM(#REF!)</f>
        <v>#REF!</v>
      </c>
      <c r="V10" s="703" t="e">
        <f>SUM(#REF!)</f>
        <v>#REF!</v>
      </c>
      <c r="W10" s="7"/>
      <c r="X10" s="513"/>
      <c r="Y10" s="514"/>
      <c r="Z10" s="515"/>
      <c r="AA10" s="7"/>
      <c r="AB10" s="7"/>
      <c r="AC10" s="7"/>
      <c r="AD10" s="7"/>
      <c r="AE10" s="7"/>
      <c r="AF10" s="7"/>
      <c r="AG10" s="8"/>
    </row>
    <row r="11" spans="1:33" s="226" customFormat="1" ht="61.5" x14ac:dyDescent="0.7">
      <c r="A11" s="632"/>
      <c r="B11" s="271"/>
      <c r="C11" s="12"/>
      <c r="D11" s="227" t="s">
        <v>19</v>
      </c>
      <c r="E11" s="1038" t="s">
        <v>1969</v>
      </c>
      <c r="F11" s="1039"/>
      <c r="G11" s="18"/>
      <c r="H11" s="228"/>
      <c r="I11" s="228"/>
      <c r="J11" s="1040" t="s">
        <v>20</v>
      </c>
      <c r="K11" s="1041"/>
      <c r="L11" s="1041"/>
      <c r="M11" s="1041"/>
      <c r="N11" s="1042"/>
      <c r="O11" s="228"/>
      <c r="P11" s="228"/>
      <c r="Q11" s="228"/>
      <c r="R11" s="14"/>
      <c r="S11" s="229" t="s">
        <v>21</v>
      </c>
      <c r="T11" s="704" t="e">
        <f>SUM(#REF!)</f>
        <v>#REF!</v>
      </c>
      <c r="U11" s="705" t="e">
        <f>SUM(#REF!)</f>
        <v>#REF!</v>
      </c>
      <c r="V11" s="705" t="e">
        <f>SUM(#REF!)</f>
        <v>#REF!</v>
      </c>
      <c r="W11" s="230"/>
      <c r="X11" s="516"/>
      <c r="Y11" s="517"/>
      <c r="Z11" s="518"/>
      <c r="AA11" s="230"/>
      <c r="AB11" s="230"/>
      <c r="AC11" s="230"/>
      <c r="AD11" s="230"/>
      <c r="AE11" s="230"/>
      <c r="AF11" s="230"/>
      <c r="AG11" s="231"/>
    </row>
    <row r="12" spans="1:33" s="226" customFormat="1" ht="61.5" x14ac:dyDescent="0.7">
      <c r="A12" s="632"/>
      <c r="B12" s="271"/>
      <c r="C12" s="12"/>
      <c r="D12" s="227" t="s">
        <v>22</v>
      </c>
      <c r="E12" s="1049">
        <f>SUM(N18)</f>
        <v>22516779100.099995</v>
      </c>
      <c r="F12" s="1050"/>
      <c r="G12" s="232"/>
      <c r="H12" s="228"/>
      <c r="I12" s="228"/>
      <c r="J12" s="1043"/>
      <c r="K12" s="1044"/>
      <c r="L12" s="1044"/>
      <c r="M12" s="1044"/>
      <c r="N12" s="1045"/>
      <c r="O12" s="228"/>
      <c r="P12" s="228"/>
      <c r="Q12" s="228"/>
      <c r="R12" s="14"/>
      <c r="S12" s="233" t="s">
        <v>23</v>
      </c>
      <c r="T12" s="704" t="e">
        <f>SUM(T10:T11)</f>
        <v>#REF!</v>
      </c>
      <c r="U12" s="704" t="e">
        <f>SUM(U10:U11)</f>
        <v>#REF!</v>
      </c>
      <c r="V12" s="704" t="e">
        <f>SUM(V10:V11)</f>
        <v>#REF!</v>
      </c>
      <c r="W12" s="230"/>
      <c r="X12" s="516"/>
      <c r="Y12" s="517"/>
      <c r="Z12" s="518"/>
      <c r="AA12" s="230"/>
      <c r="AB12" s="230"/>
      <c r="AC12" s="230"/>
      <c r="AD12" s="230"/>
      <c r="AE12" s="230"/>
      <c r="AF12" s="230"/>
      <c r="AG12" s="231"/>
    </row>
    <row r="13" spans="1:33" s="226" customFormat="1" ht="61.5" x14ac:dyDescent="0.7">
      <c r="A13" s="632"/>
      <c r="B13" s="271"/>
      <c r="C13" s="12"/>
      <c r="D13" s="227" t="s">
        <v>24</v>
      </c>
      <c r="E13" s="1051" t="s">
        <v>692</v>
      </c>
      <c r="F13" s="1051"/>
      <c r="G13" s="234"/>
      <c r="H13" s="228"/>
      <c r="I13" s="228"/>
      <c r="J13" s="1043"/>
      <c r="K13" s="1044"/>
      <c r="L13" s="1044"/>
      <c r="M13" s="1044"/>
      <c r="N13" s="1045"/>
      <c r="O13" s="228"/>
      <c r="P13" s="228"/>
      <c r="Q13" s="18"/>
      <c r="R13" s="14"/>
      <c r="S13" s="235"/>
      <c r="T13" s="706"/>
      <c r="U13" s="706" t="s">
        <v>25</v>
      </c>
      <c r="V13" s="236" t="e">
        <f>SUM(T10-U10)</f>
        <v>#REF!</v>
      </c>
      <c r="W13" s="230"/>
      <c r="X13" s="516"/>
      <c r="Y13" s="517"/>
      <c r="Z13" s="518"/>
      <c r="AA13" s="230"/>
      <c r="AB13" s="230"/>
      <c r="AC13" s="230"/>
      <c r="AD13" s="230"/>
      <c r="AE13" s="230"/>
      <c r="AF13" s="230"/>
      <c r="AG13" s="231"/>
    </row>
    <row r="14" spans="1:33" s="226" customFormat="1" ht="61.5" x14ac:dyDescent="0.7">
      <c r="A14" s="632"/>
      <c r="B14" s="271"/>
      <c r="C14" s="12"/>
      <c r="D14" s="227" t="s">
        <v>26</v>
      </c>
      <c r="E14" s="1052" t="s">
        <v>691</v>
      </c>
      <c r="F14" s="1052"/>
      <c r="G14" s="234"/>
      <c r="H14" s="228"/>
      <c r="I14" s="228"/>
      <c r="J14" s="1043"/>
      <c r="K14" s="1044"/>
      <c r="L14" s="1044"/>
      <c r="M14" s="1044"/>
      <c r="N14" s="1045"/>
      <c r="O14" s="228"/>
      <c r="P14" s="228"/>
      <c r="Q14" s="228"/>
      <c r="R14" s="14"/>
      <c r="S14" s="235"/>
      <c r="T14" s="706"/>
      <c r="U14" s="706" t="s">
        <v>25</v>
      </c>
      <c r="V14" s="236" t="e">
        <f>SUM(T11-U11)</f>
        <v>#REF!</v>
      </c>
      <c r="W14" s="230"/>
      <c r="X14" s="519"/>
      <c r="Y14" s="517"/>
      <c r="Z14" s="518"/>
      <c r="AA14" s="230"/>
      <c r="AB14" s="230"/>
      <c r="AC14" s="230"/>
      <c r="AD14" s="230"/>
      <c r="AE14" s="230"/>
      <c r="AF14" s="230"/>
      <c r="AG14" s="231"/>
    </row>
    <row r="15" spans="1:33" s="226" customFormat="1" ht="62.25" thickBot="1" x14ac:dyDescent="0.75">
      <c r="A15" s="632"/>
      <c r="B15" s="271"/>
      <c r="C15" s="12"/>
      <c r="D15" s="237" t="s">
        <v>27</v>
      </c>
      <c r="E15" s="1053">
        <v>44553</v>
      </c>
      <c r="F15" s="1054"/>
      <c r="G15" s="238"/>
      <c r="H15" s="228"/>
      <c r="I15" s="228"/>
      <c r="J15" s="1046"/>
      <c r="K15" s="1047"/>
      <c r="L15" s="1047"/>
      <c r="M15" s="1047"/>
      <c r="N15" s="1048"/>
      <c r="O15" s="228"/>
      <c r="P15" s="239"/>
      <c r="Q15" s="228"/>
      <c r="R15" s="14"/>
      <c r="S15" s="235"/>
      <c r="T15" s="706"/>
      <c r="U15" s="706" t="s">
        <v>25</v>
      </c>
      <c r="V15" s="236" t="e">
        <f>SUM(T12-U12)</f>
        <v>#REF!</v>
      </c>
      <c r="W15" s="230"/>
      <c r="X15" s="516"/>
      <c r="Y15" s="517"/>
      <c r="Z15" s="518"/>
      <c r="AA15" s="230"/>
      <c r="AB15" s="230"/>
      <c r="AC15" s="230"/>
      <c r="AD15" s="230"/>
      <c r="AE15" s="230"/>
      <c r="AF15" s="230"/>
      <c r="AG15" s="231"/>
    </row>
    <row r="16" spans="1:33" s="226" customFormat="1" ht="39.6" customHeight="1" x14ac:dyDescent="0.7">
      <c r="A16" s="632"/>
      <c r="B16" s="271"/>
      <c r="C16" s="12"/>
      <c r="D16" s="18">
        <f>C12-17847817</f>
        <v>-17847817</v>
      </c>
      <c r="E16" s="240"/>
      <c r="F16" s="241"/>
      <c r="G16" s="241"/>
      <c r="H16" s="228"/>
      <c r="I16" s="228"/>
      <c r="J16" s="18"/>
      <c r="K16" s="242"/>
      <c r="L16" s="243"/>
      <c r="M16" s="707"/>
      <c r="N16" s="262"/>
      <c r="O16" s="228"/>
      <c r="P16" s="228"/>
      <c r="Q16" s="244"/>
      <c r="R16" s="21"/>
      <c r="S16" s="228"/>
      <c r="T16" s="708"/>
      <c r="U16" s="501"/>
      <c r="V16" s="230"/>
      <c r="W16" s="230"/>
      <c r="X16" s="520"/>
      <c r="Y16" s="517"/>
      <c r="Z16" s="518"/>
      <c r="AA16" s="230"/>
      <c r="AB16" s="230"/>
      <c r="AC16" s="230"/>
      <c r="AD16" s="230"/>
      <c r="AE16" s="230"/>
      <c r="AF16" s="230"/>
      <c r="AG16" s="231"/>
    </row>
    <row r="17" spans="1:33" s="226" customFormat="1" ht="39.6" customHeight="1" thickBot="1" x14ac:dyDescent="0.75">
      <c r="A17" s="632"/>
      <c r="B17" s="271"/>
      <c r="C17" s="12"/>
      <c r="D17" s="1055" t="s">
        <v>28</v>
      </c>
      <c r="E17" s="1055"/>
      <c r="F17" s="228"/>
      <c r="G17" s="245"/>
      <c r="H17" s="1056"/>
      <c r="I17" s="1056"/>
      <c r="J17" s="228"/>
      <c r="K17" s="245"/>
      <c r="L17" s="917"/>
      <c r="M17" s="263"/>
      <c r="N17" s="263"/>
      <c r="O17" s="228"/>
      <c r="P17" s="228"/>
      <c r="Q17" s="246"/>
      <c r="R17" s="22"/>
      <c r="S17" s="228"/>
      <c r="T17" s="709"/>
      <c r="U17" s="501"/>
      <c r="V17" s="230"/>
      <c r="W17" s="230"/>
      <c r="X17" s="521"/>
      <c r="Y17" s="522"/>
      <c r="Z17" s="523"/>
      <c r="AA17" s="151"/>
      <c r="AB17" s="230"/>
      <c r="AC17" s="230"/>
      <c r="AD17" s="230"/>
      <c r="AE17" s="230"/>
      <c r="AF17" s="230"/>
      <c r="AG17" s="231"/>
    </row>
    <row r="18" spans="1:33" s="226" customFormat="1" ht="72" customHeight="1" x14ac:dyDescent="0.4">
      <c r="A18" s="632"/>
      <c r="B18" s="271"/>
      <c r="C18" s="12"/>
      <c r="D18" s="247"/>
      <c r="E18" s="248"/>
      <c r="F18" s="228"/>
      <c r="G18" s="249"/>
      <c r="H18" s="1057"/>
      <c r="I18" s="1057"/>
      <c r="J18" s="228"/>
      <c r="K18" s="249"/>
      <c r="L18" s="918"/>
      <c r="M18" s="710">
        <f>SUBTOTAL(9,M20:M364)</f>
        <v>22726429280.099995</v>
      </c>
      <c r="N18" s="710">
        <f>SUBTOTAL(9,N20:N364)</f>
        <v>22516779100.099995</v>
      </c>
      <c r="O18" s="711"/>
      <c r="P18" s="228"/>
      <c r="Q18" s="228"/>
      <c r="R18" s="14"/>
      <c r="S18" s="228"/>
      <c r="T18" s="708"/>
      <c r="U18" s="501"/>
      <c r="V18" s="230"/>
      <c r="W18" s="230"/>
      <c r="X18" s="712">
        <f>SUBTOTAL(9,X20:X365)</f>
        <v>20716379325.880001</v>
      </c>
      <c r="Y18" s="712">
        <f>SUBTOTAL(9,Y20:Y365)</f>
        <v>-645071838.23000002</v>
      </c>
      <c r="Z18" s="712">
        <f>SUBTOTAL(9,Z20:Z365)</f>
        <v>19922585556.210003</v>
      </c>
      <c r="AA18" s="713"/>
      <c r="AB18" s="713"/>
      <c r="AC18" s="230"/>
      <c r="AD18" s="230"/>
      <c r="AE18" s="230"/>
      <c r="AF18" s="230"/>
      <c r="AG18" s="231"/>
    </row>
    <row r="19" spans="1:33" ht="183.6" customHeight="1" x14ac:dyDescent="0.35">
      <c r="A19" s="660" t="s">
        <v>31</v>
      </c>
      <c r="B19" s="626" t="s">
        <v>32</v>
      </c>
      <c r="C19" s="627" t="s">
        <v>33</v>
      </c>
      <c r="D19" s="627" t="s">
        <v>34</v>
      </c>
      <c r="E19" s="627" t="s">
        <v>35</v>
      </c>
      <c r="F19" s="627" t="s">
        <v>36</v>
      </c>
      <c r="G19" s="627" t="s">
        <v>37</v>
      </c>
      <c r="H19" s="627" t="s">
        <v>340</v>
      </c>
      <c r="I19" s="627" t="s">
        <v>38</v>
      </c>
      <c r="J19" s="627" t="s">
        <v>39</v>
      </c>
      <c r="K19" s="627" t="s">
        <v>40</v>
      </c>
      <c r="L19" s="627" t="s">
        <v>41</v>
      </c>
      <c r="M19" s="714" t="s">
        <v>42</v>
      </c>
      <c r="N19" s="628" t="s">
        <v>43</v>
      </c>
      <c r="O19" s="627" t="s">
        <v>44</v>
      </c>
      <c r="P19" s="627" t="s">
        <v>45</v>
      </c>
      <c r="Q19" s="627" t="s">
        <v>46</v>
      </c>
      <c r="R19" s="23"/>
      <c r="S19" s="266" t="s">
        <v>47</v>
      </c>
      <c r="T19" s="266" t="s">
        <v>48</v>
      </c>
      <c r="U19" s="266" t="s">
        <v>49</v>
      </c>
      <c r="V19" s="266" t="s">
        <v>50</v>
      </c>
      <c r="W19" s="266" t="s">
        <v>51</v>
      </c>
      <c r="X19" s="524" t="s">
        <v>52</v>
      </c>
      <c r="Y19" s="524" t="s">
        <v>53</v>
      </c>
      <c r="Z19" s="524" t="s">
        <v>351</v>
      </c>
      <c r="AA19" s="266" t="s">
        <v>54</v>
      </c>
      <c r="AB19" s="266" t="s">
        <v>55</v>
      </c>
      <c r="AC19" s="266" t="s">
        <v>56</v>
      </c>
      <c r="AD19" s="266" t="s">
        <v>57</v>
      </c>
      <c r="AE19" s="266" t="s">
        <v>58</v>
      </c>
      <c r="AF19" s="266" t="s">
        <v>59</v>
      </c>
      <c r="AG19" s="266" t="s">
        <v>60</v>
      </c>
    </row>
    <row r="20" spans="1:33" s="27" customFormat="1" ht="272.45" customHeight="1" x14ac:dyDescent="0.35">
      <c r="A20" s="715">
        <v>1</v>
      </c>
      <c r="B20" s="634"/>
      <c r="C20" s="634" t="s">
        <v>292</v>
      </c>
      <c r="D20" s="637">
        <v>25172504</v>
      </c>
      <c r="E20" s="638" t="s">
        <v>358</v>
      </c>
      <c r="F20" s="634" t="s">
        <v>61</v>
      </c>
      <c r="G20" s="634">
        <v>1</v>
      </c>
      <c r="H20" s="956" t="s">
        <v>1806</v>
      </c>
      <c r="I20" s="634">
        <v>1</v>
      </c>
      <c r="J20" s="634" t="s">
        <v>62</v>
      </c>
      <c r="K20" s="634" t="s">
        <v>63</v>
      </c>
      <c r="L20" s="634" t="s">
        <v>64</v>
      </c>
      <c r="M20" s="758">
        <v>1000000</v>
      </c>
      <c r="N20" s="759">
        <v>1000000</v>
      </c>
      <c r="O20" s="634" t="s">
        <v>65</v>
      </c>
      <c r="P20" s="634" t="s">
        <v>66</v>
      </c>
      <c r="Q20" s="638" t="s">
        <v>67</v>
      </c>
      <c r="R20" s="24"/>
      <c r="S20" s="644" t="s">
        <v>2047</v>
      </c>
      <c r="T20" s="645" t="s">
        <v>2048</v>
      </c>
      <c r="U20" s="646">
        <v>44523</v>
      </c>
      <c r="V20" s="645" t="s">
        <v>2049</v>
      </c>
      <c r="W20" s="647" t="s">
        <v>1177</v>
      </c>
      <c r="X20" s="770">
        <v>882432</v>
      </c>
      <c r="Y20" s="771">
        <v>0</v>
      </c>
      <c r="Z20" s="770">
        <v>882432</v>
      </c>
      <c r="AA20" s="645" t="s">
        <v>2050</v>
      </c>
      <c r="AB20" s="647">
        <v>31821</v>
      </c>
      <c r="AC20" s="645" t="s">
        <v>2051</v>
      </c>
      <c r="AD20" s="648">
        <v>44523</v>
      </c>
      <c r="AE20" s="648">
        <v>44550</v>
      </c>
      <c r="AF20" s="645" t="s">
        <v>1657</v>
      </c>
      <c r="AG20" s="645" t="s">
        <v>710</v>
      </c>
    </row>
    <row r="21" spans="1:33" ht="409.6" customHeight="1" x14ac:dyDescent="0.35">
      <c r="A21" s="727">
        <v>2</v>
      </c>
      <c r="B21" s="811"/>
      <c r="C21" s="812" t="s">
        <v>292</v>
      </c>
      <c r="D21" s="813" t="s">
        <v>293</v>
      </c>
      <c r="E21" s="814" t="s">
        <v>359</v>
      </c>
      <c r="F21" s="811" t="s">
        <v>61</v>
      </c>
      <c r="G21" s="812">
        <v>1</v>
      </c>
      <c r="H21" s="812" t="s">
        <v>2014</v>
      </c>
      <c r="I21" s="815">
        <v>2</v>
      </c>
      <c r="J21" s="812" t="s">
        <v>81</v>
      </c>
      <c r="K21" s="812" t="s">
        <v>63</v>
      </c>
      <c r="L21" s="812" t="s">
        <v>71</v>
      </c>
      <c r="M21" s="816"/>
      <c r="N21" s="817"/>
      <c r="O21" s="716" t="s">
        <v>65</v>
      </c>
      <c r="P21" s="716" t="s">
        <v>66</v>
      </c>
      <c r="Q21" s="717" t="s">
        <v>67</v>
      </c>
      <c r="S21" s="729"/>
      <c r="T21" s="730"/>
      <c r="U21" s="731"/>
      <c r="V21" s="732"/>
      <c r="W21" s="726"/>
      <c r="X21" s="766"/>
      <c r="Y21" s="767"/>
      <c r="Z21" s="766"/>
      <c r="AA21" s="732"/>
      <c r="AB21" s="726"/>
      <c r="AC21" s="732"/>
      <c r="AD21" s="733"/>
      <c r="AE21" s="733"/>
      <c r="AF21" s="726"/>
      <c r="AG21" s="726"/>
    </row>
    <row r="22" spans="1:33" ht="409.6" customHeight="1" x14ac:dyDescent="0.35">
      <c r="A22" s="727">
        <v>2</v>
      </c>
      <c r="B22" s="633"/>
      <c r="C22" s="634" t="s">
        <v>292</v>
      </c>
      <c r="D22" s="635" t="s">
        <v>68</v>
      </c>
      <c r="E22" s="636" t="s">
        <v>307</v>
      </c>
      <c r="F22" s="633" t="s">
        <v>61</v>
      </c>
      <c r="G22" s="634">
        <v>1</v>
      </c>
      <c r="H22" s="634" t="s">
        <v>1806</v>
      </c>
      <c r="I22" s="637">
        <v>1</v>
      </c>
      <c r="J22" s="634" t="s">
        <v>62</v>
      </c>
      <c r="K22" s="634" t="s">
        <v>63</v>
      </c>
      <c r="L22" s="634" t="s">
        <v>360</v>
      </c>
      <c r="M22" s="758">
        <v>4000000</v>
      </c>
      <c r="N22" s="759">
        <v>4000000</v>
      </c>
      <c r="O22" s="634" t="s">
        <v>65</v>
      </c>
      <c r="P22" s="634" t="s">
        <v>66</v>
      </c>
      <c r="Q22" s="638" t="s">
        <v>67</v>
      </c>
      <c r="S22" s="644" t="s">
        <v>2059</v>
      </c>
      <c r="T22" s="645" t="s">
        <v>1991</v>
      </c>
      <c r="U22" s="646">
        <v>44524</v>
      </c>
      <c r="V22" s="645" t="s">
        <v>2060</v>
      </c>
      <c r="W22" s="647" t="s">
        <v>1177</v>
      </c>
      <c r="X22" s="770">
        <v>3999011</v>
      </c>
      <c r="Y22" s="771">
        <v>0</v>
      </c>
      <c r="Z22" s="770">
        <v>3999011</v>
      </c>
      <c r="AA22" s="645" t="s">
        <v>2061</v>
      </c>
      <c r="AB22" s="679" t="s">
        <v>2161</v>
      </c>
      <c r="AC22" s="645" t="s">
        <v>2062</v>
      </c>
      <c r="AD22" s="648">
        <v>44524</v>
      </c>
      <c r="AE22" s="648">
        <v>44550</v>
      </c>
      <c r="AF22" s="645" t="s">
        <v>1652</v>
      </c>
      <c r="AG22" s="645" t="s">
        <v>710</v>
      </c>
    </row>
    <row r="23" spans="1:33" ht="242.1" customHeight="1" x14ac:dyDescent="0.35">
      <c r="A23" s="727">
        <v>2</v>
      </c>
      <c r="B23" s="633" t="s">
        <v>361</v>
      </c>
      <c r="C23" s="642" t="s">
        <v>282</v>
      </c>
      <c r="D23" s="640" t="s">
        <v>68</v>
      </c>
      <c r="E23" s="641" t="s">
        <v>418</v>
      </c>
      <c r="F23" s="640" t="s">
        <v>61</v>
      </c>
      <c r="G23" s="634">
        <v>1</v>
      </c>
      <c r="H23" s="634" t="s">
        <v>1806</v>
      </c>
      <c r="I23" s="637">
        <v>1</v>
      </c>
      <c r="J23" s="634" t="s">
        <v>62</v>
      </c>
      <c r="K23" s="634" t="s">
        <v>100</v>
      </c>
      <c r="L23" s="634" t="s">
        <v>362</v>
      </c>
      <c r="M23" s="758">
        <v>3000000</v>
      </c>
      <c r="N23" s="759">
        <v>3000000</v>
      </c>
      <c r="O23" s="634" t="s">
        <v>65</v>
      </c>
      <c r="P23" s="634" t="s">
        <v>66</v>
      </c>
      <c r="Q23" s="781" t="s">
        <v>363</v>
      </c>
      <c r="S23" s="644" t="s">
        <v>2059</v>
      </c>
      <c r="T23" s="645" t="s">
        <v>1991</v>
      </c>
      <c r="U23" s="646">
        <v>44524</v>
      </c>
      <c r="V23" s="645" t="s">
        <v>2060</v>
      </c>
      <c r="W23" s="647" t="s">
        <v>1177</v>
      </c>
      <c r="X23" s="770">
        <v>2341481</v>
      </c>
      <c r="Y23" s="771">
        <v>0</v>
      </c>
      <c r="Z23" s="770">
        <v>2341481</v>
      </c>
      <c r="AA23" s="645" t="s">
        <v>2061</v>
      </c>
      <c r="AB23" s="679" t="s">
        <v>2162</v>
      </c>
      <c r="AC23" s="645" t="s">
        <v>2062</v>
      </c>
      <c r="AD23" s="648">
        <v>44524</v>
      </c>
      <c r="AE23" s="648">
        <v>44550</v>
      </c>
      <c r="AF23" s="645" t="s">
        <v>1652</v>
      </c>
      <c r="AG23" s="645" t="s">
        <v>710</v>
      </c>
    </row>
    <row r="24" spans="1:33" ht="220.5" customHeight="1" x14ac:dyDescent="0.35">
      <c r="A24" s="727">
        <v>2</v>
      </c>
      <c r="B24" s="811"/>
      <c r="C24" s="812" t="s">
        <v>292</v>
      </c>
      <c r="D24" s="813" t="s">
        <v>294</v>
      </c>
      <c r="E24" s="814" t="s">
        <v>1811</v>
      </c>
      <c r="F24" s="811" t="s">
        <v>61</v>
      </c>
      <c r="G24" s="812">
        <v>1</v>
      </c>
      <c r="H24" s="812" t="s">
        <v>105</v>
      </c>
      <c r="I24" s="815">
        <v>2</v>
      </c>
      <c r="J24" s="812" t="s">
        <v>81</v>
      </c>
      <c r="K24" s="812" t="s">
        <v>63</v>
      </c>
      <c r="L24" s="812" t="s">
        <v>285</v>
      </c>
      <c r="M24" s="816"/>
      <c r="N24" s="817"/>
      <c r="O24" s="810" t="s">
        <v>65</v>
      </c>
      <c r="P24" s="810" t="s">
        <v>66</v>
      </c>
      <c r="Q24" s="717" t="s">
        <v>67</v>
      </c>
      <c r="S24" s="720"/>
      <c r="T24" s="721"/>
      <c r="U24" s="722"/>
      <c r="V24" s="723"/>
      <c r="W24" s="724"/>
      <c r="X24" s="764"/>
      <c r="Y24" s="765"/>
      <c r="Z24" s="764"/>
      <c r="AA24" s="723"/>
      <c r="AB24" s="724"/>
      <c r="AC24" s="723"/>
      <c r="AD24" s="725"/>
      <c r="AE24" s="725"/>
      <c r="AF24" s="724"/>
      <c r="AG24" s="724"/>
    </row>
    <row r="25" spans="1:33" ht="272.45" customHeight="1" x14ac:dyDescent="0.35">
      <c r="A25" s="715">
        <v>3</v>
      </c>
      <c r="B25" s="734"/>
      <c r="C25" s="735" t="s">
        <v>292</v>
      </c>
      <c r="D25" s="736">
        <v>44103103</v>
      </c>
      <c r="E25" s="737" t="s">
        <v>349</v>
      </c>
      <c r="F25" s="734" t="s">
        <v>61</v>
      </c>
      <c r="G25" s="735">
        <v>1</v>
      </c>
      <c r="H25" s="735" t="s">
        <v>80</v>
      </c>
      <c r="I25" s="738">
        <v>2</v>
      </c>
      <c r="J25" s="735" t="s">
        <v>70</v>
      </c>
      <c r="K25" s="735" t="s">
        <v>63</v>
      </c>
      <c r="L25" s="735" t="s">
        <v>73</v>
      </c>
      <c r="M25" s="739"/>
      <c r="N25" s="740"/>
      <c r="O25" s="735" t="s">
        <v>65</v>
      </c>
      <c r="P25" s="735" t="s">
        <v>66</v>
      </c>
      <c r="Q25" s="741" t="s">
        <v>67</v>
      </c>
      <c r="S25" s="720"/>
      <c r="T25" s="721"/>
      <c r="U25" s="722"/>
      <c r="V25" s="723"/>
      <c r="W25" s="724"/>
      <c r="X25" s="764"/>
      <c r="Y25" s="765"/>
      <c r="Z25" s="764"/>
      <c r="AA25" s="723"/>
      <c r="AB25" s="724"/>
      <c r="AC25" s="723"/>
      <c r="AD25" s="725"/>
      <c r="AE25" s="725"/>
      <c r="AF25" s="724"/>
      <c r="AG25" s="724"/>
    </row>
    <row r="26" spans="1:33" ht="272.45" customHeight="1" x14ac:dyDescent="0.35">
      <c r="A26" s="715">
        <v>4</v>
      </c>
      <c r="B26" s="790"/>
      <c r="C26" s="791" t="s">
        <v>292</v>
      </c>
      <c r="D26" s="982">
        <v>44103103</v>
      </c>
      <c r="E26" s="983" t="s">
        <v>308</v>
      </c>
      <c r="F26" s="790" t="s">
        <v>61</v>
      </c>
      <c r="G26" s="791">
        <v>1</v>
      </c>
      <c r="H26" s="791" t="s">
        <v>1968</v>
      </c>
      <c r="I26" s="792">
        <v>2</v>
      </c>
      <c r="J26" s="791" t="s">
        <v>62</v>
      </c>
      <c r="K26" s="791" t="s">
        <v>63</v>
      </c>
      <c r="L26" s="791" t="s">
        <v>73</v>
      </c>
      <c r="M26" s="793">
        <v>9381600</v>
      </c>
      <c r="N26" s="794">
        <v>9381600</v>
      </c>
      <c r="O26" s="791" t="s">
        <v>65</v>
      </c>
      <c r="P26" s="791" t="s">
        <v>66</v>
      </c>
      <c r="Q26" s="798" t="s">
        <v>67</v>
      </c>
      <c r="S26" s="673" t="s">
        <v>2160</v>
      </c>
      <c r="T26" s="984"/>
      <c r="U26" s="959"/>
      <c r="V26" s="674"/>
      <c r="W26" s="675"/>
      <c r="X26" s="799"/>
      <c r="Y26" s="800"/>
      <c r="Z26" s="799"/>
      <c r="AA26" s="674"/>
      <c r="AB26" s="675"/>
      <c r="AC26" s="674"/>
      <c r="AD26" s="676"/>
      <c r="AE26" s="676"/>
      <c r="AF26" s="675"/>
      <c r="AG26" s="675"/>
    </row>
    <row r="27" spans="1:33" s="226" customFormat="1" ht="272.45" customHeight="1" x14ac:dyDescent="0.35">
      <c r="A27" s="715">
        <v>5</v>
      </c>
      <c r="B27" s="633"/>
      <c r="C27" s="634" t="s">
        <v>292</v>
      </c>
      <c r="D27" s="635">
        <v>84131603</v>
      </c>
      <c r="E27" s="636" t="s">
        <v>419</v>
      </c>
      <c r="F27" s="633" t="s">
        <v>61</v>
      </c>
      <c r="G27" s="634">
        <v>1</v>
      </c>
      <c r="H27" s="634" t="s">
        <v>80</v>
      </c>
      <c r="I27" s="637">
        <v>1</v>
      </c>
      <c r="J27" s="634" t="s">
        <v>70</v>
      </c>
      <c r="K27" s="634" t="s">
        <v>63</v>
      </c>
      <c r="L27" s="634" t="s">
        <v>79</v>
      </c>
      <c r="M27" s="758">
        <v>8000000</v>
      </c>
      <c r="N27" s="759">
        <v>8000000</v>
      </c>
      <c r="O27" s="634" t="s">
        <v>65</v>
      </c>
      <c r="P27" s="634" t="s">
        <v>66</v>
      </c>
      <c r="Q27" s="638" t="s">
        <v>67</v>
      </c>
      <c r="R27" s="24"/>
      <c r="S27" s="644" t="s">
        <v>1647</v>
      </c>
      <c r="T27" s="645" t="s">
        <v>1648</v>
      </c>
      <c r="U27" s="646">
        <v>44327</v>
      </c>
      <c r="V27" s="645" t="s">
        <v>1649</v>
      </c>
      <c r="W27" s="647" t="s">
        <v>1171</v>
      </c>
      <c r="X27" s="770">
        <v>5228542</v>
      </c>
      <c r="Y27" s="771">
        <v>0</v>
      </c>
      <c r="Z27" s="770">
        <v>5228542</v>
      </c>
      <c r="AA27" s="645" t="s">
        <v>1650</v>
      </c>
      <c r="AB27" s="647">
        <v>22121</v>
      </c>
      <c r="AC27" s="645" t="s">
        <v>1651</v>
      </c>
      <c r="AD27" s="648">
        <v>44328</v>
      </c>
      <c r="AE27" s="648">
        <v>44520</v>
      </c>
      <c r="AF27" s="645" t="s">
        <v>1652</v>
      </c>
      <c r="AG27" s="645" t="s">
        <v>710</v>
      </c>
    </row>
    <row r="28" spans="1:33" ht="272.45" customHeight="1" x14ac:dyDescent="0.35">
      <c r="A28" s="715">
        <v>6</v>
      </c>
      <c r="B28" s="633"/>
      <c r="C28" s="634" t="s">
        <v>292</v>
      </c>
      <c r="D28" s="635">
        <v>46191601</v>
      </c>
      <c r="E28" s="636" t="s">
        <v>421</v>
      </c>
      <c r="F28" s="633" t="s">
        <v>61</v>
      </c>
      <c r="G28" s="634">
        <v>1</v>
      </c>
      <c r="H28" s="634" t="s">
        <v>1968</v>
      </c>
      <c r="I28" s="637">
        <v>1</v>
      </c>
      <c r="J28" s="634" t="s">
        <v>70</v>
      </c>
      <c r="K28" s="634" t="s">
        <v>63</v>
      </c>
      <c r="L28" s="634" t="s">
        <v>84</v>
      </c>
      <c r="M28" s="758">
        <v>5000000</v>
      </c>
      <c r="N28" s="759">
        <v>5000000</v>
      </c>
      <c r="O28" s="634" t="s">
        <v>65</v>
      </c>
      <c r="P28" s="634" t="s">
        <v>66</v>
      </c>
      <c r="Q28" s="638" t="s">
        <v>67</v>
      </c>
      <c r="S28" s="644" t="s">
        <v>2137</v>
      </c>
      <c r="T28" s="645" t="s">
        <v>2138</v>
      </c>
      <c r="U28" s="646">
        <v>44553</v>
      </c>
      <c r="V28" s="645" t="s">
        <v>2139</v>
      </c>
      <c r="W28" s="647" t="s">
        <v>1171</v>
      </c>
      <c r="X28" s="770">
        <v>4944242.2699999996</v>
      </c>
      <c r="Y28" s="771">
        <v>0</v>
      </c>
      <c r="Z28" s="770">
        <v>4944242.2699999996</v>
      </c>
      <c r="AA28" s="645" t="s">
        <v>2140</v>
      </c>
      <c r="AB28" s="647">
        <v>32221</v>
      </c>
      <c r="AC28" s="645" t="s">
        <v>2141</v>
      </c>
      <c r="AD28" s="648">
        <v>44553</v>
      </c>
      <c r="AE28" s="648">
        <v>44561</v>
      </c>
      <c r="AF28" s="645" t="s">
        <v>2142</v>
      </c>
      <c r="AG28" s="645" t="s">
        <v>710</v>
      </c>
    </row>
    <row r="29" spans="1:33" ht="272.45" customHeight="1" x14ac:dyDescent="0.35">
      <c r="A29" s="715">
        <v>7</v>
      </c>
      <c r="B29" s="633"/>
      <c r="C29" s="634" t="s">
        <v>292</v>
      </c>
      <c r="D29" s="635" t="s">
        <v>312</v>
      </c>
      <c r="E29" s="636" t="s">
        <v>420</v>
      </c>
      <c r="F29" s="633" t="s">
        <v>61</v>
      </c>
      <c r="G29" s="634">
        <v>1</v>
      </c>
      <c r="H29" s="634" t="s">
        <v>91</v>
      </c>
      <c r="I29" s="637">
        <v>11</v>
      </c>
      <c r="J29" s="634" t="s">
        <v>81</v>
      </c>
      <c r="K29" s="634" t="s">
        <v>63</v>
      </c>
      <c r="L29" s="634" t="s">
        <v>84</v>
      </c>
      <c r="M29" s="758">
        <v>24500000</v>
      </c>
      <c r="N29" s="759">
        <v>24500000</v>
      </c>
      <c r="O29" s="634" t="s">
        <v>65</v>
      </c>
      <c r="P29" s="634" t="s">
        <v>66</v>
      </c>
      <c r="Q29" s="638" t="s">
        <v>67</v>
      </c>
      <c r="S29" s="644" t="s">
        <v>1473</v>
      </c>
      <c r="T29" s="645" t="s">
        <v>1474</v>
      </c>
      <c r="U29" s="646">
        <v>44250</v>
      </c>
      <c r="V29" s="645" t="s">
        <v>1475</v>
      </c>
      <c r="W29" s="647" t="s">
        <v>1452</v>
      </c>
      <c r="X29" s="770">
        <v>11075583</v>
      </c>
      <c r="Y29" s="772">
        <v>1287791</v>
      </c>
      <c r="Z29" s="770">
        <f>X29+Y29</f>
        <v>12363374</v>
      </c>
      <c r="AA29" s="645" t="s">
        <v>1476</v>
      </c>
      <c r="AB29" s="647">
        <v>22721</v>
      </c>
      <c r="AC29" s="645" t="s">
        <v>1477</v>
      </c>
      <c r="AD29" s="648">
        <v>44251</v>
      </c>
      <c r="AE29" s="648">
        <v>44553</v>
      </c>
      <c r="AF29" s="645" t="s">
        <v>1478</v>
      </c>
      <c r="AG29" s="645" t="s">
        <v>710</v>
      </c>
    </row>
    <row r="30" spans="1:33" ht="272.45" customHeight="1" x14ac:dyDescent="0.35">
      <c r="A30" s="727">
        <v>8</v>
      </c>
      <c r="B30" s="633"/>
      <c r="C30" s="634" t="s">
        <v>292</v>
      </c>
      <c r="D30" s="635" t="s">
        <v>87</v>
      </c>
      <c r="E30" s="636" t="s">
        <v>422</v>
      </c>
      <c r="F30" s="633" t="s">
        <v>61</v>
      </c>
      <c r="G30" s="634">
        <v>1</v>
      </c>
      <c r="H30" s="634" t="s">
        <v>74</v>
      </c>
      <c r="I30" s="637">
        <v>2</v>
      </c>
      <c r="J30" s="634" t="s">
        <v>62</v>
      </c>
      <c r="K30" s="634" t="s">
        <v>63</v>
      </c>
      <c r="L30" s="634" t="s">
        <v>88</v>
      </c>
      <c r="M30" s="758">
        <v>5000000</v>
      </c>
      <c r="N30" s="759">
        <v>5000000</v>
      </c>
      <c r="O30" s="634" t="s">
        <v>65</v>
      </c>
      <c r="P30" s="634" t="s">
        <v>66</v>
      </c>
      <c r="Q30" s="638" t="s">
        <v>67</v>
      </c>
      <c r="S30" s="662" t="s">
        <v>1803</v>
      </c>
      <c r="T30" s="663" t="s">
        <v>1891</v>
      </c>
      <c r="U30" s="664">
        <v>44435</v>
      </c>
      <c r="V30" s="645" t="s">
        <v>1914</v>
      </c>
      <c r="W30" s="762" t="s">
        <v>1177</v>
      </c>
      <c r="X30" s="773">
        <v>4987382</v>
      </c>
      <c r="Y30" s="771"/>
      <c r="Z30" s="773">
        <v>4987382</v>
      </c>
      <c r="AA30" s="645" t="s">
        <v>1915</v>
      </c>
      <c r="AB30" s="762">
        <v>22821</v>
      </c>
      <c r="AC30" s="645" t="s">
        <v>1916</v>
      </c>
      <c r="AD30" s="763">
        <v>44435</v>
      </c>
      <c r="AE30" s="763">
        <v>44498</v>
      </c>
      <c r="AF30" s="645" t="s">
        <v>1652</v>
      </c>
      <c r="AG30" s="645" t="s">
        <v>710</v>
      </c>
    </row>
    <row r="31" spans="1:33" ht="272.45" customHeight="1" x14ac:dyDescent="0.35">
      <c r="A31" s="727">
        <v>8</v>
      </c>
      <c r="B31" s="633"/>
      <c r="C31" s="634" t="s">
        <v>292</v>
      </c>
      <c r="D31" s="635" t="s">
        <v>87</v>
      </c>
      <c r="E31" s="636" t="s">
        <v>423</v>
      </c>
      <c r="F31" s="633" t="s">
        <v>61</v>
      </c>
      <c r="G31" s="634">
        <v>1</v>
      </c>
      <c r="H31" s="634" t="s">
        <v>74</v>
      </c>
      <c r="I31" s="637">
        <v>2</v>
      </c>
      <c r="J31" s="634" t="s">
        <v>62</v>
      </c>
      <c r="K31" s="634" t="s">
        <v>63</v>
      </c>
      <c r="L31" s="634" t="s">
        <v>89</v>
      </c>
      <c r="M31" s="758">
        <v>15000000</v>
      </c>
      <c r="N31" s="759">
        <v>15000000</v>
      </c>
      <c r="O31" s="634" t="s">
        <v>65</v>
      </c>
      <c r="P31" s="634" t="s">
        <v>66</v>
      </c>
      <c r="Q31" s="638" t="s">
        <v>67</v>
      </c>
      <c r="S31" s="662" t="s">
        <v>1803</v>
      </c>
      <c r="T31" s="663" t="s">
        <v>1891</v>
      </c>
      <c r="U31" s="664">
        <v>44435</v>
      </c>
      <c r="V31" s="645" t="s">
        <v>1914</v>
      </c>
      <c r="W31" s="762" t="s">
        <v>1177</v>
      </c>
      <c r="X31" s="773">
        <v>15000000</v>
      </c>
      <c r="Y31" s="771">
        <v>0</v>
      </c>
      <c r="Z31" s="773">
        <v>15000000</v>
      </c>
      <c r="AA31" s="645" t="s">
        <v>1915</v>
      </c>
      <c r="AB31" s="762">
        <v>22821</v>
      </c>
      <c r="AC31" s="645" t="s">
        <v>1916</v>
      </c>
      <c r="AD31" s="763">
        <v>44435</v>
      </c>
      <c r="AE31" s="763">
        <v>44498</v>
      </c>
      <c r="AF31" s="645" t="s">
        <v>1652</v>
      </c>
      <c r="AG31" s="645" t="s">
        <v>710</v>
      </c>
    </row>
    <row r="32" spans="1:33" ht="272.45" customHeight="1" x14ac:dyDescent="0.35">
      <c r="A32" s="715">
        <v>9</v>
      </c>
      <c r="B32" s="790"/>
      <c r="C32" s="791" t="s">
        <v>292</v>
      </c>
      <c r="D32" s="982">
        <v>44101706</v>
      </c>
      <c r="E32" s="983" t="s">
        <v>424</v>
      </c>
      <c r="F32" s="790" t="s">
        <v>61</v>
      </c>
      <c r="G32" s="791">
        <v>1</v>
      </c>
      <c r="H32" s="791" t="s">
        <v>1968</v>
      </c>
      <c r="I32" s="792">
        <v>2</v>
      </c>
      <c r="J32" s="791" t="s">
        <v>62</v>
      </c>
      <c r="K32" s="791" t="s">
        <v>63</v>
      </c>
      <c r="L32" s="791" t="s">
        <v>73</v>
      </c>
      <c r="M32" s="793">
        <v>1618400</v>
      </c>
      <c r="N32" s="794">
        <v>1618400</v>
      </c>
      <c r="O32" s="791" t="s">
        <v>65</v>
      </c>
      <c r="P32" s="791" t="s">
        <v>66</v>
      </c>
      <c r="Q32" s="798" t="s">
        <v>67</v>
      </c>
      <c r="S32" s="673" t="s">
        <v>2160</v>
      </c>
      <c r="T32" s="984"/>
      <c r="U32" s="959"/>
      <c r="V32" s="674"/>
      <c r="W32" s="675"/>
      <c r="X32" s="799"/>
      <c r="Y32" s="800"/>
      <c r="Z32" s="799"/>
      <c r="AA32" s="674"/>
      <c r="AB32" s="675"/>
      <c r="AC32" s="674"/>
      <c r="AD32" s="676"/>
      <c r="AE32" s="676"/>
      <c r="AF32" s="675"/>
      <c r="AG32" s="675"/>
    </row>
    <row r="33" spans="1:33" ht="272.45" customHeight="1" x14ac:dyDescent="0.35">
      <c r="A33" s="715">
        <v>10</v>
      </c>
      <c r="B33" s="734"/>
      <c r="C33" s="735" t="s">
        <v>292</v>
      </c>
      <c r="D33" s="736" t="s">
        <v>95</v>
      </c>
      <c r="E33" s="737" t="s">
        <v>425</v>
      </c>
      <c r="F33" s="734" t="s">
        <v>61</v>
      </c>
      <c r="G33" s="735">
        <v>1</v>
      </c>
      <c r="H33" s="735" t="s">
        <v>83</v>
      </c>
      <c r="I33" s="738">
        <v>9</v>
      </c>
      <c r="J33" s="735" t="s">
        <v>70</v>
      </c>
      <c r="K33" s="735" t="s">
        <v>63</v>
      </c>
      <c r="L33" s="735" t="s">
        <v>96</v>
      </c>
      <c r="M33" s="739"/>
      <c r="N33" s="740"/>
      <c r="O33" s="735" t="s">
        <v>65</v>
      </c>
      <c r="P33" s="735" t="s">
        <v>66</v>
      </c>
      <c r="Q33" s="741" t="s">
        <v>67</v>
      </c>
      <c r="S33" s="720"/>
      <c r="T33" s="721"/>
      <c r="U33" s="722"/>
      <c r="V33" s="723"/>
      <c r="W33" s="724"/>
      <c r="X33" s="919"/>
      <c r="Y33" s="920"/>
      <c r="Z33" s="764"/>
      <c r="AA33" s="723"/>
      <c r="AB33" s="726"/>
      <c r="AC33" s="723"/>
      <c r="AD33" s="733"/>
      <c r="AE33" s="733"/>
      <c r="AF33" s="724"/>
      <c r="AG33" s="724"/>
    </row>
    <row r="34" spans="1:33" s="226" customFormat="1" ht="409.5" x14ac:dyDescent="0.35">
      <c r="A34" s="805">
        <v>11</v>
      </c>
      <c r="B34" s="633"/>
      <c r="C34" s="634" t="s">
        <v>292</v>
      </c>
      <c r="D34" s="635" t="s">
        <v>109</v>
      </c>
      <c r="E34" s="636" t="s">
        <v>426</v>
      </c>
      <c r="F34" s="634" t="s">
        <v>61</v>
      </c>
      <c r="G34" s="634">
        <v>1</v>
      </c>
      <c r="H34" s="634" t="s">
        <v>72</v>
      </c>
      <c r="I34" s="637">
        <v>8</v>
      </c>
      <c r="J34" s="634" t="s">
        <v>81</v>
      </c>
      <c r="K34" s="634" t="s">
        <v>63</v>
      </c>
      <c r="L34" s="634" t="s">
        <v>110</v>
      </c>
      <c r="M34" s="758">
        <v>3000000</v>
      </c>
      <c r="N34" s="759">
        <v>3000000</v>
      </c>
      <c r="O34" s="634" t="s">
        <v>65</v>
      </c>
      <c r="P34" s="634" t="s">
        <v>66</v>
      </c>
      <c r="Q34" s="638" t="s">
        <v>67</v>
      </c>
      <c r="R34" s="24"/>
      <c r="S34" s="662" t="s">
        <v>1805</v>
      </c>
      <c r="T34" s="663" t="s">
        <v>1909</v>
      </c>
      <c r="U34" s="664">
        <v>44433</v>
      </c>
      <c r="V34" s="645" t="s">
        <v>1910</v>
      </c>
      <c r="W34" s="762" t="s">
        <v>1452</v>
      </c>
      <c r="X34" s="773">
        <v>1800000</v>
      </c>
      <c r="Y34" s="771">
        <v>0</v>
      </c>
      <c r="Z34" s="773">
        <v>1800000</v>
      </c>
      <c r="AA34" s="645" t="s">
        <v>1911</v>
      </c>
      <c r="AB34" s="762">
        <v>32321</v>
      </c>
      <c r="AC34" s="645" t="s">
        <v>1912</v>
      </c>
      <c r="AD34" s="763">
        <v>44434</v>
      </c>
      <c r="AE34" s="763">
        <v>44525</v>
      </c>
      <c r="AF34" s="645" t="s">
        <v>1913</v>
      </c>
      <c r="AG34" s="645" t="s">
        <v>722</v>
      </c>
    </row>
    <row r="35" spans="1:33" ht="272.25" customHeight="1" x14ac:dyDescent="0.35">
      <c r="A35" s="727">
        <v>12</v>
      </c>
      <c r="B35" s="734" t="s">
        <v>410</v>
      </c>
      <c r="C35" s="734" t="s">
        <v>318</v>
      </c>
      <c r="D35" s="736" t="s">
        <v>295</v>
      </c>
      <c r="E35" s="737" t="s">
        <v>427</v>
      </c>
      <c r="F35" s="734" t="s">
        <v>61</v>
      </c>
      <c r="G35" s="735">
        <v>1</v>
      </c>
      <c r="H35" s="735" t="s">
        <v>69</v>
      </c>
      <c r="I35" s="738">
        <v>3</v>
      </c>
      <c r="J35" s="741" t="s">
        <v>116</v>
      </c>
      <c r="K35" s="735" t="s">
        <v>100</v>
      </c>
      <c r="L35" s="735" t="s">
        <v>378</v>
      </c>
      <c r="M35" s="740"/>
      <c r="N35" s="740"/>
      <c r="O35" s="735" t="s">
        <v>65</v>
      </c>
      <c r="P35" s="735" t="s">
        <v>66</v>
      </c>
      <c r="Q35" s="741" t="s">
        <v>67</v>
      </c>
      <c r="S35" s="721"/>
      <c r="T35" s="721"/>
      <c r="U35" s="725"/>
      <c r="V35" s="723"/>
      <c r="W35" s="724"/>
      <c r="X35" s="768"/>
      <c r="Y35" s="769"/>
      <c r="Z35" s="768"/>
      <c r="AA35" s="723"/>
      <c r="AB35" s="724"/>
      <c r="AC35" s="732"/>
      <c r="AD35" s="733"/>
      <c r="AE35" s="733"/>
      <c r="AF35" s="726"/>
      <c r="AG35" s="742"/>
    </row>
    <row r="36" spans="1:33" ht="272.45" customHeight="1" x14ac:dyDescent="0.35">
      <c r="A36" s="727">
        <v>12</v>
      </c>
      <c r="B36" s="728"/>
      <c r="C36" s="735" t="s">
        <v>292</v>
      </c>
      <c r="D36" s="736" t="s">
        <v>295</v>
      </c>
      <c r="E36" s="737" t="s">
        <v>427</v>
      </c>
      <c r="F36" s="728" t="s">
        <v>61</v>
      </c>
      <c r="G36" s="716">
        <v>1</v>
      </c>
      <c r="H36" s="735" t="s">
        <v>69</v>
      </c>
      <c r="I36" s="738">
        <v>3</v>
      </c>
      <c r="J36" s="741" t="s">
        <v>116</v>
      </c>
      <c r="K36" s="735" t="s">
        <v>100</v>
      </c>
      <c r="L36" s="735" t="s">
        <v>306</v>
      </c>
      <c r="M36" s="740"/>
      <c r="N36" s="740"/>
      <c r="O36" s="735" t="s">
        <v>65</v>
      </c>
      <c r="P36" s="735" t="s">
        <v>66</v>
      </c>
      <c r="Q36" s="743" t="s">
        <v>67</v>
      </c>
      <c r="S36" s="721"/>
      <c r="T36" s="721"/>
      <c r="U36" s="725"/>
      <c r="V36" s="723"/>
      <c r="W36" s="724"/>
      <c r="X36" s="768"/>
      <c r="Y36" s="769"/>
      <c r="Z36" s="768"/>
      <c r="AA36" s="723"/>
      <c r="AB36" s="724"/>
      <c r="AC36" s="732"/>
      <c r="AD36" s="733"/>
      <c r="AE36" s="733"/>
      <c r="AF36" s="726"/>
      <c r="AG36" s="742"/>
    </row>
    <row r="37" spans="1:33" ht="272.45" customHeight="1" x14ac:dyDescent="0.35">
      <c r="A37" s="715">
        <v>13</v>
      </c>
      <c r="B37" s="633"/>
      <c r="C37" s="634" t="s">
        <v>292</v>
      </c>
      <c r="D37" s="635">
        <v>81141804</v>
      </c>
      <c r="E37" s="636" t="s">
        <v>428</v>
      </c>
      <c r="F37" s="633" t="s">
        <v>61</v>
      </c>
      <c r="G37" s="634">
        <v>1</v>
      </c>
      <c r="H37" s="634" t="s">
        <v>364</v>
      </c>
      <c r="I37" s="637">
        <v>3</v>
      </c>
      <c r="J37" s="634" t="s">
        <v>81</v>
      </c>
      <c r="K37" s="634" t="s">
        <v>63</v>
      </c>
      <c r="L37" s="634" t="s">
        <v>108</v>
      </c>
      <c r="M37" s="758">
        <v>800000</v>
      </c>
      <c r="N37" s="759">
        <v>800000</v>
      </c>
      <c r="O37" s="634" t="s">
        <v>65</v>
      </c>
      <c r="P37" s="634" t="s">
        <v>66</v>
      </c>
      <c r="Q37" s="638" t="s">
        <v>67</v>
      </c>
      <c r="S37" s="662" t="s">
        <v>1728</v>
      </c>
      <c r="T37" s="663" t="s">
        <v>1729</v>
      </c>
      <c r="U37" s="664">
        <v>44410</v>
      </c>
      <c r="V37" s="645" t="s">
        <v>1730</v>
      </c>
      <c r="W37" s="762" t="s">
        <v>1452</v>
      </c>
      <c r="X37" s="773">
        <v>571200</v>
      </c>
      <c r="Y37" s="771">
        <v>0</v>
      </c>
      <c r="Z37" s="773">
        <v>571200</v>
      </c>
      <c r="AA37" s="645" t="s">
        <v>1731</v>
      </c>
      <c r="AB37" s="762">
        <v>30421</v>
      </c>
      <c r="AC37" s="645" t="s">
        <v>1732</v>
      </c>
      <c r="AD37" s="763">
        <v>44411</v>
      </c>
      <c r="AE37" s="763">
        <v>44502</v>
      </c>
      <c r="AF37" s="645" t="s">
        <v>1478</v>
      </c>
      <c r="AG37" s="645" t="s">
        <v>710</v>
      </c>
    </row>
    <row r="38" spans="1:33" ht="272.45" customHeight="1" x14ac:dyDescent="0.35">
      <c r="A38" s="715">
        <v>14</v>
      </c>
      <c r="B38" s="633"/>
      <c r="C38" s="634" t="s">
        <v>292</v>
      </c>
      <c r="D38" s="635">
        <v>80101706</v>
      </c>
      <c r="E38" s="636" t="s">
        <v>429</v>
      </c>
      <c r="F38" s="633" t="s">
        <v>61</v>
      </c>
      <c r="G38" s="634">
        <v>1</v>
      </c>
      <c r="H38" s="634" t="s">
        <v>98</v>
      </c>
      <c r="I38" s="637">
        <v>10.199999999999999</v>
      </c>
      <c r="J38" s="634" t="s">
        <v>92</v>
      </c>
      <c r="K38" s="634" t="s">
        <v>63</v>
      </c>
      <c r="L38" s="634" t="s">
        <v>108</v>
      </c>
      <c r="M38" s="758">
        <v>39178832</v>
      </c>
      <c r="N38" s="759">
        <v>39178832</v>
      </c>
      <c r="O38" s="634" t="s">
        <v>65</v>
      </c>
      <c r="P38" s="634" t="s">
        <v>66</v>
      </c>
      <c r="Q38" s="638" t="s">
        <v>67</v>
      </c>
      <c r="S38" s="644" t="s">
        <v>1479</v>
      </c>
      <c r="T38" s="645" t="s">
        <v>1480</v>
      </c>
      <c r="U38" s="646">
        <v>44264</v>
      </c>
      <c r="V38" s="645" t="s">
        <v>1481</v>
      </c>
      <c r="W38" s="647" t="s">
        <v>714</v>
      </c>
      <c r="X38" s="770">
        <v>37820296</v>
      </c>
      <c r="Y38" s="772"/>
      <c r="Z38" s="770">
        <v>37820296</v>
      </c>
      <c r="AA38" s="645" t="s">
        <v>1482</v>
      </c>
      <c r="AB38" s="647">
        <v>2321</v>
      </c>
      <c r="AC38" s="645" t="s">
        <v>708</v>
      </c>
      <c r="AD38" s="648">
        <v>44265</v>
      </c>
      <c r="AE38" s="648">
        <v>44550</v>
      </c>
      <c r="AF38" s="645" t="s">
        <v>1478</v>
      </c>
      <c r="AG38" s="645" t="s">
        <v>710</v>
      </c>
    </row>
    <row r="39" spans="1:33" ht="272.45" customHeight="1" x14ac:dyDescent="0.35">
      <c r="A39" s="715">
        <v>15</v>
      </c>
      <c r="B39" s="633"/>
      <c r="C39" s="634" t="s">
        <v>292</v>
      </c>
      <c r="D39" s="635" t="s">
        <v>365</v>
      </c>
      <c r="E39" s="636" t="s">
        <v>430</v>
      </c>
      <c r="F39" s="633" t="s">
        <v>61</v>
      </c>
      <c r="G39" s="634">
        <v>1</v>
      </c>
      <c r="H39" s="634" t="s">
        <v>364</v>
      </c>
      <c r="I39" s="637">
        <v>2</v>
      </c>
      <c r="J39" s="634" t="s">
        <v>81</v>
      </c>
      <c r="K39" s="634" t="s">
        <v>63</v>
      </c>
      <c r="L39" s="634" t="s">
        <v>285</v>
      </c>
      <c r="M39" s="758">
        <v>11000000</v>
      </c>
      <c r="N39" s="759">
        <v>11000000</v>
      </c>
      <c r="O39" s="634" t="s">
        <v>65</v>
      </c>
      <c r="P39" s="634" t="s">
        <v>66</v>
      </c>
      <c r="Q39" s="638" t="s">
        <v>67</v>
      </c>
      <c r="S39" s="662" t="s">
        <v>1733</v>
      </c>
      <c r="T39" s="663" t="s">
        <v>1734</v>
      </c>
      <c r="U39" s="664">
        <v>44411</v>
      </c>
      <c r="V39" s="645" t="s">
        <v>1735</v>
      </c>
      <c r="W39" s="762" t="s">
        <v>1171</v>
      </c>
      <c r="X39" s="773">
        <v>3462900</v>
      </c>
      <c r="Y39" s="771">
        <v>0</v>
      </c>
      <c r="Z39" s="773">
        <v>3462900</v>
      </c>
      <c r="AA39" s="645" t="s">
        <v>1736</v>
      </c>
      <c r="AB39" s="647">
        <v>29021</v>
      </c>
      <c r="AC39" s="645" t="s">
        <v>1737</v>
      </c>
      <c r="AD39" s="648">
        <v>44417</v>
      </c>
      <c r="AE39" s="648">
        <v>44462</v>
      </c>
      <c r="AF39" s="645" t="s">
        <v>1478</v>
      </c>
      <c r="AG39" s="645" t="s">
        <v>710</v>
      </c>
    </row>
    <row r="40" spans="1:33" ht="272.45" customHeight="1" x14ac:dyDescent="0.35">
      <c r="A40" s="715">
        <v>16</v>
      </c>
      <c r="B40" s="633"/>
      <c r="C40" s="634" t="s">
        <v>292</v>
      </c>
      <c r="D40" s="635">
        <v>80101706</v>
      </c>
      <c r="E40" s="636" t="s">
        <v>431</v>
      </c>
      <c r="F40" s="633" t="s">
        <v>61</v>
      </c>
      <c r="G40" s="634">
        <v>1</v>
      </c>
      <c r="H40" s="634" t="s">
        <v>91</v>
      </c>
      <c r="I40" s="637">
        <v>11.4</v>
      </c>
      <c r="J40" s="634" t="s">
        <v>92</v>
      </c>
      <c r="K40" s="634" t="s">
        <v>63</v>
      </c>
      <c r="L40" s="634" t="s">
        <v>108</v>
      </c>
      <c r="M40" s="758">
        <v>23008660</v>
      </c>
      <c r="N40" s="759">
        <v>23008660</v>
      </c>
      <c r="O40" s="634" t="s">
        <v>65</v>
      </c>
      <c r="P40" s="634" t="s">
        <v>66</v>
      </c>
      <c r="Q40" s="638" t="s">
        <v>67</v>
      </c>
      <c r="S40" s="644" t="s">
        <v>703</v>
      </c>
      <c r="T40" s="645" t="s">
        <v>704</v>
      </c>
      <c r="U40" s="646">
        <v>44208</v>
      </c>
      <c r="V40" s="645" t="s">
        <v>705</v>
      </c>
      <c r="W40" s="647" t="s">
        <v>706</v>
      </c>
      <c r="X40" s="770">
        <v>22673254</v>
      </c>
      <c r="Y40" s="772">
        <v>-4628564</v>
      </c>
      <c r="Z40" s="770">
        <f>X40+Y40</f>
        <v>18044690</v>
      </c>
      <c r="AA40" s="645" t="s">
        <v>707</v>
      </c>
      <c r="AB40" s="647">
        <v>9021</v>
      </c>
      <c r="AC40" s="645" t="s">
        <v>708</v>
      </c>
      <c r="AD40" s="648">
        <v>44210</v>
      </c>
      <c r="AE40" s="648">
        <v>44550</v>
      </c>
      <c r="AF40" s="645" t="s">
        <v>709</v>
      </c>
      <c r="AG40" s="645" t="s">
        <v>710</v>
      </c>
    </row>
    <row r="41" spans="1:33" ht="272.45" customHeight="1" x14ac:dyDescent="0.35">
      <c r="A41" s="715">
        <v>17</v>
      </c>
      <c r="B41" s="633"/>
      <c r="C41" s="634" t="s">
        <v>292</v>
      </c>
      <c r="D41" s="635">
        <v>80101706</v>
      </c>
      <c r="E41" s="636" t="s">
        <v>432</v>
      </c>
      <c r="F41" s="633" t="s">
        <v>61</v>
      </c>
      <c r="G41" s="634">
        <v>1</v>
      </c>
      <c r="H41" s="634" t="s">
        <v>91</v>
      </c>
      <c r="I41" s="637">
        <v>11.4</v>
      </c>
      <c r="J41" s="634" t="s">
        <v>92</v>
      </c>
      <c r="K41" s="634" t="s">
        <v>63</v>
      </c>
      <c r="L41" s="634" t="s">
        <v>108</v>
      </c>
      <c r="M41" s="758">
        <v>50861247</v>
      </c>
      <c r="N41" s="759">
        <v>50861247</v>
      </c>
      <c r="O41" s="634" t="s">
        <v>65</v>
      </c>
      <c r="P41" s="634" t="s">
        <v>66</v>
      </c>
      <c r="Q41" s="638" t="s">
        <v>67</v>
      </c>
      <c r="S41" s="644" t="s">
        <v>711</v>
      </c>
      <c r="T41" s="645" t="s">
        <v>712</v>
      </c>
      <c r="U41" s="646">
        <v>44204</v>
      </c>
      <c r="V41" s="645" t="s">
        <v>713</v>
      </c>
      <c r="W41" s="647" t="s">
        <v>714</v>
      </c>
      <c r="X41" s="770">
        <v>50712957</v>
      </c>
      <c r="Y41" s="772">
        <v>0</v>
      </c>
      <c r="Z41" s="770">
        <v>50712957</v>
      </c>
      <c r="AA41" s="645" t="s">
        <v>715</v>
      </c>
      <c r="AB41" s="647">
        <v>9121</v>
      </c>
      <c r="AC41" s="645" t="s">
        <v>708</v>
      </c>
      <c r="AD41" s="648">
        <v>44205</v>
      </c>
      <c r="AE41" s="648">
        <v>44550</v>
      </c>
      <c r="AF41" s="645" t="s">
        <v>709</v>
      </c>
      <c r="AG41" s="645" t="s">
        <v>710</v>
      </c>
    </row>
    <row r="42" spans="1:33" ht="272.45" customHeight="1" x14ac:dyDescent="0.35">
      <c r="A42" s="715">
        <v>18</v>
      </c>
      <c r="B42" s="633" t="s">
        <v>309</v>
      </c>
      <c r="C42" s="634" t="s">
        <v>292</v>
      </c>
      <c r="D42" s="633" t="s">
        <v>355</v>
      </c>
      <c r="E42" s="636" t="s">
        <v>1469</v>
      </c>
      <c r="F42" s="633" t="s">
        <v>61</v>
      </c>
      <c r="G42" s="634">
        <v>1</v>
      </c>
      <c r="H42" s="634" t="s">
        <v>364</v>
      </c>
      <c r="I42" s="637">
        <v>1.5</v>
      </c>
      <c r="J42" s="638" t="s">
        <v>81</v>
      </c>
      <c r="K42" s="634" t="s">
        <v>100</v>
      </c>
      <c r="L42" s="634" t="s">
        <v>306</v>
      </c>
      <c r="M42" s="759">
        <v>6307921</v>
      </c>
      <c r="N42" s="759">
        <v>6307921</v>
      </c>
      <c r="O42" s="634" t="s">
        <v>65</v>
      </c>
      <c r="P42" s="634" t="s">
        <v>66</v>
      </c>
      <c r="Q42" s="638" t="s">
        <v>67</v>
      </c>
      <c r="S42" s="644" t="s">
        <v>1738</v>
      </c>
      <c r="T42" s="645" t="s">
        <v>1739</v>
      </c>
      <c r="U42" s="646">
        <v>44419</v>
      </c>
      <c r="V42" s="645" t="s">
        <v>1740</v>
      </c>
      <c r="W42" s="647" t="s">
        <v>1741</v>
      </c>
      <c r="X42" s="770">
        <v>4200294</v>
      </c>
      <c r="Y42" s="771">
        <v>0</v>
      </c>
      <c r="Z42" s="770">
        <v>4200294</v>
      </c>
      <c r="AA42" s="645" t="s">
        <v>1742</v>
      </c>
      <c r="AB42" s="762">
        <v>29321</v>
      </c>
      <c r="AC42" s="645" t="s">
        <v>1743</v>
      </c>
      <c r="AD42" s="648">
        <v>44427</v>
      </c>
      <c r="AE42" s="648">
        <v>44487</v>
      </c>
      <c r="AF42" s="645" t="s">
        <v>1478</v>
      </c>
      <c r="AG42" s="645" t="s">
        <v>710</v>
      </c>
    </row>
    <row r="43" spans="1:33" ht="272.45" customHeight="1" x14ac:dyDescent="0.9">
      <c r="A43" s="715">
        <v>19</v>
      </c>
      <c r="B43" s="914"/>
      <c r="C43" s="940" t="s">
        <v>292</v>
      </c>
      <c r="D43" s="941" t="s">
        <v>1966</v>
      </c>
      <c r="E43" s="929" t="s">
        <v>433</v>
      </c>
      <c r="F43" s="914" t="s">
        <v>61</v>
      </c>
      <c r="G43" s="940">
        <v>1</v>
      </c>
      <c r="H43" s="940" t="s">
        <v>1806</v>
      </c>
      <c r="I43" s="942">
        <v>1</v>
      </c>
      <c r="J43" s="940" t="s">
        <v>81</v>
      </c>
      <c r="K43" s="940" t="s">
        <v>63</v>
      </c>
      <c r="L43" s="940" t="s">
        <v>285</v>
      </c>
      <c r="M43" s="943"/>
      <c r="N43" s="957"/>
      <c r="O43" s="940" t="s">
        <v>65</v>
      </c>
      <c r="P43" s="940" t="s">
        <v>66</v>
      </c>
      <c r="Q43" s="944" t="s">
        <v>67</v>
      </c>
      <c r="S43" s="744"/>
      <c r="T43" s="744"/>
      <c r="U43" s="744"/>
      <c r="V43" s="744"/>
      <c r="W43" s="744"/>
      <c r="X43" s="774"/>
      <c r="Y43" s="774"/>
      <c r="Z43" s="774"/>
      <c r="AA43" s="744"/>
      <c r="AB43" s="744"/>
      <c r="AC43" s="744"/>
      <c r="AD43" s="744"/>
      <c r="AE43" s="744"/>
      <c r="AF43" s="744"/>
      <c r="AG43" s="744"/>
    </row>
    <row r="44" spans="1:33" ht="272.45" customHeight="1" x14ac:dyDescent="0.35">
      <c r="A44" s="715">
        <v>20</v>
      </c>
      <c r="B44" s="633"/>
      <c r="C44" s="634" t="s">
        <v>292</v>
      </c>
      <c r="D44" s="635">
        <v>72101507</v>
      </c>
      <c r="E44" s="636" t="s">
        <v>434</v>
      </c>
      <c r="F44" s="633" t="s">
        <v>61</v>
      </c>
      <c r="G44" s="634">
        <v>1</v>
      </c>
      <c r="H44" s="634" t="s">
        <v>74</v>
      </c>
      <c r="I44" s="637">
        <v>2</v>
      </c>
      <c r="J44" s="634" t="s">
        <v>1162</v>
      </c>
      <c r="K44" s="634" t="s">
        <v>63</v>
      </c>
      <c r="L44" s="634" t="s">
        <v>227</v>
      </c>
      <c r="M44" s="758">
        <v>12500000</v>
      </c>
      <c r="N44" s="759">
        <v>12500000</v>
      </c>
      <c r="O44" s="634" t="s">
        <v>284</v>
      </c>
      <c r="P44" s="634" t="s">
        <v>66</v>
      </c>
      <c r="Q44" s="638" t="s">
        <v>67</v>
      </c>
      <c r="S44" s="644" t="s">
        <v>2003</v>
      </c>
      <c r="T44" s="645" t="s">
        <v>2004</v>
      </c>
      <c r="U44" s="646">
        <v>44480</v>
      </c>
      <c r="V44" s="645" t="s">
        <v>2005</v>
      </c>
      <c r="W44" s="647" t="s">
        <v>1452</v>
      </c>
      <c r="X44" s="770">
        <v>11235513</v>
      </c>
      <c r="Y44" s="771"/>
      <c r="Z44" s="770">
        <v>11235513</v>
      </c>
      <c r="AA44" s="645" t="s">
        <v>2006</v>
      </c>
      <c r="AB44" s="828" t="s">
        <v>2163</v>
      </c>
      <c r="AC44" s="645" t="s">
        <v>2007</v>
      </c>
      <c r="AD44" s="648">
        <v>44484</v>
      </c>
      <c r="AE44" s="648">
        <v>44544</v>
      </c>
      <c r="AF44" s="645" t="s">
        <v>1478</v>
      </c>
      <c r="AG44" s="645" t="s">
        <v>710</v>
      </c>
    </row>
    <row r="45" spans="1:33" ht="272.45" customHeight="1" x14ac:dyDescent="0.35">
      <c r="A45" s="715">
        <v>21</v>
      </c>
      <c r="B45" s="633" t="s">
        <v>366</v>
      </c>
      <c r="C45" s="634" t="s">
        <v>292</v>
      </c>
      <c r="D45" s="633" t="s">
        <v>355</v>
      </c>
      <c r="E45" s="636" t="s">
        <v>1639</v>
      </c>
      <c r="F45" s="633" t="s">
        <v>61</v>
      </c>
      <c r="G45" s="634">
        <v>1</v>
      </c>
      <c r="H45" s="634" t="s">
        <v>74</v>
      </c>
      <c r="I45" s="637">
        <v>2</v>
      </c>
      <c r="J45" s="634" t="s">
        <v>1162</v>
      </c>
      <c r="K45" s="634" t="s">
        <v>100</v>
      </c>
      <c r="L45" s="634" t="s">
        <v>306</v>
      </c>
      <c r="M45" s="758">
        <v>25183703</v>
      </c>
      <c r="N45" s="759">
        <v>25183703</v>
      </c>
      <c r="O45" s="634" t="s">
        <v>65</v>
      </c>
      <c r="P45" s="634" t="s">
        <v>66</v>
      </c>
      <c r="Q45" s="638" t="s">
        <v>67</v>
      </c>
      <c r="S45" s="644" t="s">
        <v>2003</v>
      </c>
      <c r="T45" s="645" t="s">
        <v>2004</v>
      </c>
      <c r="U45" s="646">
        <v>44480</v>
      </c>
      <c r="V45" s="645" t="s">
        <v>2005</v>
      </c>
      <c r="W45" s="647" t="s">
        <v>1452</v>
      </c>
      <c r="X45" s="770">
        <v>24531646</v>
      </c>
      <c r="Y45" s="771"/>
      <c r="Z45" s="770">
        <v>24531646</v>
      </c>
      <c r="AA45" s="645" t="s">
        <v>2006</v>
      </c>
      <c r="AB45" s="828" t="s">
        <v>2163</v>
      </c>
      <c r="AC45" s="645" t="s">
        <v>2007</v>
      </c>
      <c r="AD45" s="648">
        <v>44484</v>
      </c>
      <c r="AE45" s="648">
        <v>44544</v>
      </c>
      <c r="AF45" s="645" t="s">
        <v>1478</v>
      </c>
      <c r="AG45" s="645" t="s">
        <v>710</v>
      </c>
    </row>
    <row r="46" spans="1:33" ht="272.45" customHeight="1" x14ac:dyDescent="0.35">
      <c r="A46" s="715">
        <v>22</v>
      </c>
      <c r="B46" s="734" t="s">
        <v>366</v>
      </c>
      <c r="C46" s="735" t="s">
        <v>292</v>
      </c>
      <c r="D46" s="736" t="s">
        <v>313</v>
      </c>
      <c r="E46" s="737" t="s">
        <v>435</v>
      </c>
      <c r="F46" s="734" t="s">
        <v>61</v>
      </c>
      <c r="G46" s="735">
        <v>1</v>
      </c>
      <c r="H46" s="735" t="s">
        <v>80</v>
      </c>
      <c r="I46" s="738">
        <v>2</v>
      </c>
      <c r="J46" s="741" t="s">
        <v>113</v>
      </c>
      <c r="K46" s="735" t="s">
        <v>100</v>
      </c>
      <c r="L46" s="735" t="s">
        <v>306</v>
      </c>
      <c r="M46" s="739"/>
      <c r="N46" s="740"/>
      <c r="O46" s="735" t="s">
        <v>65</v>
      </c>
      <c r="P46" s="735" t="s">
        <v>66</v>
      </c>
      <c r="Q46" s="741" t="s">
        <v>67</v>
      </c>
      <c r="S46" s="721"/>
      <c r="T46" s="721"/>
      <c r="U46" s="725"/>
      <c r="V46" s="723"/>
      <c r="W46" s="724"/>
      <c r="X46" s="768"/>
      <c r="Y46" s="769"/>
      <c r="Z46" s="768"/>
      <c r="AA46" s="745"/>
      <c r="AB46" s="724"/>
      <c r="AC46" s="732"/>
      <c r="AD46" s="733"/>
      <c r="AE46" s="733"/>
      <c r="AF46" s="724"/>
      <c r="AG46" s="724"/>
    </row>
    <row r="47" spans="1:33" s="25" customFormat="1" ht="272.45" customHeight="1" x14ac:dyDescent="0.35">
      <c r="A47" s="715">
        <v>23</v>
      </c>
      <c r="B47" s="633"/>
      <c r="C47" s="633" t="s">
        <v>292</v>
      </c>
      <c r="D47" s="635">
        <v>72101511</v>
      </c>
      <c r="E47" s="636" t="s">
        <v>1744</v>
      </c>
      <c r="F47" s="633" t="s">
        <v>61</v>
      </c>
      <c r="G47" s="634">
        <v>1</v>
      </c>
      <c r="H47" s="634" t="s">
        <v>85</v>
      </c>
      <c r="I47" s="637">
        <v>4</v>
      </c>
      <c r="J47" s="634" t="s">
        <v>81</v>
      </c>
      <c r="K47" s="634" t="s">
        <v>63</v>
      </c>
      <c r="L47" s="634" t="s">
        <v>75</v>
      </c>
      <c r="M47" s="758">
        <v>8000000</v>
      </c>
      <c r="N47" s="758">
        <v>8000000</v>
      </c>
      <c r="O47" s="634" t="s">
        <v>65</v>
      </c>
      <c r="P47" s="634" t="s">
        <v>66</v>
      </c>
      <c r="Q47" s="638" t="s">
        <v>67</v>
      </c>
      <c r="R47" s="24"/>
      <c r="S47" s="644" t="s">
        <v>2044</v>
      </c>
      <c r="T47" s="645" t="s">
        <v>2107</v>
      </c>
      <c r="U47" s="646">
        <v>44508</v>
      </c>
      <c r="V47" s="645" t="s">
        <v>2108</v>
      </c>
      <c r="W47" s="647" t="s">
        <v>1452</v>
      </c>
      <c r="X47" s="770">
        <v>1669610</v>
      </c>
      <c r="Y47" s="771">
        <v>0</v>
      </c>
      <c r="Z47" s="770">
        <v>1669610</v>
      </c>
      <c r="AA47" s="645" t="s">
        <v>2109</v>
      </c>
      <c r="AB47" s="828" t="s">
        <v>2164</v>
      </c>
      <c r="AC47" s="645" t="s">
        <v>2110</v>
      </c>
      <c r="AD47" s="648">
        <v>44509</v>
      </c>
      <c r="AE47" s="648">
        <v>44550</v>
      </c>
      <c r="AF47" s="645" t="s">
        <v>1478</v>
      </c>
      <c r="AG47" s="645" t="s">
        <v>710</v>
      </c>
    </row>
    <row r="48" spans="1:33" s="25" customFormat="1" ht="272.45" customHeight="1" x14ac:dyDescent="0.35">
      <c r="A48" s="715">
        <v>24</v>
      </c>
      <c r="B48" s="633" t="s">
        <v>660</v>
      </c>
      <c r="C48" s="633" t="s">
        <v>318</v>
      </c>
      <c r="D48" s="635" t="s">
        <v>112</v>
      </c>
      <c r="E48" s="636" t="s">
        <v>436</v>
      </c>
      <c r="F48" s="633" t="s">
        <v>61</v>
      </c>
      <c r="G48" s="634">
        <v>1</v>
      </c>
      <c r="H48" s="634" t="s">
        <v>98</v>
      </c>
      <c r="I48" s="637">
        <v>10</v>
      </c>
      <c r="J48" s="638" t="s">
        <v>92</v>
      </c>
      <c r="K48" s="634" t="s">
        <v>100</v>
      </c>
      <c r="L48" s="634" t="s">
        <v>396</v>
      </c>
      <c r="M48" s="758">
        <v>72450000</v>
      </c>
      <c r="N48" s="759">
        <v>72450000</v>
      </c>
      <c r="O48" s="634" t="s">
        <v>65</v>
      </c>
      <c r="P48" s="634" t="s">
        <v>66</v>
      </c>
      <c r="Q48" s="781" t="s">
        <v>94</v>
      </c>
      <c r="R48" s="24"/>
      <c r="S48" s="644" t="s">
        <v>1483</v>
      </c>
      <c r="T48" s="645" t="s">
        <v>1484</v>
      </c>
      <c r="U48" s="646">
        <v>44257</v>
      </c>
      <c r="V48" s="645" t="s">
        <v>1485</v>
      </c>
      <c r="W48" s="647" t="s">
        <v>1452</v>
      </c>
      <c r="X48" s="770">
        <v>65744000</v>
      </c>
      <c r="Y48" s="772">
        <v>0</v>
      </c>
      <c r="Z48" s="770">
        <v>65744000</v>
      </c>
      <c r="AA48" s="645" t="s">
        <v>1486</v>
      </c>
      <c r="AB48" s="647">
        <v>24221</v>
      </c>
      <c r="AC48" s="645" t="s">
        <v>1487</v>
      </c>
      <c r="AD48" s="648">
        <v>44258</v>
      </c>
      <c r="AE48" s="648">
        <v>44622</v>
      </c>
      <c r="AF48" s="645" t="s">
        <v>1488</v>
      </c>
      <c r="AG48" s="645" t="s">
        <v>710</v>
      </c>
    </row>
    <row r="49" spans="1:33" s="25" customFormat="1" ht="272.45" customHeight="1" x14ac:dyDescent="0.35">
      <c r="A49" s="715">
        <v>25</v>
      </c>
      <c r="B49" s="633"/>
      <c r="C49" s="634" t="s">
        <v>292</v>
      </c>
      <c r="D49" s="635">
        <v>84131512</v>
      </c>
      <c r="E49" s="636" t="s">
        <v>437</v>
      </c>
      <c r="F49" s="633" t="s">
        <v>61</v>
      </c>
      <c r="G49" s="634">
        <v>1</v>
      </c>
      <c r="H49" s="634" t="s">
        <v>72</v>
      </c>
      <c r="I49" s="637">
        <v>12</v>
      </c>
      <c r="J49" s="634" t="s">
        <v>70</v>
      </c>
      <c r="K49" s="634" t="s">
        <v>63</v>
      </c>
      <c r="L49" s="634" t="s">
        <v>90</v>
      </c>
      <c r="M49" s="758">
        <v>25000000</v>
      </c>
      <c r="N49" s="759">
        <v>25000000</v>
      </c>
      <c r="O49" s="634" t="s">
        <v>65</v>
      </c>
      <c r="P49" s="634" t="s">
        <v>66</v>
      </c>
      <c r="Q49" s="638" t="s">
        <v>67</v>
      </c>
      <c r="R49" s="24"/>
      <c r="S49" s="662" t="s">
        <v>1745</v>
      </c>
      <c r="T49" s="663" t="s">
        <v>1746</v>
      </c>
      <c r="U49" s="664">
        <v>44404</v>
      </c>
      <c r="V49" s="645" t="s">
        <v>1747</v>
      </c>
      <c r="W49" s="647" t="s">
        <v>1171</v>
      </c>
      <c r="X49" s="773">
        <v>17847817</v>
      </c>
      <c r="Y49" s="771">
        <v>345563</v>
      </c>
      <c r="Z49" s="773">
        <f>SUM(X49+Y49)</f>
        <v>18193380</v>
      </c>
      <c r="AA49" s="645" t="s">
        <v>1748</v>
      </c>
      <c r="AB49" s="647">
        <v>30321</v>
      </c>
      <c r="AC49" s="645" t="s">
        <v>1749</v>
      </c>
      <c r="AD49" s="648">
        <v>44404</v>
      </c>
      <c r="AE49" s="648">
        <v>44799</v>
      </c>
      <c r="AF49" s="645" t="s">
        <v>1657</v>
      </c>
      <c r="AG49" s="645" t="s">
        <v>710</v>
      </c>
    </row>
    <row r="50" spans="1:33" ht="272.45" customHeight="1" x14ac:dyDescent="0.35">
      <c r="A50" s="715">
        <v>26</v>
      </c>
      <c r="B50" s="633" t="s">
        <v>309</v>
      </c>
      <c r="C50" s="634" t="s">
        <v>292</v>
      </c>
      <c r="D50" s="633">
        <v>73152108</v>
      </c>
      <c r="E50" s="636" t="s">
        <v>1161</v>
      </c>
      <c r="F50" s="633" t="s">
        <v>61</v>
      </c>
      <c r="G50" s="634">
        <v>1</v>
      </c>
      <c r="H50" s="634" t="s">
        <v>69</v>
      </c>
      <c r="I50" s="637">
        <v>6</v>
      </c>
      <c r="J50" s="634" t="s">
        <v>1162</v>
      </c>
      <c r="K50" s="634" t="s">
        <v>342</v>
      </c>
      <c r="L50" s="634" t="s">
        <v>306</v>
      </c>
      <c r="M50" s="758">
        <v>66633480</v>
      </c>
      <c r="N50" s="759">
        <v>66633480</v>
      </c>
      <c r="O50" s="634" t="s">
        <v>65</v>
      </c>
      <c r="P50" s="634" t="s">
        <v>66</v>
      </c>
      <c r="Q50" s="638" t="s">
        <v>67</v>
      </c>
      <c r="S50" s="662" t="s">
        <v>2008</v>
      </c>
      <c r="T50" s="663" t="s">
        <v>2009</v>
      </c>
      <c r="U50" s="664">
        <v>44396</v>
      </c>
      <c r="V50" s="645" t="s">
        <v>2010</v>
      </c>
      <c r="W50" s="647" t="s">
        <v>1452</v>
      </c>
      <c r="X50" s="773">
        <v>66633480</v>
      </c>
      <c r="Y50" s="771">
        <v>0</v>
      </c>
      <c r="Z50" s="773">
        <v>66633480</v>
      </c>
      <c r="AA50" s="645" t="s">
        <v>2011</v>
      </c>
      <c r="AB50" s="647">
        <v>25921</v>
      </c>
      <c r="AC50" s="645" t="s">
        <v>2012</v>
      </c>
      <c r="AD50" s="648">
        <v>44406</v>
      </c>
      <c r="AE50" s="648">
        <v>44545</v>
      </c>
      <c r="AF50" s="645" t="s">
        <v>1478</v>
      </c>
      <c r="AG50" s="645" t="s">
        <v>710</v>
      </c>
    </row>
    <row r="51" spans="1:33" ht="272.45" customHeight="1" x14ac:dyDescent="0.35">
      <c r="A51" s="715">
        <v>27</v>
      </c>
      <c r="B51" s="633"/>
      <c r="C51" s="634" t="s">
        <v>292</v>
      </c>
      <c r="D51" s="633">
        <v>15101500</v>
      </c>
      <c r="E51" s="636" t="s">
        <v>438</v>
      </c>
      <c r="F51" s="633" t="s">
        <v>61</v>
      </c>
      <c r="G51" s="634">
        <v>1</v>
      </c>
      <c r="H51" s="634" t="s">
        <v>91</v>
      </c>
      <c r="I51" s="637">
        <v>4</v>
      </c>
      <c r="J51" s="634" t="s">
        <v>70</v>
      </c>
      <c r="K51" s="634" t="s">
        <v>63</v>
      </c>
      <c r="L51" s="634" t="s">
        <v>685</v>
      </c>
      <c r="M51" s="758">
        <v>5200000</v>
      </c>
      <c r="N51" s="759">
        <v>5200000</v>
      </c>
      <c r="O51" s="634" t="s">
        <v>65</v>
      </c>
      <c r="P51" s="634" t="s">
        <v>66</v>
      </c>
      <c r="Q51" s="638" t="s">
        <v>67</v>
      </c>
      <c r="S51" s="644" t="s">
        <v>1168</v>
      </c>
      <c r="T51" s="645" t="s">
        <v>1169</v>
      </c>
      <c r="U51" s="646">
        <v>44218</v>
      </c>
      <c r="V51" s="645" t="s">
        <v>1170</v>
      </c>
      <c r="W51" s="647" t="s">
        <v>1171</v>
      </c>
      <c r="X51" s="773">
        <v>5200000</v>
      </c>
      <c r="Y51" s="981">
        <v>-3881811.06</v>
      </c>
      <c r="Z51" s="773">
        <f>X51+Y51</f>
        <v>1318188.94</v>
      </c>
      <c r="AA51" s="645" t="s">
        <v>1172</v>
      </c>
      <c r="AB51" s="647">
        <v>1921</v>
      </c>
      <c r="AC51" s="645" t="s">
        <v>1173</v>
      </c>
      <c r="AD51" s="648">
        <v>44218</v>
      </c>
      <c r="AE51" s="648">
        <v>44347</v>
      </c>
      <c r="AF51" s="645" t="s">
        <v>1174</v>
      </c>
      <c r="AG51" s="645" t="s">
        <v>710</v>
      </c>
    </row>
    <row r="52" spans="1:33" ht="272.45" customHeight="1" x14ac:dyDescent="0.35">
      <c r="A52" s="715">
        <v>28</v>
      </c>
      <c r="B52" s="681"/>
      <c r="C52" s="634" t="s">
        <v>292</v>
      </c>
      <c r="D52" s="633">
        <v>78181701</v>
      </c>
      <c r="E52" s="636" t="s">
        <v>439</v>
      </c>
      <c r="F52" s="633" t="s">
        <v>61</v>
      </c>
      <c r="G52" s="634">
        <v>1</v>
      </c>
      <c r="H52" s="634" t="s">
        <v>80</v>
      </c>
      <c r="I52" s="637">
        <v>14</v>
      </c>
      <c r="J52" s="634" t="s">
        <v>357</v>
      </c>
      <c r="K52" s="634" t="s">
        <v>63</v>
      </c>
      <c r="L52" s="634" t="s">
        <v>685</v>
      </c>
      <c r="M52" s="758">
        <v>26000000</v>
      </c>
      <c r="N52" s="759">
        <v>26000000</v>
      </c>
      <c r="O52" s="634" t="s">
        <v>65</v>
      </c>
      <c r="P52" s="634" t="s">
        <v>66</v>
      </c>
      <c r="Q52" s="638" t="s">
        <v>67</v>
      </c>
      <c r="S52" s="644" t="s">
        <v>1653</v>
      </c>
      <c r="T52" s="645" t="s">
        <v>1169</v>
      </c>
      <c r="U52" s="646">
        <v>44314</v>
      </c>
      <c r="V52" s="645" t="s">
        <v>1654</v>
      </c>
      <c r="W52" s="647" t="s">
        <v>1171</v>
      </c>
      <c r="X52" s="770">
        <v>26000000</v>
      </c>
      <c r="Y52" s="771">
        <v>0</v>
      </c>
      <c r="Z52" s="770">
        <v>26000000</v>
      </c>
      <c r="AA52" s="645" t="s">
        <v>1655</v>
      </c>
      <c r="AB52" s="647">
        <v>27321</v>
      </c>
      <c r="AC52" s="645" t="s">
        <v>1656</v>
      </c>
      <c r="AD52" s="648">
        <v>44348</v>
      </c>
      <c r="AE52" s="648">
        <v>44551</v>
      </c>
      <c r="AF52" s="645" t="s">
        <v>1657</v>
      </c>
      <c r="AG52" s="645" t="s">
        <v>710</v>
      </c>
    </row>
    <row r="53" spans="1:33" ht="231.95" customHeight="1" x14ac:dyDescent="0.35">
      <c r="A53" s="715">
        <v>29</v>
      </c>
      <c r="B53" s="633"/>
      <c r="C53" s="634" t="s">
        <v>292</v>
      </c>
      <c r="D53" s="635">
        <v>48101909</v>
      </c>
      <c r="E53" s="636" t="s">
        <v>440</v>
      </c>
      <c r="F53" s="633" t="s">
        <v>61</v>
      </c>
      <c r="G53" s="634">
        <v>1</v>
      </c>
      <c r="H53" s="634" t="s">
        <v>74</v>
      </c>
      <c r="I53" s="637">
        <v>2</v>
      </c>
      <c r="J53" s="634" t="s">
        <v>62</v>
      </c>
      <c r="K53" s="634" t="s">
        <v>63</v>
      </c>
      <c r="L53" s="634" t="s">
        <v>111</v>
      </c>
      <c r="M53" s="758">
        <v>4700000</v>
      </c>
      <c r="N53" s="758">
        <v>4700000</v>
      </c>
      <c r="O53" s="634" t="s">
        <v>65</v>
      </c>
      <c r="P53" s="634" t="s">
        <v>66</v>
      </c>
      <c r="Q53" s="638" t="s">
        <v>67</v>
      </c>
      <c r="S53" s="644" t="s">
        <v>1658</v>
      </c>
      <c r="T53" s="645" t="s">
        <v>1659</v>
      </c>
      <c r="U53" s="646">
        <v>44370</v>
      </c>
      <c r="V53" s="645" t="s">
        <v>1660</v>
      </c>
      <c r="W53" s="647" t="s">
        <v>1177</v>
      </c>
      <c r="X53" s="770">
        <v>1089800</v>
      </c>
      <c r="Y53" s="771">
        <v>0</v>
      </c>
      <c r="Z53" s="770">
        <v>1089800</v>
      </c>
      <c r="AA53" s="645" t="s">
        <v>1661</v>
      </c>
      <c r="AB53" s="679" t="s">
        <v>1750</v>
      </c>
      <c r="AC53" s="645" t="s">
        <v>1662</v>
      </c>
      <c r="AD53" s="648">
        <v>44370</v>
      </c>
      <c r="AE53" s="648">
        <v>44400</v>
      </c>
      <c r="AF53" s="645" t="s">
        <v>1652</v>
      </c>
      <c r="AG53" s="645" t="s">
        <v>710</v>
      </c>
    </row>
    <row r="54" spans="1:33" ht="200.45" customHeight="1" x14ac:dyDescent="0.35">
      <c r="A54" s="715">
        <v>30</v>
      </c>
      <c r="B54" s="633"/>
      <c r="C54" s="633" t="s">
        <v>296</v>
      </c>
      <c r="D54" s="633">
        <v>80101706</v>
      </c>
      <c r="E54" s="636" t="s">
        <v>441</v>
      </c>
      <c r="F54" s="633" t="s">
        <v>61</v>
      </c>
      <c r="G54" s="634">
        <v>1</v>
      </c>
      <c r="H54" s="634" t="s">
        <v>354</v>
      </c>
      <c r="I54" s="637">
        <v>11.5</v>
      </c>
      <c r="J54" s="634" t="s">
        <v>283</v>
      </c>
      <c r="K54" s="634" t="s">
        <v>63</v>
      </c>
      <c r="L54" s="634" t="s">
        <v>108</v>
      </c>
      <c r="M54" s="759">
        <v>57435150</v>
      </c>
      <c r="N54" s="759">
        <v>57435150</v>
      </c>
      <c r="O54" s="634">
        <v>2</v>
      </c>
      <c r="P54" s="634" t="s">
        <v>66</v>
      </c>
      <c r="Q54" s="781" t="s">
        <v>371</v>
      </c>
      <c r="S54" s="644" t="s">
        <v>716</v>
      </c>
      <c r="T54" s="645" t="s">
        <v>717</v>
      </c>
      <c r="U54" s="646">
        <v>44215</v>
      </c>
      <c r="V54" s="645" t="s">
        <v>718</v>
      </c>
      <c r="W54" s="647" t="s">
        <v>714</v>
      </c>
      <c r="X54" s="770">
        <v>57435148</v>
      </c>
      <c r="Y54" s="772">
        <v>0</v>
      </c>
      <c r="Z54" s="770">
        <v>57435148</v>
      </c>
      <c r="AA54" s="645" t="s">
        <v>719</v>
      </c>
      <c r="AB54" s="647">
        <v>821</v>
      </c>
      <c r="AC54" s="645" t="s">
        <v>720</v>
      </c>
      <c r="AD54" s="648">
        <v>44216</v>
      </c>
      <c r="AE54" s="648">
        <v>44216</v>
      </c>
      <c r="AF54" s="645" t="s">
        <v>721</v>
      </c>
      <c r="AG54" s="645" t="s">
        <v>722</v>
      </c>
    </row>
    <row r="55" spans="1:33" ht="168.95" customHeight="1" x14ac:dyDescent="0.35">
      <c r="A55" s="715">
        <v>31</v>
      </c>
      <c r="B55" s="818"/>
      <c r="C55" s="818" t="s">
        <v>296</v>
      </c>
      <c r="D55" s="819" t="s">
        <v>368</v>
      </c>
      <c r="E55" s="820" t="s">
        <v>442</v>
      </c>
      <c r="F55" s="818" t="s">
        <v>61</v>
      </c>
      <c r="G55" s="786">
        <v>1</v>
      </c>
      <c r="H55" s="786" t="s">
        <v>98</v>
      </c>
      <c r="I55" s="821">
        <v>1</v>
      </c>
      <c r="J55" s="786" t="s">
        <v>62</v>
      </c>
      <c r="K55" s="786" t="s">
        <v>63</v>
      </c>
      <c r="L55" s="786" t="s">
        <v>73</v>
      </c>
      <c r="M55" s="787"/>
      <c r="N55" s="788"/>
      <c r="O55" s="786" t="s">
        <v>65</v>
      </c>
      <c r="P55" s="786" t="s">
        <v>66</v>
      </c>
      <c r="Q55" s="822" t="s">
        <v>371</v>
      </c>
      <c r="S55" s="673" t="s">
        <v>1175</v>
      </c>
      <c r="T55" s="674" t="s">
        <v>1472</v>
      </c>
      <c r="U55" s="959">
        <v>44237</v>
      </c>
      <c r="V55" s="674" t="s">
        <v>1176</v>
      </c>
      <c r="W55" s="675" t="s">
        <v>1177</v>
      </c>
      <c r="X55" s="784"/>
      <c r="Y55" s="785"/>
      <c r="Z55" s="784"/>
      <c r="AA55" s="674" t="s">
        <v>1178</v>
      </c>
      <c r="AB55" s="675">
        <v>24421</v>
      </c>
      <c r="AC55" s="674" t="s">
        <v>1179</v>
      </c>
      <c r="AD55" s="676">
        <v>44238</v>
      </c>
      <c r="AE55" s="676">
        <v>44265</v>
      </c>
      <c r="AF55" s="674" t="s">
        <v>1180</v>
      </c>
      <c r="AG55" s="674" t="s">
        <v>722</v>
      </c>
    </row>
    <row r="56" spans="1:33" ht="180" customHeight="1" x14ac:dyDescent="0.35">
      <c r="A56" s="715">
        <v>32</v>
      </c>
      <c r="B56" s="633"/>
      <c r="C56" s="633" t="s">
        <v>296</v>
      </c>
      <c r="D56" s="635" t="s">
        <v>102</v>
      </c>
      <c r="E56" s="636" t="s">
        <v>443</v>
      </c>
      <c r="F56" s="633" t="s">
        <v>61</v>
      </c>
      <c r="G56" s="634">
        <v>1</v>
      </c>
      <c r="H56" s="634" t="s">
        <v>98</v>
      </c>
      <c r="I56" s="637">
        <v>10</v>
      </c>
      <c r="J56" s="634" t="s">
        <v>70</v>
      </c>
      <c r="K56" s="634" t="s">
        <v>63</v>
      </c>
      <c r="L56" s="634" t="s">
        <v>103</v>
      </c>
      <c r="M56" s="758">
        <v>2307531.65</v>
      </c>
      <c r="N56" s="759">
        <v>2307531.65</v>
      </c>
      <c r="O56" s="634" t="s">
        <v>65</v>
      </c>
      <c r="P56" s="634" t="s">
        <v>66</v>
      </c>
      <c r="Q56" s="781" t="s">
        <v>371</v>
      </c>
      <c r="S56" s="644" t="s">
        <v>1612</v>
      </c>
      <c r="T56" s="645" t="s">
        <v>1613</v>
      </c>
      <c r="U56" s="646">
        <v>44284</v>
      </c>
      <c r="V56" s="645" t="s">
        <v>1614</v>
      </c>
      <c r="W56" s="647" t="s">
        <v>1177</v>
      </c>
      <c r="X56" s="770">
        <v>2307531.65</v>
      </c>
      <c r="Y56" s="771">
        <v>0</v>
      </c>
      <c r="Z56" s="770">
        <v>2307531.65</v>
      </c>
      <c r="AA56" s="645" t="s">
        <v>1615</v>
      </c>
      <c r="AB56" s="762">
        <v>24521</v>
      </c>
      <c r="AC56" s="645" t="s">
        <v>1616</v>
      </c>
      <c r="AD56" s="763">
        <v>44294</v>
      </c>
      <c r="AE56" s="763">
        <v>44550</v>
      </c>
      <c r="AF56" s="645" t="s">
        <v>1617</v>
      </c>
      <c r="AG56" s="645" t="s">
        <v>722</v>
      </c>
    </row>
    <row r="57" spans="1:33" ht="180" customHeight="1" x14ac:dyDescent="0.35">
      <c r="A57" s="715">
        <v>32</v>
      </c>
      <c r="B57" s="633"/>
      <c r="C57" s="633" t="s">
        <v>296</v>
      </c>
      <c r="D57" s="635" t="s">
        <v>102</v>
      </c>
      <c r="E57" s="636" t="s">
        <v>443</v>
      </c>
      <c r="F57" s="633" t="s">
        <v>61</v>
      </c>
      <c r="G57" s="634">
        <v>1</v>
      </c>
      <c r="H57" s="634" t="s">
        <v>98</v>
      </c>
      <c r="I57" s="637">
        <v>10</v>
      </c>
      <c r="J57" s="634" t="s">
        <v>70</v>
      </c>
      <c r="K57" s="634" t="s">
        <v>63</v>
      </c>
      <c r="L57" s="634" t="s">
        <v>103</v>
      </c>
      <c r="M57" s="758">
        <v>1924257.49</v>
      </c>
      <c r="N57" s="759">
        <v>1924257.49</v>
      </c>
      <c r="O57" s="634" t="s">
        <v>65</v>
      </c>
      <c r="P57" s="634" t="s">
        <v>66</v>
      </c>
      <c r="Q57" s="781" t="s">
        <v>371</v>
      </c>
      <c r="S57" s="644" t="s">
        <v>1618</v>
      </c>
      <c r="T57" s="645" t="s">
        <v>1619</v>
      </c>
      <c r="U57" s="646">
        <v>44284</v>
      </c>
      <c r="V57" s="645" t="s">
        <v>1614</v>
      </c>
      <c r="W57" s="647" t="s">
        <v>1177</v>
      </c>
      <c r="X57" s="770">
        <v>1924257.49</v>
      </c>
      <c r="Y57" s="771">
        <v>0</v>
      </c>
      <c r="Z57" s="770">
        <v>1924257.49</v>
      </c>
      <c r="AA57" s="645" t="s">
        <v>1615</v>
      </c>
      <c r="AB57" s="762">
        <v>24521</v>
      </c>
      <c r="AC57" s="645" t="s">
        <v>1616</v>
      </c>
      <c r="AD57" s="763">
        <v>44294</v>
      </c>
      <c r="AE57" s="763">
        <v>44550</v>
      </c>
      <c r="AF57" s="645" t="s">
        <v>1617</v>
      </c>
      <c r="AG57" s="645" t="s">
        <v>722</v>
      </c>
    </row>
    <row r="58" spans="1:33" ht="180" customHeight="1" x14ac:dyDescent="0.35">
      <c r="A58" s="715">
        <v>32</v>
      </c>
      <c r="B58" s="633"/>
      <c r="C58" s="633" t="s">
        <v>296</v>
      </c>
      <c r="D58" s="635" t="s">
        <v>102</v>
      </c>
      <c r="E58" s="636" t="s">
        <v>443</v>
      </c>
      <c r="F58" s="633" t="s">
        <v>61</v>
      </c>
      <c r="G58" s="634">
        <v>1</v>
      </c>
      <c r="H58" s="634" t="s">
        <v>98</v>
      </c>
      <c r="I58" s="637">
        <v>10</v>
      </c>
      <c r="J58" s="634" t="s">
        <v>70</v>
      </c>
      <c r="K58" s="634" t="s">
        <v>63</v>
      </c>
      <c r="L58" s="634" t="s">
        <v>103</v>
      </c>
      <c r="M58" s="758">
        <v>9134404.1300000008</v>
      </c>
      <c r="N58" s="759">
        <v>9134404.1300000008</v>
      </c>
      <c r="O58" s="634" t="s">
        <v>65</v>
      </c>
      <c r="P58" s="634" t="s">
        <v>66</v>
      </c>
      <c r="Q58" s="781" t="s">
        <v>371</v>
      </c>
      <c r="S58" s="644" t="s">
        <v>1620</v>
      </c>
      <c r="T58" s="645" t="s">
        <v>1621</v>
      </c>
      <c r="U58" s="646">
        <v>44284</v>
      </c>
      <c r="V58" s="645" t="s">
        <v>1622</v>
      </c>
      <c r="W58" s="647" t="s">
        <v>1177</v>
      </c>
      <c r="X58" s="770">
        <v>9134404.1300000008</v>
      </c>
      <c r="Y58" s="771">
        <v>0</v>
      </c>
      <c r="Z58" s="770">
        <v>9134404.1300000008</v>
      </c>
      <c r="AA58" s="645" t="s">
        <v>1615</v>
      </c>
      <c r="AB58" s="762">
        <v>24521</v>
      </c>
      <c r="AC58" s="645" t="s">
        <v>1616</v>
      </c>
      <c r="AD58" s="763">
        <v>44294</v>
      </c>
      <c r="AE58" s="763">
        <v>44550</v>
      </c>
      <c r="AF58" s="645" t="s">
        <v>1617</v>
      </c>
      <c r="AG58" s="645" t="s">
        <v>722</v>
      </c>
    </row>
    <row r="59" spans="1:33" ht="180" customHeight="1" x14ac:dyDescent="0.35">
      <c r="A59" s="715">
        <v>32</v>
      </c>
      <c r="B59" s="633"/>
      <c r="C59" s="633" t="s">
        <v>296</v>
      </c>
      <c r="D59" s="635" t="s">
        <v>102</v>
      </c>
      <c r="E59" s="636" t="s">
        <v>443</v>
      </c>
      <c r="F59" s="633" t="s">
        <v>61</v>
      </c>
      <c r="G59" s="634">
        <v>1</v>
      </c>
      <c r="H59" s="634" t="s">
        <v>98</v>
      </c>
      <c r="I59" s="637">
        <v>10</v>
      </c>
      <c r="J59" s="634" t="s">
        <v>70</v>
      </c>
      <c r="K59" s="634" t="s">
        <v>63</v>
      </c>
      <c r="L59" s="634" t="s">
        <v>103</v>
      </c>
      <c r="M59" s="758">
        <v>7550325.4500000002</v>
      </c>
      <c r="N59" s="759">
        <v>7550325.4500000002</v>
      </c>
      <c r="O59" s="634" t="s">
        <v>65</v>
      </c>
      <c r="P59" s="634" t="s">
        <v>66</v>
      </c>
      <c r="Q59" s="781" t="s">
        <v>371</v>
      </c>
      <c r="S59" s="644" t="s">
        <v>1623</v>
      </c>
      <c r="T59" s="645" t="s">
        <v>1621</v>
      </c>
      <c r="U59" s="646">
        <v>44284</v>
      </c>
      <c r="V59" s="645" t="s">
        <v>1614</v>
      </c>
      <c r="W59" s="647" t="s">
        <v>1177</v>
      </c>
      <c r="X59" s="770">
        <v>7550325.4500000002</v>
      </c>
      <c r="Y59" s="771">
        <v>0</v>
      </c>
      <c r="Z59" s="770">
        <v>7550325.4500000002</v>
      </c>
      <c r="AA59" s="645" t="s">
        <v>1615</v>
      </c>
      <c r="AB59" s="762">
        <v>24521</v>
      </c>
      <c r="AC59" s="645" t="s">
        <v>1616</v>
      </c>
      <c r="AD59" s="763">
        <v>44294</v>
      </c>
      <c r="AE59" s="763">
        <v>44550</v>
      </c>
      <c r="AF59" s="645" t="s">
        <v>1617</v>
      </c>
      <c r="AG59" s="645" t="s">
        <v>722</v>
      </c>
    </row>
    <row r="60" spans="1:33" ht="220.5" customHeight="1" x14ac:dyDescent="0.35">
      <c r="A60" s="715">
        <v>33</v>
      </c>
      <c r="B60" s="633"/>
      <c r="C60" s="633" t="s">
        <v>296</v>
      </c>
      <c r="D60" s="635" t="s">
        <v>97</v>
      </c>
      <c r="E60" s="636" t="s">
        <v>444</v>
      </c>
      <c r="F60" s="633" t="s">
        <v>61</v>
      </c>
      <c r="G60" s="634">
        <v>1</v>
      </c>
      <c r="H60" s="634" t="s">
        <v>91</v>
      </c>
      <c r="I60" s="637">
        <v>11</v>
      </c>
      <c r="J60" s="634" t="s">
        <v>70</v>
      </c>
      <c r="K60" s="634" t="s">
        <v>63</v>
      </c>
      <c r="L60" s="634" t="s">
        <v>99</v>
      </c>
      <c r="M60" s="758">
        <v>25000000</v>
      </c>
      <c r="N60" s="759">
        <v>25000000</v>
      </c>
      <c r="O60" s="634" t="s">
        <v>65</v>
      </c>
      <c r="P60" s="634" t="s">
        <v>66</v>
      </c>
      <c r="Q60" s="781" t="s">
        <v>371</v>
      </c>
      <c r="S60" s="644" t="s">
        <v>1489</v>
      </c>
      <c r="T60" s="645" t="s">
        <v>1490</v>
      </c>
      <c r="U60" s="646">
        <v>44252</v>
      </c>
      <c r="V60" s="645" t="s">
        <v>1491</v>
      </c>
      <c r="W60" s="647" t="s">
        <v>1171</v>
      </c>
      <c r="X60" s="770">
        <v>25000000</v>
      </c>
      <c r="Y60" s="772">
        <v>0</v>
      </c>
      <c r="Z60" s="770">
        <v>25000000</v>
      </c>
      <c r="AA60" s="645" t="s">
        <v>1492</v>
      </c>
      <c r="AB60" s="647">
        <v>24621</v>
      </c>
      <c r="AC60" s="645" t="s">
        <v>1493</v>
      </c>
      <c r="AD60" s="648">
        <v>44257</v>
      </c>
      <c r="AE60" s="648">
        <v>44558</v>
      </c>
      <c r="AF60" s="645" t="s">
        <v>721</v>
      </c>
      <c r="AG60" s="645" t="s">
        <v>722</v>
      </c>
    </row>
    <row r="61" spans="1:33" ht="220.5" customHeight="1" x14ac:dyDescent="0.35">
      <c r="A61" s="715">
        <v>34</v>
      </c>
      <c r="B61" s="633"/>
      <c r="C61" s="633" t="s">
        <v>296</v>
      </c>
      <c r="D61" s="635" t="s">
        <v>343</v>
      </c>
      <c r="E61" s="636" t="s">
        <v>1628</v>
      </c>
      <c r="F61" s="633" t="s">
        <v>61</v>
      </c>
      <c r="G61" s="634">
        <v>1</v>
      </c>
      <c r="H61" s="634" t="s">
        <v>69</v>
      </c>
      <c r="I61" s="637">
        <v>1</v>
      </c>
      <c r="J61" s="634" t="s">
        <v>339</v>
      </c>
      <c r="K61" s="634" t="s">
        <v>63</v>
      </c>
      <c r="L61" s="634" t="s">
        <v>103</v>
      </c>
      <c r="M61" s="758">
        <v>4000000</v>
      </c>
      <c r="N61" s="759">
        <v>4000000</v>
      </c>
      <c r="O61" s="634" t="s">
        <v>65</v>
      </c>
      <c r="P61" s="634" t="s">
        <v>66</v>
      </c>
      <c r="Q61" s="781" t="s">
        <v>371</v>
      </c>
      <c r="S61" s="644" t="s">
        <v>1699</v>
      </c>
      <c r="T61" s="645" t="s">
        <v>1700</v>
      </c>
      <c r="U61" s="646">
        <v>44351</v>
      </c>
      <c r="V61" s="645" t="s">
        <v>1701</v>
      </c>
      <c r="W61" s="647" t="s">
        <v>1171</v>
      </c>
      <c r="X61" s="770">
        <v>1500800</v>
      </c>
      <c r="Y61" s="771">
        <v>0</v>
      </c>
      <c r="Z61" s="770">
        <v>1500800</v>
      </c>
      <c r="AA61" s="645" t="s">
        <v>1599</v>
      </c>
      <c r="AB61" s="647">
        <v>29721</v>
      </c>
      <c r="AC61" s="645" t="s">
        <v>1702</v>
      </c>
      <c r="AD61" s="648">
        <v>44351</v>
      </c>
      <c r="AE61" s="648">
        <v>44411</v>
      </c>
      <c r="AF61" s="645" t="s">
        <v>1546</v>
      </c>
      <c r="AG61" s="645" t="s">
        <v>722</v>
      </c>
    </row>
    <row r="62" spans="1:33" ht="220.5" customHeight="1" x14ac:dyDescent="0.35">
      <c r="A62" s="715">
        <v>34</v>
      </c>
      <c r="B62" s="633"/>
      <c r="C62" s="633" t="s">
        <v>296</v>
      </c>
      <c r="D62" s="635" t="s">
        <v>343</v>
      </c>
      <c r="E62" s="636" t="s">
        <v>1628</v>
      </c>
      <c r="F62" s="633" t="s">
        <v>61</v>
      </c>
      <c r="G62" s="634">
        <v>1</v>
      </c>
      <c r="H62" s="634" t="s">
        <v>69</v>
      </c>
      <c r="I62" s="637">
        <v>1</v>
      </c>
      <c r="J62" s="634" t="s">
        <v>339</v>
      </c>
      <c r="K62" s="634" t="s">
        <v>63</v>
      </c>
      <c r="L62" s="634" t="s">
        <v>103</v>
      </c>
      <c r="M62" s="758">
        <v>4000000</v>
      </c>
      <c r="N62" s="759">
        <v>4000000</v>
      </c>
      <c r="O62" s="634" t="s">
        <v>65</v>
      </c>
      <c r="P62" s="634" t="s">
        <v>66</v>
      </c>
      <c r="Q62" s="781" t="s">
        <v>371</v>
      </c>
      <c r="S62" s="644" t="s">
        <v>1703</v>
      </c>
      <c r="T62" s="645" t="s">
        <v>1704</v>
      </c>
      <c r="U62" s="646">
        <v>44351</v>
      </c>
      <c r="V62" s="645" t="s">
        <v>1701</v>
      </c>
      <c r="W62" s="647" t="s">
        <v>1171</v>
      </c>
      <c r="X62" s="770">
        <v>673500</v>
      </c>
      <c r="Y62" s="771">
        <v>0</v>
      </c>
      <c r="Z62" s="770">
        <v>673500</v>
      </c>
      <c r="AA62" s="645" t="s">
        <v>1599</v>
      </c>
      <c r="AB62" s="647">
        <v>29721</v>
      </c>
      <c r="AC62" s="645" t="s">
        <v>1702</v>
      </c>
      <c r="AD62" s="648">
        <v>44351</v>
      </c>
      <c r="AE62" s="648">
        <v>44411</v>
      </c>
      <c r="AF62" s="645" t="s">
        <v>1546</v>
      </c>
      <c r="AG62" s="645" t="s">
        <v>722</v>
      </c>
    </row>
    <row r="63" spans="1:33" ht="327.60000000000002" customHeight="1" x14ac:dyDescent="0.35">
      <c r="A63" s="715">
        <v>35</v>
      </c>
      <c r="B63" s="633"/>
      <c r="C63" s="633" t="s">
        <v>296</v>
      </c>
      <c r="D63" s="635" t="s">
        <v>1181</v>
      </c>
      <c r="E63" s="636" t="s">
        <v>445</v>
      </c>
      <c r="F63" s="633" t="s">
        <v>61</v>
      </c>
      <c r="G63" s="634">
        <v>1</v>
      </c>
      <c r="H63" s="634" t="s">
        <v>98</v>
      </c>
      <c r="I63" s="637">
        <v>10</v>
      </c>
      <c r="J63" s="634" t="s">
        <v>81</v>
      </c>
      <c r="K63" s="634" t="s">
        <v>63</v>
      </c>
      <c r="L63" s="634" t="s">
        <v>108</v>
      </c>
      <c r="M63" s="758">
        <v>12000000</v>
      </c>
      <c r="N63" s="759">
        <v>12000000</v>
      </c>
      <c r="O63" s="634" t="s">
        <v>65</v>
      </c>
      <c r="P63" s="634" t="s">
        <v>66</v>
      </c>
      <c r="Q63" s="781" t="s">
        <v>371</v>
      </c>
      <c r="S63" s="644" t="s">
        <v>1541</v>
      </c>
      <c r="T63" s="645" t="s">
        <v>1542</v>
      </c>
      <c r="U63" s="646">
        <v>44267</v>
      </c>
      <c r="V63" s="645" t="s">
        <v>1543</v>
      </c>
      <c r="W63" s="647" t="s">
        <v>1452</v>
      </c>
      <c r="X63" s="770">
        <v>5504278</v>
      </c>
      <c r="Y63" s="771">
        <v>0</v>
      </c>
      <c r="Z63" s="770">
        <v>5504278</v>
      </c>
      <c r="AA63" s="645" t="s">
        <v>1544</v>
      </c>
      <c r="AB63" s="647">
        <v>24721</v>
      </c>
      <c r="AC63" s="645" t="s">
        <v>1545</v>
      </c>
      <c r="AD63" s="648">
        <v>44270</v>
      </c>
      <c r="AE63" s="648">
        <v>44551</v>
      </c>
      <c r="AF63" s="645" t="s">
        <v>1546</v>
      </c>
      <c r="AG63" s="645" t="s">
        <v>722</v>
      </c>
    </row>
    <row r="64" spans="1:33" ht="272.45" customHeight="1" x14ac:dyDescent="0.35">
      <c r="A64" s="715">
        <v>36</v>
      </c>
      <c r="B64" s="633"/>
      <c r="C64" s="633" t="s">
        <v>296</v>
      </c>
      <c r="D64" s="635" t="s">
        <v>369</v>
      </c>
      <c r="E64" s="633" t="s">
        <v>446</v>
      </c>
      <c r="F64" s="634" t="s">
        <v>61</v>
      </c>
      <c r="G64" s="634">
        <v>1</v>
      </c>
      <c r="H64" s="634" t="s">
        <v>364</v>
      </c>
      <c r="I64" s="637">
        <v>5</v>
      </c>
      <c r="J64" s="634" t="s">
        <v>92</v>
      </c>
      <c r="K64" s="634" t="s">
        <v>63</v>
      </c>
      <c r="L64" s="634" t="s">
        <v>104</v>
      </c>
      <c r="M64" s="758">
        <v>40000000</v>
      </c>
      <c r="N64" s="759">
        <v>40000000</v>
      </c>
      <c r="O64" s="634" t="s">
        <v>65</v>
      </c>
      <c r="P64" s="634" t="s">
        <v>66</v>
      </c>
      <c r="Q64" s="781" t="s">
        <v>371</v>
      </c>
      <c r="S64" s="644" t="s">
        <v>1822</v>
      </c>
      <c r="T64" s="645" t="s">
        <v>1823</v>
      </c>
      <c r="U64" s="646">
        <v>44442</v>
      </c>
      <c r="V64" s="645" t="s">
        <v>1824</v>
      </c>
      <c r="W64" s="647" t="s">
        <v>1459</v>
      </c>
      <c r="X64" s="770">
        <v>38000000</v>
      </c>
      <c r="Y64" s="771">
        <v>0</v>
      </c>
      <c r="Z64" s="770">
        <v>38000000</v>
      </c>
      <c r="AA64" s="645" t="s">
        <v>1825</v>
      </c>
      <c r="AB64" s="679" t="s">
        <v>2165</v>
      </c>
      <c r="AC64" s="645" t="s">
        <v>1826</v>
      </c>
      <c r="AD64" s="648">
        <v>44456</v>
      </c>
      <c r="AE64" s="648">
        <v>44540</v>
      </c>
      <c r="AF64" s="645" t="s">
        <v>1617</v>
      </c>
      <c r="AG64" s="645" t="s">
        <v>722</v>
      </c>
    </row>
    <row r="65" spans="1:33" ht="272.45" customHeight="1" x14ac:dyDescent="0.35">
      <c r="A65" s="715">
        <v>37</v>
      </c>
      <c r="B65" s="806"/>
      <c r="C65" s="633" t="s">
        <v>296</v>
      </c>
      <c r="D65" s="633" t="s">
        <v>370</v>
      </c>
      <c r="E65" s="633" t="s">
        <v>447</v>
      </c>
      <c r="F65" s="633" t="s">
        <v>61</v>
      </c>
      <c r="G65" s="634">
        <v>1</v>
      </c>
      <c r="H65" s="634" t="s">
        <v>74</v>
      </c>
      <c r="I65" s="637">
        <v>1</v>
      </c>
      <c r="J65" s="634" t="s">
        <v>62</v>
      </c>
      <c r="K65" s="634" t="s">
        <v>63</v>
      </c>
      <c r="L65" s="634" t="s">
        <v>111</v>
      </c>
      <c r="M65" s="758">
        <v>2000000</v>
      </c>
      <c r="N65" s="759">
        <v>2000000</v>
      </c>
      <c r="O65" s="634" t="s">
        <v>65</v>
      </c>
      <c r="P65" s="634" t="s">
        <v>66</v>
      </c>
      <c r="Q65" s="781" t="s">
        <v>371</v>
      </c>
      <c r="S65" s="644" t="s">
        <v>1827</v>
      </c>
      <c r="T65" s="645" t="s">
        <v>1828</v>
      </c>
      <c r="U65" s="646">
        <v>44440</v>
      </c>
      <c r="V65" s="645" t="s">
        <v>1829</v>
      </c>
      <c r="W65" s="647" t="s">
        <v>1177</v>
      </c>
      <c r="X65" s="770">
        <v>2000000</v>
      </c>
      <c r="Y65" s="771">
        <v>0</v>
      </c>
      <c r="Z65" s="770">
        <v>2000000</v>
      </c>
      <c r="AA65" s="645" t="s">
        <v>1830</v>
      </c>
      <c r="AB65" s="647">
        <v>24821</v>
      </c>
      <c r="AC65" s="645" t="s">
        <v>1831</v>
      </c>
      <c r="AD65" s="648">
        <v>44440</v>
      </c>
      <c r="AE65" s="648">
        <v>44469</v>
      </c>
      <c r="AF65" s="645" t="s">
        <v>1832</v>
      </c>
      <c r="AG65" s="645" t="s">
        <v>722</v>
      </c>
    </row>
    <row r="66" spans="1:33" ht="272.45" customHeight="1" x14ac:dyDescent="0.35">
      <c r="A66" s="715">
        <v>38</v>
      </c>
      <c r="B66" s="633"/>
      <c r="C66" s="633" t="s">
        <v>297</v>
      </c>
      <c r="D66" s="635" t="s">
        <v>298</v>
      </c>
      <c r="E66" s="636" t="s">
        <v>448</v>
      </c>
      <c r="F66" s="633" t="s">
        <v>61</v>
      </c>
      <c r="G66" s="634">
        <v>1</v>
      </c>
      <c r="H66" s="634" t="s">
        <v>1806</v>
      </c>
      <c r="I66" s="637">
        <v>12</v>
      </c>
      <c r="J66" s="634" t="s">
        <v>81</v>
      </c>
      <c r="K66" s="634" t="s">
        <v>63</v>
      </c>
      <c r="L66" s="634" t="s">
        <v>93</v>
      </c>
      <c r="M66" s="758">
        <v>20000000</v>
      </c>
      <c r="N66" s="759">
        <v>20000000</v>
      </c>
      <c r="O66" s="634" t="s">
        <v>65</v>
      </c>
      <c r="P66" s="634" t="s">
        <v>66</v>
      </c>
      <c r="Q66" s="781" t="s">
        <v>372</v>
      </c>
      <c r="S66" s="644" t="s">
        <v>2119</v>
      </c>
      <c r="T66" s="645" t="s">
        <v>2120</v>
      </c>
      <c r="U66" s="646">
        <v>44543</v>
      </c>
      <c r="V66" s="645" t="s">
        <v>2121</v>
      </c>
      <c r="W66" s="647" t="s">
        <v>1171</v>
      </c>
      <c r="X66" s="770">
        <v>6283200</v>
      </c>
      <c r="Y66" s="771">
        <v>0</v>
      </c>
      <c r="Z66" s="770">
        <v>6283200</v>
      </c>
      <c r="AA66" s="645" t="s">
        <v>2122</v>
      </c>
      <c r="AB66" s="647">
        <v>39721</v>
      </c>
      <c r="AC66" s="645" t="s">
        <v>2123</v>
      </c>
      <c r="AD66" s="648">
        <v>44546</v>
      </c>
      <c r="AE66" s="648">
        <v>44911</v>
      </c>
      <c r="AF66" s="645" t="s">
        <v>2124</v>
      </c>
      <c r="AG66" s="645" t="s">
        <v>728</v>
      </c>
    </row>
    <row r="67" spans="1:33" ht="272.45" customHeight="1" x14ac:dyDescent="0.35">
      <c r="A67" s="715">
        <v>39</v>
      </c>
      <c r="B67" s="728"/>
      <c r="C67" s="734" t="s">
        <v>297</v>
      </c>
      <c r="D67" s="736" t="s">
        <v>356</v>
      </c>
      <c r="E67" s="737" t="s">
        <v>449</v>
      </c>
      <c r="F67" s="734" t="s">
        <v>61</v>
      </c>
      <c r="G67" s="735">
        <v>1</v>
      </c>
      <c r="H67" s="735" t="s">
        <v>83</v>
      </c>
      <c r="I67" s="738">
        <v>1</v>
      </c>
      <c r="J67" s="735" t="s">
        <v>62</v>
      </c>
      <c r="K67" s="735" t="s">
        <v>63</v>
      </c>
      <c r="L67" s="735" t="s">
        <v>71</v>
      </c>
      <c r="M67" s="739"/>
      <c r="N67" s="740"/>
      <c r="O67" s="735" t="s">
        <v>65</v>
      </c>
      <c r="P67" s="735" t="s">
        <v>66</v>
      </c>
      <c r="Q67" s="743" t="s">
        <v>372</v>
      </c>
      <c r="S67" s="720"/>
      <c r="T67" s="721"/>
      <c r="U67" s="722"/>
      <c r="V67" s="723"/>
      <c r="W67" s="724"/>
      <c r="X67" s="764"/>
      <c r="Y67" s="765"/>
      <c r="Z67" s="764"/>
      <c r="AA67" s="723"/>
      <c r="AB67" s="724"/>
      <c r="AC67" s="732"/>
      <c r="AD67" s="648"/>
      <c r="AE67" s="648"/>
      <c r="AF67" s="724"/>
      <c r="AG67" s="724"/>
    </row>
    <row r="68" spans="1:33" ht="360.95" customHeight="1" x14ac:dyDescent="0.35">
      <c r="A68" s="715">
        <v>40</v>
      </c>
      <c r="B68" s="633"/>
      <c r="C68" s="633" t="s">
        <v>297</v>
      </c>
      <c r="D68" s="635">
        <v>80101706</v>
      </c>
      <c r="E68" s="649" t="s">
        <v>687</v>
      </c>
      <c r="F68" s="633" t="s">
        <v>61</v>
      </c>
      <c r="G68" s="634">
        <v>1</v>
      </c>
      <c r="H68" s="634" t="s">
        <v>91</v>
      </c>
      <c r="I68" s="637">
        <v>11.3</v>
      </c>
      <c r="J68" s="634" t="s">
        <v>283</v>
      </c>
      <c r="K68" s="634" t="s">
        <v>63</v>
      </c>
      <c r="L68" s="634" t="s">
        <v>108</v>
      </c>
      <c r="M68" s="758">
        <v>23866586</v>
      </c>
      <c r="N68" s="759">
        <v>23866586</v>
      </c>
      <c r="O68" s="634" t="s">
        <v>65</v>
      </c>
      <c r="P68" s="634" t="s">
        <v>66</v>
      </c>
      <c r="Q68" s="781" t="s">
        <v>372</v>
      </c>
      <c r="S68" s="644" t="s">
        <v>723</v>
      </c>
      <c r="T68" s="645" t="s">
        <v>724</v>
      </c>
      <c r="U68" s="646">
        <v>44216</v>
      </c>
      <c r="V68" s="645" t="s">
        <v>725</v>
      </c>
      <c r="W68" s="647" t="s">
        <v>706</v>
      </c>
      <c r="X68" s="770">
        <v>22983253</v>
      </c>
      <c r="Y68" s="772">
        <v>0</v>
      </c>
      <c r="Z68" s="770">
        <v>22983253</v>
      </c>
      <c r="AA68" s="645" t="s">
        <v>726</v>
      </c>
      <c r="AB68" s="647">
        <v>921</v>
      </c>
      <c r="AC68" s="645" t="s">
        <v>720</v>
      </c>
      <c r="AD68" s="648">
        <v>44216</v>
      </c>
      <c r="AE68" s="648">
        <v>44551</v>
      </c>
      <c r="AF68" s="645" t="s">
        <v>727</v>
      </c>
      <c r="AG68" s="645" t="s">
        <v>728</v>
      </c>
    </row>
    <row r="69" spans="1:33" ht="272.45" customHeight="1" x14ac:dyDescent="0.35">
      <c r="A69" s="715">
        <v>41</v>
      </c>
      <c r="B69" s="633"/>
      <c r="C69" s="633" t="s">
        <v>297</v>
      </c>
      <c r="D69" s="635">
        <v>80101706</v>
      </c>
      <c r="E69" s="649" t="s">
        <v>450</v>
      </c>
      <c r="F69" s="633" t="s">
        <v>61</v>
      </c>
      <c r="G69" s="634">
        <v>1</v>
      </c>
      <c r="H69" s="634" t="s">
        <v>91</v>
      </c>
      <c r="I69" s="637">
        <v>11.3</v>
      </c>
      <c r="J69" s="634" t="s">
        <v>283</v>
      </c>
      <c r="K69" s="634" t="s">
        <v>63</v>
      </c>
      <c r="L69" s="634" t="s">
        <v>108</v>
      </c>
      <c r="M69" s="758">
        <v>22076592</v>
      </c>
      <c r="N69" s="759">
        <v>22076592</v>
      </c>
      <c r="O69" s="634" t="s">
        <v>65</v>
      </c>
      <c r="P69" s="634" t="s">
        <v>66</v>
      </c>
      <c r="Q69" s="781" t="s">
        <v>372</v>
      </c>
      <c r="S69" s="644" t="s">
        <v>729</v>
      </c>
      <c r="T69" s="645" t="s">
        <v>730</v>
      </c>
      <c r="U69" s="646">
        <v>44216</v>
      </c>
      <c r="V69" s="645" t="s">
        <v>731</v>
      </c>
      <c r="W69" s="647" t="s">
        <v>706</v>
      </c>
      <c r="X69" s="770">
        <v>21259067</v>
      </c>
      <c r="Y69" s="772">
        <v>0</v>
      </c>
      <c r="Z69" s="770">
        <v>21259067</v>
      </c>
      <c r="AA69" s="645" t="s">
        <v>732</v>
      </c>
      <c r="AB69" s="647">
        <v>1021</v>
      </c>
      <c r="AC69" s="645" t="s">
        <v>720</v>
      </c>
      <c r="AD69" s="648">
        <v>44216</v>
      </c>
      <c r="AE69" s="648">
        <v>44551</v>
      </c>
      <c r="AF69" s="645" t="s">
        <v>727</v>
      </c>
      <c r="AG69" s="645" t="s">
        <v>728</v>
      </c>
    </row>
    <row r="70" spans="1:33" ht="377.1" customHeight="1" x14ac:dyDescent="0.35">
      <c r="A70" s="715">
        <v>42</v>
      </c>
      <c r="B70" s="633"/>
      <c r="C70" s="633" t="s">
        <v>297</v>
      </c>
      <c r="D70" s="635">
        <v>78102200</v>
      </c>
      <c r="E70" s="639" t="s">
        <v>451</v>
      </c>
      <c r="F70" s="633" t="s">
        <v>61</v>
      </c>
      <c r="G70" s="634">
        <v>1</v>
      </c>
      <c r="H70" s="634" t="s">
        <v>1806</v>
      </c>
      <c r="I70" s="637">
        <v>7</v>
      </c>
      <c r="J70" s="634" t="s">
        <v>92</v>
      </c>
      <c r="K70" s="634" t="s">
        <v>63</v>
      </c>
      <c r="L70" s="634" t="s">
        <v>373</v>
      </c>
      <c r="M70" s="758">
        <f>98000000+12500000</f>
        <v>110500000</v>
      </c>
      <c r="N70" s="759">
        <v>14000000</v>
      </c>
      <c r="O70" s="634" t="s">
        <v>76</v>
      </c>
      <c r="P70" s="634" t="s">
        <v>77</v>
      </c>
      <c r="Q70" s="781" t="s">
        <v>372</v>
      </c>
      <c r="S70" s="644" t="s">
        <v>2052</v>
      </c>
      <c r="T70" s="645" t="s">
        <v>2053</v>
      </c>
      <c r="U70" s="646">
        <v>44526</v>
      </c>
      <c r="V70" s="645" t="s">
        <v>2054</v>
      </c>
      <c r="W70" s="647" t="s">
        <v>2055</v>
      </c>
      <c r="X70" s="770">
        <v>112000000</v>
      </c>
      <c r="Y70" s="772">
        <v>0</v>
      </c>
      <c r="Z70" s="770">
        <v>14000000</v>
      </c>
      <c r="AA70" s="645" t="s">
        <v>2056</v>
      </c>
      <c r="AB70" s="647">
        <v>33121</v>
      </c>
      <c r="AC70" s="645" t="s">
        <v>2057</v>
      </c>
      <c r="AD70" s="648">
        <v>44526</v>
      </c>
      <c r="AE70" s="648">
        <v>44767</v>
      </c>
      <c r="AF70" s="645" t="s">
        <v>727</v>
      </c>
      <c r="AG70" s="645" t="s">
        <v>728</v>
      </c>
    </row>
    <row r="71" spans="1:33" ht="272.45" customHeight="1" x14ac:dyDescent="0.35">
      <c r="A71" s="715">
        <v>43</v>
      </c>
      <c r="B71" s="633"/>
      <c r="C71" s="633" t="s">
        <v>299</v>
      </c>
      <c r="D71" s="635">
        <v>80101706</v>
      </c>
      <c r="E71" s="639" t="s">
        <v>452</v>
      </c>
      <c r="F71" s="633" t="s">
        <v>61</v>
      </c>
      <c r="G71" s="634">
        <v>1</v>
      </c>
      <c r="H71" s="634" t="s">
        <v>91</v>
      </c>
      <c r="I71" s="637">
        <v>11.8</v>
      </c>
      <c r="J71" s="634" t="s">
        <v>283</v>
      </c>
      <c r="K71" s="634" t="s">
        <v>63</v>
      </c>
      <c r="L71" s="634" t="s">
        <v>108</v>
      </c>
      <c r="M71" s="758">
        <v>24925754</v>
      </c>
      <c r="N71" s="759">
        <v>24925754</v>
      </c>
      <c r="O71" s="634" t="s">
        <v>65</v>
      </c>
      <c r="P71" s="634" t="s">
        <v>66</v>
      </c>
      <c r="Q71" s="781" t="s">
        <v>314</v>
      </c>
      <c r="S71" s="644" t="s">
        <v>733</v>
      </c>
      <c r="T71" s="645" t="s">
        <v>734</v>
      </c>
      <c r="U71" s="646">
        <v>44202</v>
      </c>
      <c r="V71" s="645" t="s">
        <v>735</v>
      </c>
      <c r="W71" s="647" t="s">
        <v>706</v>
      </c>
      <c r="X71" s="770">
        <v>24855142</v>
      </c>
      <c r="Y71" s="772">
        <v>0</v>
      </c>
      <c r="Z71" s="770">
        <v>24855142</v>
      </c>
      <c r="AA71" s="645" t="s">
        <v>736</v>
      </c>
      <c r="AB71" s="647">
        <v>1121</v>
      </c>
      <c r="AC71" s="645" t="s">
        <v>737</v>
      </c>
      <c r="AD71" s="648">
        <v>44203</v>
      </c>
      <c r="AE71" s="648">
        <v>44558</v>
      </c>
      <c r="AF71" s="645" t="s">
        <v>738</v>
      </c>
      <c r="AG71" s="645" t="s">
        <v>317</v>
      </c>
    </row>
    <row r="72" spans="1:33" ht="409.5" x14ac:dyDescent="0.35">
      <c r="A72" s="715">
        <v>44</v>
      </c>
      <c r="B72" s="633"/>
      <c r="C72" s="633" t="s">
        <v>299</v>
      </c>
      <c r="D72" s="635">
        <v>80101706</v>
      </c>
      <c r="E72" s="639" t="s">
        <v>453</v>
      </c>
      <c r="F72" s="633" t="s">
        <v>61</v>
      </c>
      <c r="G72" s="634">
        <v>1</v>
      </c>
      <c r="H72" s="634" t="s">
        <v>91</v>
      </c>
      <c r="I72" s="637">
        <v>11.8</v>
      </c>
      <c r="J72" s="634" t="s">
        <v>283</v>
      </c>
      <c r="K72" s="634" t="s">
        <v>63</v>
      </c>
      <c r="L72" s="634" t="s">
        <v>108</v>
      </c>
      <c r="M72" s="758">
        <v>70867339</v>
      </c>
      <c r="N72" s="759">
        <v>70867339</v>
      </c>
      <c r="O72" s="634" t="s">
        <v>65</v>
      </c>
      <c r="P72" s="634" t="s">
        <v>66</v>
      </c>
      <c r="Q72" s="781" t="s">
        <v>314</v>
      </c>
      <c r="S72" s="644" t="s">
        <v>739</v>
      </c>
      <c r="T72" s="645" t="s">
        <v>740</v>
      </c>
      <c r="U72" s="646">
        <v>44202</v>
      </c>
      <c r="V72" s="645" t="s">
        <v>741</v>
      </c>
      <c r="W72" s="647" t="s">
        <v>714</v>
      </c>
      <c r="X72" s="770">
        <v>70666581</v>
      </c>
      <c r="Y72" s="772">
        <v>0</v>
      </c>
      <c r="Z72" s="770">
        <v>70666581</v>
      </c>
      <c r="AA72" s="645" t="s">
        <v>742</v>
      </c>
      <c r="AB72" s="647">
        <v>1221</v>
      </c>
      <c r="AC72" s="645" t="s">
        <v>737</v>
      </c>
      <c r="AD72" s="648">
        <v>44203</v>
      </c>
      <c r="AE72" s="648">
        <v>44558</v>
      </c>
      <c r="AF72" s="645" t="s">
        <v>738</v>
      </c>
      <c r="AG72" s="645" t="s">
        <v>317</v>
      </c>
    </row>
    <row r="73" spans="1:33" ht="409.5" x14ac:dyDescent="0.35">
      <c r="A73" s="715">
        <v>45</v>
      </c>
      <c r="B73" s="633"/>
      <c r="C73" s="633" t="s">
        <v>374</v>
      </c>
      <c r="D73" s="635">
        <v>80101706</v>
      </c>
      <c r="E73" s="639" t="s">
        <v>454</v>
      </c>
      <c r="F73" s="633" t="s">
        <v>61</v>
      </c>
      <c r="G73" s="634">
        <v>1</v>
      </c>
      <c r="H73" s="634" t="s">
        <v>91</v>
      </c>
      <c r="I73" s="637">
        <v>11.8</v>
      </c>
      <c r="J73" s="634" t="s">
        <v>283</v>
      </c>
      <c r="K73" s="634" t="s">
        <v>63</v>
      </c>
      <c r="L73" s="634" t="s">
        <v>108</v>
      </c>
      <c r="M73" s="758">
        <v>54983280</v>
      </c>
      <c r="N73" s="759">
        <v>54983280</v>
      </c>
      <c r="O73" s="634" t="s">
        <v>65</v>
      </c>
      <c r="P73" s="634" t="s">
        <v>66</v>
      </c>
      <c r="Q73" s="781" t="s">
        <v>353</v>
      </c>
      <c r="S73" s="644" t="s">
        <v>743</v>
      </c>
      <c r="T73" s="645" t="s">
        <v>744</v>
      </c>
      <c r="U73" s="646">
        <v>44202</v>
      </c>
      <c r="V73" s="645" t="s">
        <v>745</v>
      </c>
      <c r="W73" s="647" t="s">
        <v>714</v>
      </c>
      <c r="X73" s="770">
        <v>54827520</v>
      </c>
      <c r="Y73" s="772"/>
      <c r="Z73" s="770">
        <f>X73+Y73</f>
        <v>54827520</v>
      </c>
      <c r="AA73" s="645" t="s">
        <v>746</v>
      </c>
      <c r="AB73" s="647">
        <v>1321</v>
      </c>
      <c r="AC73" s="645" t="s">
        <v>737</v>
      </c>
      <c r="AD73" s="648">
        <v>44203</v>
      </c>
      <c r="AE73" s="648">
        <v>44558</v>
      </c>
      <c r="AF73" s="650" t="s">
        <v>747</v>
      </c>
      <c r="AG73" s="650" t="s">
        <v>748</v>
      </c>
    </row>
    <row r="74" spans="1:33" ht="272.45" customHeight="1" x14ac:dyDescent="0.35">
      <c r="A74" s="715">
        <v>46</v>
      </c>
      <c r="B74" s="633"/>
      <c r="C74" s="633" t="s">
        <v>352</v>
      </c>
      <c r="D74" s="635" t="s">
        <v>319</v>
      </c>
      <c r="E74" s="636" t="s">
        <v>455</v>
      </c>
      <c r="F74" s="633" t="s">
        <v>61</v>
      </c>
      <c r="G74" s="634">
        <v>1</v>
      </c>
      <c r="H74" s="634" t="s">
        <v>1968</v>
      </c>
      <c r="I74" s="637">
        <v>24</v>
      </c>
      <c r="J74" s="634" t="s">
        <v>92</v>
      </c>
      <c r="K74" s="634" t="s">
        <v>63</v>
      </c>
      <c r="L74" s="634" t="s">
        <v>84</v>
      </c>
      <c r="M74" s="758">
        <v>16000000</v>
      </c>
      <c r="N74" s="759">
        <v>16000000</v>
      </c>
      <c r="O74" s="634" t="s">
        <v>65</v>
      </c>
      <c r="P74" s="634" t="s">
        <v>66</v>
      </c>
      <c r="Q74" s="781" t="s">
        <v>304</v>
      </c>
      <c r="S74" s="644" t="s">
        <v>2143</v>
      </c>
      <c r="T74" s="645" t="s">
        <v>2144</v>
      </c>
      <c r="U74" s="646">
        <v>44554</v>
      </c>
      <c r="V74" s="645" t="s">
        <v>2145</v>
      </c>
      <c r="W74" s="647" t="s">
        <v>1452</v>
      </c>
      <c r="X74" s="770">
        <v>15655554</v>
      </c>
      <c r="Y74" s="772">
        <v>0</v>
      </c>
      <c r="Z74" s="770">
        <v>15655554</v>
      </c>
      <c r="AA74" s="645" t="s">
        <v>2146</v>
      </c>
      <c r="AB74" s="647">
        <v>39521</v>
      </c>
      <c r="AC74" s="645" t="s">
        <v>2147</v>
      </c>
      <c r="AD74" s="648">
        <v>44557</v>
      </c>
      <c r="AE74" s="648">
        <v>45286</v>
      </c>
      <c r="AF74" s="650" t="s">
        <v>2148</v>
      </c>
      <c r="AG74" s="650" t="s">
        <v>1060</v>
      </c>
    </row>
    <row r="75" spans="1:33" ht="272.45" customHeight="1" x14ac:dyDescent="0.35">
      <c r="A75" s="715">
        <v>47</v>
      </c>
      <c r="B75" s="734" t="s">
        <v>309</v>
      </c>
      <c r="C75" s="735" t="s">
        <v>292</v>
      </c>
      <c r="D75" s="736" t="s">
        <v>313</v>
      </c>
      <c r="E75" s="737" t="s">
        <v>456</v>
      </c>
      <c r="F75" s="811" t="s">
        <v>61</v>
      </c>
      <c r="G75" s="812">
        <v>1</v>
      </c>
      <c r="H75" s="812" t="s">
        <v>98</v>
      </c>
      <c r="I75" s="815">
        <v>4</v>
      </c>
      <c r="J75" s="826" t="s">
        <v>113</v>
      </c>
      <c r="K75" s="812" t="s">
        <v>100</v>
      </c>
      <c r="L75" s="812" t="s">
        <v>306</v>
      </c>
      <c r="M75" s="816"/>
      <c r="N75" s="817"/>
      <c r="O75" s="735" t="s">
        <v>65</v>
      </c>
      <c r="P75" s="735" t="s">
        <v>66</v>
      </c>
      <c r="Q75" s="741" t="s">
        <v>67</v>
      </c>
      <c r="S75" s="720"/>
      <c r="T75" s="721"/>
      <c r="U75" s="725"/>
      <c r="V75" s="723"/>
      <c r="W75" s="724"/>
      <c r="X75" s="764"/>
      <c r="Y75" s="765"/>
      <c r="Z75" s="764"/>
      <c r="AA75" s="723"/>
      <c r="AB75" s="724"/>
      <c r="AC75" s="723"/>
      <c r="AD75" s="725"/>
      <c r="AE75" s="725"/>
      <c r="AF75" s="724"/>
      <c r="AG75" s="724"/>
    </row>
    <row r="76" spans="1:33" ht="272.45" customHeight="1" x14ac:dyDescent="0.35">
      <c r="A76" s="715">
        <v>48</v>
      </c>
      <c r="B76" s="633" t="s">
        <v>376</v>
      </c>
      <c r="C76" s="634" t="s">
        <v>302</v>
      </c>
      <c r="D76" s="640">
        <v>80101706</v>
      </c>
      <c r="E76" s="641" t="s">
        <v>457</v>
      </c>
      <c r="F76" s="640" t="s">
        <v>61</v>
      </c>
      <c r="G76" s="634">
        <v>1</v>
      </c>
      <c r="H76" s="634" t="s">
        <v>377</v>
      </c>
      <c r="I76" s="637">
        <v>11.5</v>
      </c>
      <c r="J76" s="638" t="s">
        <v>283</v>
      </c>
      <c r="K76" s="634" t="s">
        <v>100</v>
      </c>
      <c r="L76" s="634" t="s">
        <v>378</v>
      </c>
      <c r="M76" s="758">
        <v>76758528</v>
      </c>
      <c r="N76" s="759">
        <v>76758528</v>
      </c>
      <c r="O76" s="634" t="s">
        <v>65</v>
      </c>
      <c r="P76" s="634" t="s">
        <v>66</v>
      </c>
      <c r="Q76" s="781" t="s">
        <v>375</v>
      </c>
      <c r="S76" s="644" t="s">
        <v>1182</v>
      </c>
      <c r="T76" s="645" t="s">
        <v>1183</v>
      </c>
      <c r="U76" s="646">
        <v>44236</v>
      </c>
      <c r="V76" s="645" t="s">
        <v>1184</v>
      </c>
      <c r="W76" s="647" t="s">
        <v>714</v>
      </c>
      <c r="X76" s="773">
        <v>70590432</v>
      </c>
      <c r="Y76" s="775">
        <v>0</v>
      </c>
      <c r="Z76" s="773">
        <v>70590432</v>
      </c>
      <c r="AA76" s="645" t="s">
        <v>1185</v>
      </c>
      <c r="AB76" s="647">
        <v>22321</v>
      </c>
      <c r="AC76" s="645" t="s">
        <v>708</v>
      </c>
      <c r="AD76" s="648">
        <v>44237</v>
      </c>
      <c r="AE76" s="648">
        <v>44550</v>
      </c>
      <c r="AF76" s="645" t="s">
        <v>1186</v>
      </c>
      <c r="AG76" s="645" t="s">
        <v>302</v>
      </c>
    </row>
    <row r="77" spans="1:33" ht="272.45" customHeight="1" x14ac:dyDescent="0.35">
      <c r="A77" s="715">
        <v>49</v>
      </c>
      <c r="B77" s="633" t="s">
        <v>379</v>
      </c>
      <c r="C77" s="634" t="s">
        <v>302</v>
      </c>
      <c r="D77" s="640">
        <v>80101706</v>
      </c>
      <c r="E77" s="641" t="s">
        <v>458</v>
      </c>
      <c r="F77" s="640" t="s">
        <v>61</v>
      </c>
      <c r="G77" s="634">
        <v>1</v>
      </c>
      <c r="H77" s="634" t="s">
        <v>377</v>
      </c>
      <c r="I77" s="637">
        <v>11.5</v>
      </c>
      <c r="J77" s="638" t="s">
        <v>283</v>
      </c>
      <c r="K77" s="634" t="s">
        <v>342</v>
      </c>
      <c r="L77" s="634" t="s">
        <v>378</v>
      </c>
      <c r="M77" s="758">
        <v>87261944</v>
      </c>
      <c r="N77" s="759">
        <v>87261944</v>
      </c>
      <c r="O77" s="634" t="s">
        <v>65</v>
      </c>
      <c r="P77" s="634" t="s">
        <v>66</v>
      </c>
      <c r="Q77" s="781" t="s">
        <v>375</v>
      </c>
      <c r="S77" s="644" t="s">
        <v>749</v>
      </c>
      <c r="T77" s="645" t="s">
        <v>750</v>
      </c>
      <c r="U77" s="646">
        <v>44203</v>
      </c>
      <c r="V77" s="645" t="s">
        <v>751</v>
      </c>
      <c r="W77" s="647" t="s">
        <v>714</v>
      </c>
      <c r="X77" s="770">
        <v>87261944</v>
      </c>
      <c r="Y77" s="772">
        <v>0</v>
      </c>
      <c r="Z77" s="770">
        <v>87261944</v>
      </c>
      <c r="AA77" s="645" t="s">
        <v>752</v>
      </c>
      <c r="AB77" s="647">
        <v>5121</v>
      </c>
      <c r="AC77" s="645" t="s">
        <v>708</v>
      </c>
      <c r="AD77" s="648">
        <v>44205</v>
      </c>
      <c r="AE77" s="648">
        <v>44550</v>
      </c>
      <c r="AF77" s="645" t="s">
        <v>753</v>
      </c>
      <c r="AG77" s="645" t="s">
        <v>302</v>
      </c>
    </row>
    <row r="78" spans="1:33" ht="272.45" customHeight="1" x14ac:dyDescent="0.35">
      <c r="A78" s="715">
        <v>50</v>
      </c>
      <c r="B78" s="633" t="s">
        <v>380</v>
      </c>
      <c r="C78" s="634" t="s">
        <v>302</v>
      </c>
      <c r="D78" s="640">
        <v>80101706</v>
      </c>
      <c r="E78" s="641" t="s">
        <v>459</v>
      </c>
      <c r="F78" s="640" t="s">
        <v>61</v>
      </c>
      <c r="G78" s="634">
        <v>1</v>
      </c>
      <c r="H78" s="634" t="s">
        <v>377</v>
      </c>
      <c r="I78" s="637">
        <v>11.5</v>
      </c>
      <c r="J78" s="638" t="s">
        <v>283</v>
      </c>
      <c r="K78" s="634" t="s">
        <v>342</v>
      </c>
      <c r="L78" s="634" t="s">
        <v>362</v>
      </c>
      <c r="M78" s="758">
        <v>76758528</v>
      </c>
      <c r="N78" s="759">
        <v>76758528</v>
      </c>
      <c r="O78" s="634" t="s">
        <v>65</v>
      </c>
      <c r="P78" s="634" t="s">
        <v>66</v>
      </c>
      <c r="Q78" s="781" t="s">
        <v>375</v>
      </c>
      <c r="S78" s="644" t="s">
        <v>1187</v>
      </c>
      <c r="T78" s="645" t="s">
        <v>1188</v>
      </c>
      <c r="U78" s="646">
        <v>44237</v>
      </c>
      <c r="V78" s="645" t="s">
        <v>1189</v>
      </c>
      <c r="W78" s="647" t="s">
        <v>714</v>
      </c>
      <c r="X78" s="773">
        <v>70361984</v>
      </c>
      <c r="Y78" s="775">
        <v>-7538784</v>
      </c>
      <c r="Z78" s="773">
        <v>62823200</v>
      </c>
      <c r="AA78" s="645" t="s">
        <v>1190</v>
      </c>
      <c r="AB78" s="647">
        <v>10321</v>
      </c>
      <c r="AC78" s="645" t="s">
        <v>708</v>
      </c>
      <c r="AD78" s="648">
        <v>44238</v>
      </c>
      <c r="AE78" s="648">
        <v>44550</v>
      </c>
      <c r="AF78" s="645" t="s">
        <v>1186</v>
      </c>
      <c r="AG78" s="645" t="s">
        <v>302</v>
      </c>
    </row>
    <row r="79" spans="1:33" ht="272.45" customHeight="1" x14ac:dyDescent="0.35">
      <c r="A79" s="715">
        <v>51</v>
      </c>
      <c r="B79" s="633" t="s">
        <v>376</v>
      </c>
      <c r="C79" s="634" t="s">
        <v>302</v>
      </c>
      <c r="D79" s="640">
        <v>80101706</v>
      </c>
      <c r="E79" s="641" t="s">
        <v>460</v>
      </c>
      <c r="F79" s="640" t="s">
        <v>61</v>
      </c>
      <c r="G79" s="634">
        <v>1</v>
      </c>
      <c r="H79" s="634" t="s">
        <v>377</v>
      </c>
      <c r="I79" s="637">
        <v>11.5</v>
      </c>
      <c r="J79" s="638" t="s">
        <v>283</v>
      </c>
      <c r="K79" s="634" t="s">
        <v>342</v>
      </c>
      <c r="L79" s="634" t="s">
        <v>378</v>
      </c>
      <c r="M79" s="758">
        <v>52646880</v>
      </c>
      <c r="N79" s="759">
        <v>52646880</v>
      </c>
      <c r="O79" s="634" t="s">
        <v>65</v>
      </c>
      <c r="P79" s="634" t="s">
        <v>66</v>
      </c>
      <c r="Q79" s="781" t="s">
        <v>375</v>
      </c>
      <c r="S79" s="644" t="s">
        <v>754</v>
      </c>
      <c r="T79" s="645" t="s">
        <v>755</v>
      </c>
      <c r="U79" s="646">
        <v>44208</v>
      </c>
      <c r="V79" s="645" t="s">
        <v>756</v>
      </c>
      <c r="W79" s="647" t="s">
        <v>714</v>
      </c>
      <c r="X79" s="770">
        <v>52646880</v>
      </c>
      <c r="Y79" s="772">
        <v>0</v>
      </c>
      <c r="Z79" s="770">
        <v>52646880</v>
      </c>
      <c r="AA79" s="645" t="s">
        <v>757</v>
      </c>
      <c r="AB79" s="647">
        <v>14621</v>
      </c>
      <c r="AC79" s="645" t="s">
        <v>708</v>
      </c>
      <c r="AD79" s="648">
        <v>44210</v>
      </c>
      <c r="AE79" s="648">
        <v>44545</v>
      </c>
      <c r="AF79" s="645" t="s">
        <v>753</v>
      </c>
      <c r="AG79" s="645" t="s">
        <v>302</v>
      </c>
    </row>
    <row r="80" spans="1:33" ht="272.45" customHeight="1" x14ac:dyDescent="0.35">
      <c r="A80" s="715">
        <v>52</v>
      </c>
      <c r="B80" s="633" t="s">
        <v>380</v>
      </c>
      <c r="C80" s="634" t="s">
        <v>302</v>
      </c>
      <c r="D80" s="640">
        <v>80101706</v>
      </c>
      <c r="E80" s="641" t="s">
        <v>461</v>
      </c>
      <c r="F80" s="640" t="s">
        <v>61</v>
      </c>
      <c r="G80" s="634">
        <v>1</v>
      </c>
      <c r="H80" s="634" t="s">
        <v>98</v>
      </c>
      <c r="I80" s="637">
        <v>10</v>
      </c>
      <c r="J80" s="638" t="s">
        <v>283</v>
      </c>
      <c r="K80" s="634" t="s">
        <v>342</v>
      </c>
      <c r="L80" s="634" t="s">
        <v>362</v>
      </c>
      <c r="M80" s="758">
        <v>47351040</v>
      </c>
      <c r="N80" s="759">
        <v>47351040</v>
      </c>
      <c r="O80" s="634" t="s">
        <v>65</v>
      </c>
      <c r="P80" s="634" t="s">
        <v>66</v>
      </c>
      <c r="Q80" s="781" t="s">
        <v>375</v>
      </c>
      <c r="S80" s="644" t="s">
        <v>1494</v>
      </c>
      <c r="T80" s="645" t="s">
        <v>1495</v>
      </c>
      <c r="U80" s="646">
        <v>44257</v>
      </c>
      <c r="V80" s="645" t="s">
        <v>1496</v>
      </c>
      <c r="W80" s="647" t="s">
        <v>714</v>
      </c>
      <c r="X80" s="770">
        <v>44858880</v>
      </c>
      <c r="Y80" s="772">
        <v>0</v>
      </c>
      <c r="Z80" s="770">
        <v>44858880</v>
      </c>
      <c r="AA80" s="645" t="s">
        <v>1497</v>
      </c>
      <c r="AB80" s="647">
        <v>10421</v>
      </c>
      <c r="AC80" s="645" t="s">
        <v>708</v>
      </c>
      <c r="AD80" s="648">
        <v>44259</v>
      </c>
      <c r="AE80" s="648">
        <v>44550</v>
      </c>
      <c r="AF80" s="645" t="s">
        <v>1498</v>
      </c>
      <c r="AG80" s="645" t="s">
        <v>302</v>
      </c>
    </row>
    <row r="81" spans="1:33" s="25" customFormat="1" ht="272.45" customHeight="1" x14ac:dyDescent="0.35">
      <c r="A81" s="715">
        <v>53</v>
      </c>
      <c r="B81" s="633" t="s">
        <v>380</v>
      </c>
      <c r="C81" s="634" t="s">
        <v>302</v>
      </c>
      <c r="D81" s="640">
        <v>80101706</v>
      </c>
      <c r="E81" s="641" t="s">
        <v>462</v>
      </c>
      <c r="F81" s="640" t="s">
        <v>61</v>
      </c>
      <c r="G81" s="634">
        <v>1</v>
      </c>
      <c r="H81" s="634" t="s">
        <v>83</v>
      </c>
      <c r="I81" s="637">
        <v>9.5</v>
      </c>
      <c r="J81" s="638" t="s">
        <v>283</v>
      </c>
      <c r="K81" s="634" t="s">
        <v>342</v>
      </c>
      <c r="L81" s="634" t="s">
        <v>362</v>
      </c>
      <c r="M81" s="758">
        <v>58420384</v>
      </c>
      <c r="N81" s="758">
        <v>58420384</v>
      </c>
      <c r="O81" s="634" t="s">
        <v>65</v>
      </c>
      <c r="P81" s="634" t="s">
        <v>66</v>
      </c>
      <c r="Q81" s="781" t="s">
        <v>375</v>
      </c>
      <c r="R81" s="24"/>
      <c r="S81" s="644" t="s">
        <v>1499</v>
      </c>
      <c r="T81" s="645" t="s">
        <v>1500</v>
      </c>
      <c r="U81" s="646">
        <v>44256</v>
      </c>
      <c r="V81" s="645" t="s">
        <v>1501</v>
      </c>
      <c r="W81" s="647" t="s">
        <v>714</v>
      </c>
      <c r="X81" s="770">
        <v>58018868</v>
      </c>
      <c r="Y81" s="772">
        <v>0</v>
      </c>
      <c r="Z81" s="770">
        <v>58018868</v>
      </c>
      <c r="AA81" s="645" t="s">
        <v>1502</v>
      </c>
      <c r="AB81" s="647">
        <v>10521</v>
      </c>
      <c r="AC81" s="645" t="s">
        <v>708</v>
      </c>
      <c r="AD81" s="648">
        <v>44257</v>
      </c>
      <c r="AE81" s="648">
        <v>44550</v>
      </c>
      <c r="AF81" s="645" t="s">
        <v>753</v>
      </c>
      <c r="AG81" s="645" t="s">
        <v>302</v>
      </c>
    </row>
    <row r="82" spans="1:33" ht="272.45" customHeight="1" x14ac:dyDescent="0.35">
      <c r="A82" s="715">
        <v>54</v>
      </c>
      <c r="B82" s="633" t="s">
        <v>380</v>
      </c>
      <c r="C82" s="634" t="s">
        <v>302</v>
      </c>
      <c r="D82" s="640">
        <v>80101706</v>
      </c>
      <c r="E82" s="641" t="s">
        <v>463</v>
      </c>
      <c r="F82" s="640" t="s">
        <v>61</v>
      </c>
      <c r="G82" s="634">
        <v>1</v>
      </c>
      <c r="H82" s="634" t="s">
        <v>83</v>
      </c>
      <c r="I82" s="637">
        <v>9.5</v>
      </c>
      <c r="J82" s="638" t="s">
        <v>283</v>
      </c>
      <c r="K82" s="634" t="s">
        <v>342</v>
      </c>
      <c r="L82" s="634" t="s">
        <v>362</v>
      </c>
      <c r="M82" s="758">
        <v>58420384</v>
      </c>
      <c r="N82" s="758">
        <v>58420384</v>
      </c>
      <c r="O82" s="634" t="s">
        <v>65</v>
      </c>
      <c r="P82" s="634" t="s">
        <v>66</v>
      </c>
      <c r="Q82" s="781" t="s">
        <v>375</v>
      </c>
      <c r="S82" s="644" t="s">
        <v>1503</v>
      </c>
      <c r="T82" s="645" t="s">
        <v>1504</v>
      </c>
      <c r="U82" s="646">
        <v>44256</v>
      </c>
      <c r="V82" s="645" t="s">
        <v>1501</v>
      </c>
      <c r="W82" s="647" t="s">
        <v>714</v>
      </c>
      <c r="X82" s="770">
        <v>58018868</v>
      </c>
      <c r="Y82" s="772">
        <v>0</v>
      </c>
      <c r="Z82" s="770">
        <v>58018868</v>
      </c>
      <c r="AA82" s="645" t="s">
        <v>1502</v>
      </c>
      <c r="AB82" s="647">
        <v>10621</v>
      </c>
      <c r="AC82" s="645" t="s">
        <v>708</v>
      </c>
      <c r="AD82" s="648">
        <v>44257</v>
      </c>
      <c r="AE82" s="648">
        <v>44550</v>
      </c>
      <c r="AF82" s="645" t="s">
        <v>753</v>
      </c>
      <c r="AG82" s="645" t="s">
        <v>302</v>
      </c>
    </row>
    <row r="83" spans="1:33" ht="272.45" customHeight="1" x14ac:dyDescent="0.35">
      <c r="A83" s="715">
        <v>55</v>
      </c>
      <c r="B83" s="633" t="s">
        <v>380</v>
      </c>
      <c r="C83" s="634" t="s">
        <v>119</v>
      </c>
      <c r="D83" s="640">
        <v>80101706</v>
      </c>
      <c r="E83" s="641" t="s">
        <v>464</v>
      </c>
      <c r="F83" s="640" t="s">
        <v>61</v>
      </c>
      <c r="G83" s="634">
        <v>1</v>
      </c>
      <c r="H83" s="634" t="s">
        <v>377</v>
      </c>
      <c r="I83" s="637">
        <v>11</v>
      </c>
      <c r="J83" s="638" t="s">
        <v>283</v>
      </c>
      <c r="K83" s="634" t="s">
        <v>342</v>
      </c>
      <c r="L83" s="634" t="s">
        <v>362</v>
      </c>
      <c r="M83" s="758">
        <v>66249920</v>
      </c>
      <c r="N83" s="759">
        <v>66249920</v>
      </c>
      <c r="O83" s="634" t="s">
        <v>65</v>
      </c>
      <c r="P83" s="634" t="s">
        <v>66</v>
      </c>
      <c r="Q83" s="781" t="s">
        <v>408</v>
      </c>
      <c r="S83" s="644" t="s">
        <v>1191</v>
      </c>
      <c r="T83" s="645" t="s">
        <v>1192</v>
      </c>
      <c r="U83" s="646">
        <v>44236</v>
      </c>
      <c r="V83" s="645" t="s">
        <v>1193</v>
      </c>
      <c r="W83" s="647" t="s">
        <v>714</v>
      </c>
      <c r="X83" s="773">
        <v>62234772</v>
      </c>
      <c r="Y83" s="775">
        <v>0</v>
      </c>
      <c r="Z83" s="773">
        <v>62234772</v>
      </c>
      <c r="AA83" s="645" t="s">
        <v>1194</v>
      </c>
      <c r="AB83" s="647">
        <v>24121</v>
      </c>
      <c r="AC83" s="645" t="s">
        <v>708</v>
      </c>
      <c r="AD83" s="648">
        <v>44236</v>
      </c>
      <c r="AE83" s="648">
        <v>44550</v>
      </c>
      <c r="AF83" s="645" t="s">
        <v>975</v>
      </c>
      <c r="AG83" s="645" t="s">
        <v>119</v>
      </c>
    </row>
    <row r="84" spans="1:33" ht="272.45" customHeight="1" x14ac:dyDescent="0.35">
      <c r="A84" s="715">
        <v>56</v>
      </c>
      <c r="B84" s="633" t="s">
        <v>381</v>
      </c>
      <c r="C84" s="642" t="s">
        <v>286</v>
      </c>
      <c r="D84" s="640">
        <v>80101706</v>
      </c>
      <c r="E84" s="641" t="s">
        <v>465</v>
      </c>
      <c r="F84" s="640" t="s">
        <v>61</v>
      </c>
      <c r="G84" s="634">
        <v>1</v>
      </c>
      <c r="H84" s="634" t="s">
        <v>382</v>
      </c>
      <c r="I84" s="637">
        <v>10.5</v>
      </c>
      <c r="J84" s="638" t="s">
        <v>283</v>
      </c>
      <c r="K84" s="634" t="s">
        <v>342</v>
      </c>
      <c r="L84" s="634" t="s">
        <v>378</v>
      </c>
      <c r="M84" s="758">
        <v>69116667</v>
      </c>
      <c r="N84" s="759">
        <v>69116667</v>
      </c>
      <c r="O84" s="634" t="s">
        <v>65</v>
      </c>
      <c r="P84" s="634" t="s">
        <v>66</v>
      </c>
      <c r="Q84" s="781" t="s">
        <v>383</v>
      </c>
      <c r="S84" s="644" t="s">
        <v>1195</v>
      </c>
      <c r="T84" s="645" t="s">
        <v>1196</v>
      </c>
      <c r="U84" s="646">
        <v>44230</v>
      </c>
      <c r="V84" s="645" t="s">
        <v>1197</v>
      </c>
      <c r="W84" s="647" t="s">
        <v>714</v>
      </c>
      <c r="X84" s="773">
        <v>68249999</v>
      </c>
      <c r="Y84" s="775">
        <v>0</v>
      </c>
      <c r="Z84" s="773">
        <v>68249999</v>
      </c>
      <c r="AA84" s="645" t="s">
        <v>1198</v>
      </c>
      <c r="AB84" s="647">
        <v>21321</v>
      </c>
      <c r="AC84" s="645" t="s">
        <v>708</v>
      </c>
      <c r="AD84" s="648">
        <v>44231</v>
      </c>
      <c r="AE84" s="648">
        <v>44550</v>
      </c>
      <c r="AF84" s="645" t="s">
        <v>1199</v>
      </c>
      <c r="AG84" s="645" t="s">
        <v>286</v>
      </c>
    </row>
    <row r="85" spans="1:33" ht="272.45" customHeight="1" x14ac:dyDescent="0.35">
      <c r="A85" s="715">
        <v>57</v>
      </c>
      <c r="B85" s="633" t="s">
        <v>384</v>
      </c>
      <c r="C85" s="642" t="s">
        <v>286</v>
      </c>
      <c r="D85" s="640">
        <v>80101706</v>
      </c>
      <c r="E85" s="641" t="s">
        <v>466</v>
      </c>
      <c r="F85" s="640" t="s">
        <v>61</v>
      </c>
      <c r="G85" s="634">
        <v>1</v>
      </c>
      <c r="H85" s="634" t="s">
        <v>377</v>
      </c>
      <c r="I85" s="637">
        <v>11.5</v>
      </c>
      <c r="J85" s="638" t="s">
        <v>283</v>
      </c>
      <c r="K85" s="634" t="s">
        <v>342</v>
      </c>
      <c r="L85" s="634" t="s">
        <v>378</v>
      </c>
      <c r="M85" s="758">
        <v>96087721</v>
      </c>
      <c r="N85" s="759">
        <v>96087721</v>
      </c>
      <c r="O85" s="634" t="s">
        <v>65</v>
      </c>
      <c r="P85" s="634" t="s">
        <v>66</v>
      </c>
      <c r="Q85" s="781" t="s">
        <v>383</v>
      </c>
      <c r="S85" s="644" t="s">
        <v>758</v>
      </c>
      <c r="T85" s="645" t="s">
        <v>759</v>
      </c>
      <c r="U85" s="646">
        <v>44211</v>
      </c>
      <c r="V85" s="645" t="s">
        <v>760</v>
      </c>
      <c r="W85" s="647" t="s">
        <v>714</v>
      </c>
      <c r="X85" s="770">
        <v>95801747</v>
      </c>
      <c r="Y85" s="772">
        <v>0</v>
      </c>
      <c r="Z85" s="770">
        <v>95801747</v>
      </c>
      <c r="AA85" s="645" t="s">
        <v>761</v>
      </c>
      <c r="AB85" s="647">
        <v>16621</v>
      </c>
      <c r="AC85" s="645" t="s">
        <v>708</v>
      </c>
      <c r="AD85" s="648">
        <v>44212</v>
      </c>
      <c r="AE85" s="648">
        <v>44550</v>
      </c>
      <c r="AF85" s="645" t="s">
        <v>762</v>
      </c>
      <c r="AG85" s="645" t="s">
        <v>286</v>
      </c>
    </row>
    <row r="86" spans="1:33" ht="272.45" customHeight="1" x14ac:dyDescent="0.35">
      <c r="A86" s="715">
        <v>58</v>
      </c>
      <c r="B86" s="633" t="s">
        <v>384</v>
      </c>
      <c r="C86" s="642" t="s">
        <v>286</v>
      </c>
      <c r="D86" s="640">
        <v>80101706</v>
      </c>
      <c r="E86" s="641" t="s">
        <v>467</v>
      </c>
      <c r="F86" s="640" t="s">
        <v>61</v>
      </c>
      <c r="G86" s="634">
        <v>1</v>
      </c>
      <c r="H86" s="634" t="s">
        <v>377</v>
      </c>
      <c r="I86" s="637">
        <v>11.5</v>
      </c>
      <c r="J86" s="638" t="s">
        <v>283</v>
      </c>
      <c r="K86" s="634" t="s">
        <v>342</v>
      </c>
      <c r="L86" s="634" t="s">
        <v>378</v>
      </c>
      <c r="M86" s="758">
        <v>32564224</v>
      </c>
      <c r="N86" s="759">
        <v>32564224</v>
      </c>
      <c r="O86" s="634" t="s">
        <v>65</v>
      </c>
      <c r="P86" s="634" t="s">
        <v>66</v>
      </c>
      <c r="Q86" s="781" t="s">
        <v>383</v>
      </c>
      <c r="S86" s="644" t="s">
        <v>763</v>
      </c>
      <c r="T86" s="645" t="s">
        <v>764</v>
      </c>
      <c r="U86" s="646">
        <v>44210</v>
      </c>
      <c r="V86" s="645" t="s">
        <v>765</v>
      </c>
      <c r="W86" s="647" t="s">
        <v>714</v>
      </c>
      <c r="X86" s="770">
        <v>32564224</v>
      </c>
      <c r="Y86" s="772">
        <v>0</v>
      </c>
      <c r="Z86" s="770">
        <v>32564224</v>
      </c>
      <c r="AA86" s="645" t="s">
        <v>766</v>
      </c>
      <c r="AB86" s="647">
        <v>17821</v>
      </c>
      <c r="AC86" s="645" t="s">
        <v>708</v>
      </c>
      <c r="AD86" s="648">
        <v>44212</v>
      </c>
      <c r="AE86" s="648">
        <v>44550</v>
      </c>
      <c r="AF86" s="645" t="s">
        <v>767</v>
      </c>
      <c r="AG86" s="645" t="s">
        <v>286</v>
      </c>
    </row>
    <row r="87" spans="1:33" ht="272.45" customHeight="1" x14ac:dyDescent="0.35">
      <c r="A87" s="715">
        <v>59</v>
      </c>
      <c r="B87" s="633" t="s">
        <v>384</v>
      </c>
      <c r="C87" s="642" t="s">
        <v>286</v>
      </c>
      <c r="D87" s="640">
        <v>80101706</v>
      </c>
      <c r="E87" s="641" t="s">
        <v>468</v>
      </c>
      <c r="F87" s="640" t="s">
        <v>61</v>
      </c>
      <c r="G87" s="634">
        <v>1</v>
      </c>
      <c r="H87" s="634" t="s">
        <v>377</v>
      </c>
      <c r="I87" s="637">
        <v>11.5</v>
      </c>
      <c r="J87" s="638" t="s">
        <v>283</v>
      </c>
      <c r="K87" s="634" t="s">
        <v>342</v>
      </c>
      <c r="L87" s="634" t="s">
        <v>378</v>
      </c>
      <c r="M87" s="758">
        <v>70943488</v>
      </c>
      <c r="N87" s="759">
        <v>70943488</v>
      </c>
      <c r="O87" s="634" t="s">
        <v>65</v>
      </c>
      <c r="P87" s="634" t="s">
        <v>66</v>
      </c>
      <c r="Q87" s="781" t="s">
        <v>383</v>
      </c>
      <c r="S87" s="644" t="s">
        <v>768</v>
      </c>
      <c r="T87" s="645" t="s">
        <v>769</v>
      </c>
      <c r="U87" s="646">
        <v>44211</v>
      </c>
      <c r="V87" s="645" t="s">
        <v>770</v>
      </c>
      <c r="W87" s="647" t="s">
        <v>714</v>
      </c>
      <c r="X87" s="770">
        <v>70943488</v>
      </c>
      <c r="Y87" s="772">
        <v>0</v>
      </c>
      <c r="Z87" s="770">
        <v>70943488</v>
      </c>
      <c r="AA87" s="645" t="s">
        <v>771</v>
      </c>
      <c r="AB87" s="647">
        <v>17921</v>
      </c>
      <c r="AC87" s="645" t="s">
        <v>708</v>
      </c>
      <c r="AD87" s="648">
        <v>44211</v>
      </c>
      <c r="AE87" s="648">
        <v>44550</v>
      </c>
      <c r="AF87" s="645" t="s">
        <v>772</v>
      </c>
      <c r="AG87" s="645" t="s">
        <v>286</v>
      </c>
    </row>
    <row r="88" spans="1:33" ht="272.45" customHeight="1" x14ac:dyDescent="0.35">
      <c r="A88" s="715">
        <v>60</v>
      </c>
      <c r="B88" s="633" t="s">
        <v>385</v>
      </c>
      <c r="C88" s="642" t="s">
        <v>286</v>
      </c>
      <c r="D88" s="640">
        <v>80101706</v>
      </c>
      <c r="E88" s="641" t="s">
        <v>469</v>
      </c>
      <c r="F88" s="640" t="s">
        <v>61</v>
      </c>
      <c r="G88" s="634">
        <v>1</v>
      </c>
      <c r="H88" s="634" t="s">
        <v>382</v>
      </c>
      <c r="I88" s="637">
        <v>10.5</v>
      </c>
      <c r="J88" s="638" t="s">
        <v>283</v>
      </c>
      <c r="K88" s="634" t="s">
        <v>342</v>
      </c>
      <c r="L88" s="634" t="s">
        <v>362</v>
      </c>
      <c r="M88" s="758">
        <v>59624928</v>
      </c>
      <c r="N88" s="759">
        <v>59624928</v>
      </c>
      <c r="O88" s="634" t="s">
        <v>65</v>
      </c>
      <c r="P88" s="634" t="s">
        <v>66</v>
      </c>
      <c r="Q88" s="781" t="s">
        <v>383</v>
      </c>
      <c r="S88" s="644" t="s">
        <v>1200</v>
      </c>
      <c r="T88" s="645" t="s">
        <v>1201</v>
      </c>
      <c r="U88" s="646">
        <v>44229</v>
      </c>
      <c r="V88" s="645" t="s">
        <v>1202</v>
      </c>
      <c r="W88" s="647" t="s">
        <v>714</v>
      </c>
      <c r="X88" s="773">
        <v>59064192</v>
      </c>
      <c r="Y88" s="775">
        <v>0</v>
      </c>
      <c r="Z88" s="773">
        <v>59064192</v>
      </c>
      <c r="AA88" s="645" t="s">
        <v>1203</v>
      </c>
      <c r="AB88" s="647">
        <v>10821</v>
      </c>
      <c r="AC88" s="645" t="s">
        <v>708</v>
      </c>
      <c r="AD88" s="648">
        <v>44230</v>
      </c>
      <c r="AE88" s="648">
        <v>44550</v>
      </c>
      <c r="AF88" s="645" t="s">
        <v>1199</v>
      </c>
      <c r="AG88" s="645" t="s">
        <v>286</v>
      </c>
    </row>
    <row r="89" spans="1:33" ht="272.45" customHeight="1" x14ac:dyDescent="0.35">
      <c r="A89" s="715">
        <v>61</v>
      </c>
      <c r="B89" s="633" t="s">
        <v>400</v>
      </c>
      <c r="C89" s="642" t="s">
        <v>286</v>
      </c>
      <c r="D89" s="640">
        <v>80101706</v>
      </c>
      <c r="E89" s="641" t="s">
        <v>470</v>
      </c>
      <c r="F89" s="640" t="s">
        <v>61</v>
      </c>
      <c r="G89" s="634">
        <v>1</v>
      </c>
      <c r="H89" s="634" t="s">
        <v>382</v>
      </c>
      <c r="I89" s="637">
        <v>10.5</v>
      </c>
      <c r="J89" s="638" t="s">
        <v>283</v>
      </c>
      <c r="K89" s="634" t="s">
        <v>342</v>
      </c>
      <c r="L89" s="634" t="s">
        <v>362</v>
      </c>
      <c r="M89" s="758">
        <v>59624928</v>
      </c>
      <c r="N89" s="759">
        <v>59624928</v>
      </c>
      <c r="O89" s="634" t="s">
        <v>65</v>
      </c>
      <c r="P89" s="634" t="s">
        <v>66</v>
      </c>
      <c r="Q89" s="781" t="s">
        <v>383</v>
      </c>
      <c r="S89" s="644" t="s">
        <v>1531</v>
      </c>
      <c r="T89" s="645" t="s">
        <v>1532</v>
      </c>
      <c r="U89" s="646">
        <v>44251</v>
      </c>
      <c r="V89" s="645" t="s">
        <v>1533</v>
      </c>
      <c r="W89" s="647" t="s">
        <v>714</v>
      </c>
      <c r="X89" s="770">
        <v>54952128</v>
      </c>
      <c r="Y89" s="772">
        <v>-186912</v>
      </c>
      <c r="Z89" s="770">
        <v>54765216</v>
      </c>
      <c r="AA89" s="645" t="s">
        <v>1534</v>
      </c>
      <c r="AB89" s="647">
        <v>25021</v>
      </c>
      <c r="AC89" s="645" t="s">
        <v>708</v>
      </c>
      <c r="AD89" s="648">
        <v>44253</v>
      </c>
      <c r="AE89" s="648">
        <v>44550</v>
      </c>
      <c r="AF89" s="645" t="s">
        <v>767</v>
      </c>
      <c r="AG89" s="645" t="s">
        <v>286</v>
      </c>
    </row>
    <row r="90" spans="1:33" ht="272.45" customHeight="1" x14ac:dyDescent="0.35">
      <c r="A90" s="715">
        <v>62</v>
      </c>
      <c r="B90" s="633" t="s">
        <v>385</v>
      </c>
      <c r="C90" s="642" t="s">
        <v>286</v>
      </c>
      <c r="D90" s="640">
        <v>80101706</v>
      </c>
      <c r="E90" s="641" t="s">
        <v>471</v>
      </c>
      <c r="F90" s="640" t="s">
        <v>61</v>
      </c>
      <c r="G90" s="634">
        <v>1</v>
      </c>
      <c r="H90" s="634" t="s">
        <v>382</v>
      </c>
      <c r="I90" s="637">
        <v>10.5</v>
      </c>
      <c r="J90" s="638" t="s">
        <v>283</v>
      </c>
      <c r="K90" s="634" t="s">
        <v>342</v>
      </c>
      <c r="L90" s="634" t="s">
        <v>362</v>
      </c>
      <c r="M90" s="758">
        <v>59624928</v>
      </c>
      <c r="N90" s="759">
        <v>59624928</v>
      </c>
      <c r="O90" s="634" t="s">
        <v>65</v>
      </c>
      <c r="P90" s="634" t="s">
        <v>66</v>
      </c>
      <c r="Q90" s="781" t="s">
        <v>383</v>
      </c>
      <c r="S90" s="644" t="s">
        <v>1204</v>
      </c>
      <c r="T90" s="645" t="s">
        <v>1205</v>
      </c>
      <c r="U90" s="646">
        <v>44230</v>
      </c>
      <c r="V90" s="645" t="s">
        <v>1202</v>
      </c>
      <c r="W90" s="647" t="s">
        <v>714</v>
      </c>
      <c r="X90" s="773">
        <v>59064192</v>
      </c>
      <c r="Y90" s="775">
        <v>-9158688</v>
      </c>
      <c r="Z90" s="773">
        <v>49905504</v>
      </c>
      <c r="AA90" s="645" t="s">
        <v>1203</v>
      </c>
      <c r="AB90" s="647">
        <v>11021</v>
      </c>
      <c r="AC90" s="645" t="s">
        <v>708</v>
      </c>
      <c r="AD90" s="648">
        <v>44230</v>
      </c>
      <c r="AE90" s="648">
        <v>44550</v>
      </c>
      <c r="AF90" s="645" t="s">
        <v>1199</v>
      </c>
      <c r="AG90" s="645" t="s">
        <v>286</v>
      </c>
    </row>
    <row r="91" spans="1:33" ht="272.45" customHeight="1" x14ac:dyDescent="0.35">
      <c r="A91" s="715">
        <v>63</v>
      </c>
      <c r="B91" s="633" t="s">
        <v>386</v>
      </c>
      <c r="C91" s="642" t="s">
        <v>286</v>
      </c>
      <c r="D91" s="640">
        <v>80101706</v>
      </c>
      <c r="E91" s="641" t="s">
        <v>472</v>
      </c>
      <c r="F91" s="640" t="s">
        <v>61</v>
      </c>
      <c r="G91" s="634">
        <v>1</v>
      </c>
      <c r="H91" s="634" t="s">
        <v>382</v>
      </c>
      <c r="I91" s="637">
        <v>10.5</v>
      </c>
      <c r="J91" s="638" t="s">
        <v>283</v>
      </c>
      <c r="K91" s="634" t="s">
        <v>342</v>
      </c>
      <c r="L91" s="634" t="s">
        <v>362</v>
      </c>
      <c r="M91" s="758">
        <v>59624928</v>
      </c>
      <c r="N91" s="759">
        <v>59624928</v>
      </c>
      <c r="O91" s="634" t="s">
        <v>65</v>
      </c>
      <c r="P91" s="634" t="s">
        <v>66</v>
      </c>
      <c r="Q91" s="781" t="s">
        <v>383</v>
      </c>
      <c r="S91" s="644" t="s">
        <v>1206</v>
      </c>
      <c r="T91" s="645" t="s">
        <v>1207</v>
      </c>
      <c r="U91" s="646">
        <v>44235</v>
      </c>
      <c r="V91" s="645" t="s">
        <v>1208</v>
      </c>
      <c r="W91" s="647" t="s">
        <v>714</v>
      </c>
      <c r="X91" s="773">
        <v>57942720</v>
      </c>
      <c r="Y91" s="775">
        <v>0</v>
      </c>
      <c r="Z91" s="773">
        <v>57942720</v>
      </c>
      <c r="AA91" s="645" t="s">
        <v>1209</v>
      </c>
      <c r="AB91" s="647">
        <v>11121</v>
      </c>
      <c r="AC91" s="645" t="s">
        <v>708</v>
      </c>
      <c r="AD91" s="648">
        <v>44236</v>
      </c>
      <c r="AE91" s="648">
        <v>44550</v>
      </c>
      <c r="AF91" s="645" t="s">
        <v>767</v>
      </c>
      <c r="AG91" s="645" t="s">
        <v>286</v>
      </c>
    </row>
    <row r="92" spans="1:33" ht="272.45" customHeight="1" x14ac:dyDescent="0.35">
      <c r="A92" s="715">
        <v>64</v>
      </c>
      <c r="B92" s="633" t="s">
        <v>417</v>
      </c>
      <c r="C92" s="642" t="s">
        <v>286</v>
      </c>
      <c r="D92" s="640">
        <v>80101706</v>
      </c>
      <c r="E92" s="641" t="s">
        <v>473</v>
      </c>
      <c r="F92" s="640" t="s">
        <v>61</v>
      </c>
      <c r="G92" s="634">
        <v>1</v>
      </c>
      <c r="H92" s="634" t="s">
        <v>382</v>
      </c>
      <c r="I92" s="637">
        <v>10.5</v>
      </c>
      <c r="J92" s="638" t="s">
        <v>283</v>
      </c>
      <c r="K92" s="634" t="s">
        <v>342</v>
      </c>
      <c r="L92" s="634" t="s">
        <v>378</v>
      </c>
      <c r="M92" s="758">
        <v>69116667</v>
      </c>
      <c r="N92" s="759">
        <v>69116667</v>
      </c>
      <c r="O92" s="634" t="s">
        <v>65</v>
      </c>
      <c r="P92" s="634" t="s">
        <v>66</v>
      </c>
      <c r="Q92" s="781" t="s">
        <v>383</v>
      </c>
      <c r="S92" s="644" t="s">
        <v>1210</v>
      </c>
      <c r="T92" s="645" t="s">
        <v>1211</v>
      </c>
      <c r="U92" s="646">
        <v>44236</v>
      </c>
      <c r="V92" s="645" t="s">
        <v>1212</v>
      </c>
      <c r="W92" s="647" t="s">
        <v>714</v>
      </c>
      <c r="X92" s="773">
        <v>66949999</v>
      </c>
      <c r="Y92" s="775">
        <v>0</v>
      </c>
      <c r="Z92" s="773">
        <v>66949999</v>
      </c>
      <c r="AA92" s="645" t="s">
        <v>1213</v>
      </c>
      <c r="AB92" s="647">
        <v>22521</v>
      </c>
      <c r="AC92" s="645" t="s">
        <v>708</v>
      </c>
      <c r="AD92" s="648">
        <v>44237</v>
      </c>
      <c r="AE92" s="648">
        <v>44550</v>
      </c>
      <c r="AF92" s="645" t="s">
        <v>1214</v>
      </c>
      <c r="AG92" s="645" t="s">
        <v>286</v>
      </c>
    </row>
    <row r="93" spans="1:33" ht="272.45" customHeight="1" x14ac:dyDescent="0.35">
      <c r="A93" s="715">
        <v>65</v>
      </c>
      <c r="B93" s="633" t="s">
        <v>381</v>
      </c>
      <c r="C93" s="642" t="s">
        <v>387</v>
      </c>
      <c r="D93" s="640">
        <v>80101706</v>
      </c>
      <c r="E93" s="641" t="s">
        <v>474</v>
      </c>
      <c r="F93" s="640" t="s">
        <v>61</v>
      </c>
      <c r="G93" s="634">
        <v>1</v>
      </c>
      <c r="H93" s="634" t="s">
        <v>377</v>
      </c>
      <c r="I93" s="637">
        <v>11.5</v>
      </c>
      <c r="J93" s="638" t="s">
        <v>283</v>
      </c>
      <c r="K93" s="634" t="s">
        <v>342</v>
      </c>
      <c r="L93" s="634" t="s">
        <v>378</v>
      </c>
      <c r="M93" s="758">
        <v>116300800</v>
      </c>
      <c r="N93" s="759">
        <v>116300800</v>
      </c>
      <c r="O93" s="634" t="s">
        <v>65</v>
      </c>
      <c r="P93" s="634" t="s">
        <v>66</v>
      </c>
      <c r="Q93" s="781" t="s">
        <v>388</v>
      </c>
      <c r="S93" s="644" t="s">
        <v>773</v>
      </c>
      <c r="T93" s="645" t="s">
        <v>774</v>
      </c>
      <c r="U93" s="646">
        <v>44214</v>
      </c>
      <c r="V93" s="645" t="s">
        <v>775</v>
      </c>
      <c r="W93" s="647" t="s">
        <v>714</v>
      </c>
      <c r="X93" s="770">
        <v>115954667</v>
      </c>
      <c r="Y93" s="772">
        <v>-1038400</v>
      </c>
      <c r="Z93" s="770">
        <v>114916267</v>
      </c>
      <c r="AA93" s="645" t="s">
        <v>776</v>
      </c>
      <c r="AB93" s="647">
        <v>18021</v>
      </c>
      <c r="AC93" s="645" t="s">
        <v>708</v>
      </c>
      <c r="AD93" s="648">
        <v>44216</v>
      </c>
      <c r="AE93" s="648">
        <v>44550</v>
      </c>
      <c r="AF93" s="645" t="s">
        <v>777</v>
      </c>
      <c r="AG93" s="645" t="s">
        <v>778</v>
      </c>
    </row>
    <row r="94" spans="1:33" ht="272.45" customHeight="1" x14ac:dyDescent="0.35">
      <c r="A94" s="715">
        <v>66</v>
      </c>
      <c r="B94" s="633" t="s">
        <v>381</v>
      </c>
      <c r="C94" s="642" t="s">
        <v>387</v>
      </c>
      <c r="D94" s="640">
        <v>80101706</v>
      </c>
      <c r="E94" s="641" t="s">
        <v>475</v>
      </c>
      <c r="F94" s="640" t="s">
        <v>61</v>
      </c>
      <c r="G94" s="634">
        <v>1</v>
      </c>
      <c r="H94" s="634" t="s">
        <v>377</v>
      </c>
      <c r="I94" s="637">
        <v>11.5</v>
      </c>
      <c r="J94" s="638" t="s">
        <v>283</v>
      </c>
      <c r="K94" s="634" t="s">
        <v>342</v>
      </c>
      <c r="L94" s="634" t="s">
        <v>378</v>
      </c>
      <c r="M94" s="758">
        <v>116300800</v>
      </c>
      <c r="N94" s="759">
        <v>116300800</v>
      </c>
      <c r="O94" s="634" t="s">
        <v>65</v>
      </c>
      <c r="P94" s="634" t="s">
        <v>66</v>
      </c>
      <c r="Q94" s="781" t="s">
        <v>388</v>
      </c>
      <c r="S94" s="644" t="s">
        <v>779</v>
      </c>
      <c r="T94" s="645" t="s">
        <v>780</v>
      </c>
      <c r="U94" s="646">
        <v>44210</v>
      </c>
      <c r="V94" s="645" t="s">
        <v>781</v>
      </c>
      <c r="W94" s="647" t="s">
        <v>714</v>
      </c>
      <c r="X94" s="770">
        <v>116300800</v>
      </c>
      <c r="Y94" s="772">
        <v>0</v>
      </c>
      <c r="Z94" s="770">
        <v>116300800</v>
      </c>
      <c r="AA94" s="645" t="s">
        <v>782</v>
      </c>
      <c r="AB94" s="647">
        <v>18121</v>
      </c>
      <c r="AC94" s="645" t="s">
        <v>708</v>
      </c>
      <c r="AD94" s="648">
        <v>44211</v>
      </c>
      <c r="AE94" s="648">
        <v>44550</v>
      </c>
      <c r="AF94" s="645" t="s">
        <v>777</v>
      </c>
      <c r="AG94" s="645" t="s">
        <v>778</v>
      </c>
    </row>
    <row r="95" spans="1:33" ht="272.45" customHeight="1" x14ac:dyDescent="0.35">
      <c r="A95" s="715">
        <v>67</v>
      </c>
      <c r="B95" s="633" t="s">
        <v>389</v>
      </c>
      <c r="C95" s="642" t="s">
        <v>387</v>
      </c>
      <c r="D95" s="640">
        <v>80101706</v>
      </c>
      <c r="E95" s="641" t="s">
        <v>476</v>
      </c>
      <c r="F95" s="640" t="s">
        <v>61</v>
      </c>
      <c r="G95" s="634">
        <v>1</v>
      </c>
      <c r="H95" s="634" t="s">
        <v>377</v>
      </c>
      <c r="I95" s="637">
        <v>11.5</v>
      </c>
      <c r="J95" s="638" t="s">
        <v>283</v>
      </c>
      <c r="K95" s="634" t="s">
        <v>342</v>
      </c>
      <c r="L95" s="634" t="s">
        <v>362</v>
      </c>
      <c r="M95" s="758">
        <v>102019062</v>
      </c>
      <c r="N95" s="759">
        <v>102019062</v>
      </c>
      <c r="O95" s="634" t="s">
        <v>65</v>
      </c>
      <c r="P95" s="634" t="s">
        <v>66</v>
      </c>
      <c r="Q95" s="781" t="s">
        <v>388</v>
      </c>
      <c r="S95" s="644" t="s">
        <v>783</v>
      </c>
      <c r="T95" s="645" t="s">
        <v>784</v>
      </c>
      <c r="U95" s="646">
        <v>44211</v>
      </c>
      <c r="V95" s="645" t="s">
        <v>785</v>
      </c>
      <c r="W95" s="647" t="s">
        <v>714</v>
      </c>
      <c r="X95" s="770">
        <v>102019062</v>
      </c>
      <c r="Y95" s="772">
        <v>0</v>
      </c>
      <c r="Z95" s="770">
        <v>102019062</v>
      </c>
      <c r="AA95" s="645" t="s">
        <v>786</v>
      </c>
      <c r="AB95" s="647">
        <v>11221</v>
      </c>
      <c r="AC95" s="645" t="s">
        <v>708</v>
      </c>
      <c r="AD95" s="648">
        <v>44211</v>
      </c>
      <c r="AE95" s="648">
        <v>44550</v>
      </c>
      <c r="AF95" s="645" t="s">
        <v>777</v>
      </c>
      <c r="AG95" s="645" t="s">
        <v>778</v>
      </c>
    </row>
    <row r="96" spans="1:33" ht="272.45" customHeight="1" x14ac:dyDescent="0.35">
      <c r="A96" s="715">
        <v>68</v>
      </c>
      <c r="B96" s="633" t="s">
        <v>384</v>
      </c>
      <c r="C96" s="642" t="s">
        <v>387</v>
      </c>
      <c r="D96" s="640">
        <v>80101706</v>
      </c>
      <c r="E96" s="641" t="s">
        <v>477</v>
      </c>
      <c r="F96" s="640" t="s">
        <v>61</v>
      </c>
      <c r="G96" s="634">
        <v>1</v>
      </c>
      <c r="H96" s="634" t="s">
        <v>377</v>
      </c>
      <c r="I96" s="637">
        <v>11</v>
      </c>
      <c r="J96" s="638" t="s">
        <v>283</v>
      </c>
      <c r="K96" s="634" t="s">
        <v>342</v>
      </c>
      <c r="L96" s="634" t="s">
        <v>378</v>
      </c>
      <c r="M96" s="758">
        <v>51245040</v>
      </c>
      <c r="N96" s="759">
        <v>51245040</v>
      </c>
      <c r="O96" s="634" t="s">
        <v>65</v>
      </c>
      <c r="P96" s="634" t="s">
        <v>66</v>
      </c>
      <c r="Q96" s="781" t="s">
        <v>388</v>
      </c>
      <c r="S96" s="644" t="s">
        <v>1215</v>
      </c>
      <c r="T96" s="645" t="s">
        <v>1216</v>
      </c>
      <c r="U96" s="646">
        <v>44221</v>
      </c>
      <c r="V96" s="645" t="s">
        <v>1217</v>
      </c>
      <c r="W96" s="647" t="s">
        <v>714</v>
      </c>
      <c r="X96" s="773">
        <v>50622000</v>
      </c>
      <c r="Y96" s="775">
        <v>0</v>
      </c>
      <c r="Z96" s="773">
        <v>50622000</v>
      </c>
      <c r="AA96" s="645" t="s">
        <v>1218</v>
      </c>
      <c r="AB96" s="647">
        <v>20621</v>
      </c>
      <c r="AC96" s="645" t="s">
        <v>708</v>
      </c>
      <c r="AD96" s="648">
        <v>44222</v>
      </c>
      <c r="AE96" s="648">
        <v>44550</v>
      </c>
      <c r="AF96" s="645" t="s">
        <v>777</v>
      </c>
      <c r="AG96" s="645" t="s">
        <v>778</v>
      </c>
    </row>
    <row r="97" spans="1:33" ht="272.45" customHeight="1" x14ac:dyDescent="0.35">
      <c r="A97" s="715">
        <v>69</v>
      </c>
      <c r="B97" s="633" t="s">
        <v>390</v>
      </c>
      <c r="C97" s="642" t="s">
        <v>387</v>
      </c>
      <c r="D97" s="640">
        <v>80101706</v>
      </c>
      <c r="E97" s="641" t="s">
        <v>478</v>
      </c>
      <c r="F97" s="640" t="s">
        <v>61</v>
      </c>
      <c r="G97" s="634">
        <v>1</v>
      </c>
      <c r="H97" s="634" t="s">
        <v>377</v>
      </c>
      <c r="I97" s="637">
        <v>11.5</v>
      </c>
      <c r="J97" s="638" t="s">
        <v>283</v>
      </c>
      <c r="K97" s="634" t="s">
        <v>342</v>
      </c>
      <c r="L97" s="634" t="s">
        <v>362</v>
      </c>
      <c r="M97" s="758">
        <v>90168010</v>
      </c>
      <c r="N97" s="759">
        <v>90168010</v>
      </c>
      <c r="O97" s="634" t="s">
        <v>65</v>
      </c>
      <c r="P97" s="634" t="s">
        <v>66</v>
      </c>
      <c r="Q97" s="781" t="s">
        <v>388</v>
      </c>
      <c r="S97" s="644" t="s">
        <v>787</v>
      </c>
      <c r="T97" s="645" t="s">
        <v>788</v>
      </c>
      <c r="U97" s="646">
        <v>44211</v>
      </c>
      <c r="V97" s="645" t="s">
        <v>789</v>
      </c>
      <c r="W97" s="647" t="s">
        <v>714</v>
      </c>
      <c r="X97" s="770">
        <v>90168008</v>
      </c>
      <c r="Y97" s="772">
        <v>-536715</v>
      </c>
      <c r="Z97" s="770">
        <v>89631293</v>
      </c>
      <c r="AA97" s="645" t="s">
        <v>790</v>
      </c>
      <c r="AB97" s="647">
        <v>11321</v>
      </c>
      <c r="AC97" s="645" t="s">
        <v>708</v>
      </c>
      <c r="AD97" s="648">
        <v>44214</v>
      </c>
      <c r="AE97" s="648">
        <v>44550</v>
      </c>
      <c r="AF97" s="645" t="s">
        <v>777</v>
      </c>
      <c r="AG97" s="645" t="s">
        <v>778</v>
      </c>
    </row>
    <row r="98" spans="1:33" ht="272.45" customHeight="1" x14ac:dyDescent="0.35">
      <c r="A98" s="715">
        <v>70</v>
      </c>
      <c r="B98" s="633" t="s">
        <v>391</v>
      </c>
      <c r="C98" s="642" t="s">
        <v>387</v>
      </c>
      <c r="D98" s="640">
        <v>80101706</v>
      </c>
      <c r="E98" s="641" t="s">
        <v>479</v>
      </c>
      <c r="F98" s="640" t="s">
        <v>61</v>
      </c>
      <c r="G98" s="634">
        <v>1</v>
      </c>
      <c r="H98" s="634" t="s">
        <v>377</v>
      </c>
      <c r="I98" s="637">
        <v>11.5</v>
      </c>
      <c r="J98" s="638" t="s">
        <v>283</v>
      </c>
      <c r="K98" s="634" t="s">
        <v>342</v>
      </c>
      <c r="L98" s="634" t="s">
        <v>362</v>
      </c>
      <c r="M98" s="758">
        <v>90168010</v>
      </c>
      <c r="N98" s="759">
        <v>90168010</v>
      </c>
      <c r="O98" s="634" t="s">
        <v>65</v>
      </c>
      <c r="P98" s="634" t="s">
        <v>66</v>
      </c>
      <c r="Q98" s="781" t="s">
        <v>388</v>
      </c>
      <c r="S98" s="644" t="s">
        <v>791</v>
      </c>
      <c r="T98" s="645" t="s">
        <v>792</v>
      </c>
      <c r="U98" s="646">
        <v>44210</v>
      </c>
      <c r="V98" s="645" t="s">
        <v>793</v>
      </c>
      <c r="W98" s="647" t="s">
        <v>714</v>
      </c>
      <c r="X98" s="770">
        <v>90168008</v>
      </c>
      <c r="Y98" s="772">
        <v>2</v>
      </c>
      <c r="Z98" s="770">
        <v>90168010</v>
      </c>
      <c r="AA98" s="645" t="s">
        <v>794</v>
      </c>
      <c r="AB98" s="647">
        <v>11421</v>
      </c>
      <c r="AC98" s="645" t="s">
        <v>708</v>
      </c>
      <c r="AD98" s="648">
        <v>44211</v>
      </c>
      <c r="AE98" s="648">
        <v>44550</v>
      </c>
      <c r="AF98" s="645" t="s">
        <v>777</v>
      </c>
      <c r="AG98" s="645" t="s">
        <v>778</v>
      </c>
    </row>
    <row r="99" spans="1:33" ht="272.45" customHeight="1" x14ac:dyDescent="0.35">
      <c r="A99" s="715">
        <v>71</v>
      </c>
      <c r="B99" s="633" t="s">
        <v>384</v>
      </c>
      <c r="C99" s="642" t="s">
        <v>387</v>
      </c>
      <c r="D99" s="640">
        <v>80101706</v>
      </c>
      <c r="E99" s="641" t="s">
        <v>480</v>
      </c>
      <c r="F99" s="640" t="s">
        <v>61</v>
      </c>
      <c r="G99" s="634">
        <v>1</v>
      </c>
      <c r="H99" s="634" t="s">
        <v>377</v>
      </c>
      <c r="I99" s="637">
        <v>11.5</v>
      </c>
      <c r="J99" s="638" t="s">
        <v>283</v>
      </c>
      <c r="K99" s="634" t="s">
        <v>342</v>
      </c>
      <c r="L99" s="634" t="s">
        <v>378</v>
      </c>
      <c r="M99" s="758">
        <v>102019062</v>
      </c>
      <c r="N99" s="759">
        <v>102019062</v>
      </c>
      <c r="O99" s="634" t="s">
        <v>65</v>
      </c>
      <c r="P99" s="634" t="s">
        <v>66</v>
      </c>
      <c r="Q99" s="781" t="s">
        <v>388</v>
      </c>
      <c r="S99" s="644" t="s">
        <v>795</v>
      </c>
      <c r="T99" s="645" t="s">
        <v>796</v>
      </c>
      <c r="U99" s="646">
        <v>44211</v>
      </c>
      <c r="V99" s="645" t="s">
        <v>797</v>
      </c>
      <c r="W99" s="647" t="s">
        <v>714</v>
      </c>
      <c r="X99" s="770">
        <v>101715435</v>
      </c>
      <c r="Y99" s="772">
        <v>-303628</v>
      </c>
      <c r="Z99" s="770">
        <v>101411807</v>
      </c>
      <c r="AA99" s="645" t="s">
        <v>798</v>
      </c>
      <c r="AB99" s="647">
        <v>18221</v>
      </c>
      <c r="AC99" s="645" t="s">
        <v>708</v>
      </c>
      <c r="AD99" s="648">
        <v>44214</v>
      </c>
      <c r="AE99" s="648">
        <v>44550</v>
      </c>
      <c r="AF99" s="645" t="s">
        <v>777</v>
      </c>
      <c r="AG99" s="645" t="s">
        <v>778</v>
      </c>
    </row>
    <row r="100" spans="1:33" ht="272.45" customHeight="1" x14ac:dyDescent="0.35">
      <c r="A100" s="715">
        <v>72</v>
      </c>
      <c r="B100" s="633" t="s">
        <v>376</v>
      </c>
      <c r="C100" s="642" t="s">
        <v>387</v>
      </c>
      <c r="D100" s="640">
        <v>80101706</v>
      </c>
      <c r="E100" s="641" t="s">
        <v>481</v>
      </c>
      <c r="F100" s="640" t="s">
        <v>61</v>
      </c>
      <c r="G100" s="634">
        <v>1</v>
      </c>
      <c r="H100" s="634" t="s">
        <v>377</v>
      </c>
      <c r="I100" s="637">
        <v>11</v>
      </c>
      <c r="J100" s="638" t="s">
        <v>283</v>
      </c>
      <c r="K100" s="634" t="s">
        <v>342</v>
      </c>
      <c r="L100" s="634" t="s">
        <v>378</v>
      </c>
      <c r="M100" s="758">
        <v>81555936</v>
      </c>
      <c r="N100" s="759">
        <v>81555936</v>
      </c>
      <c r="O100" s="634" t="s">
        <v>65</v>
      </c>
      <c r="P100" s="634" t="s">
        <v>66</v>
      </c>
      <c r="Q100" s="781" t="s">
        <v>388</v>
      </c>
      <c r="S100" s="644" t="s">
        <v>1219</v>
      </c>
      <c r="T100" s="645" t="s">
        <v>1220</v>
      </c>
      <c r="U100" s="646">
        <v>44221</v>
      </c>
      <c r="V100" s="645" t="s">
        <v>1221</v>
      </c>
      <c r="W100" s="647" t="s">
        <v>714</v>
      </c>
      <c r="X100" s="770">
        <v>80320240</v>
      </c>
      <c r="Y100" s="772">
        <v>0</v>
      </c>
      <c r="Z100" s="770">
        <v>80320240</v>
      </c>
      <c r="AA100" s="645" t="s">
        <v>1222</v>
      </c>
      <c r="AB100" s="647">
        <v>23921</v>
      </c>
      <c r="AC100" s="645" t="s">
        <v>708</v>
      </c>
      <c r="AD100" s="648">
        <v>44222</v>
      </c>
      <c r="AE100" s="648">
        <v>44550</v>
      </c>
      <c r="AF100" s="645" t="s">
        <v>777</v>
      </c>
      <c r="AG100" s="645" t="s">
        <v>778</v>
      </c>
    </row>
    <row r="101" spans="1:33" ht="272.45" customHeight="1" x14ac:dyDescent="0.35">
      <c r="A101" s="715">
        <v>73</v>
      </c>
      <c r="B101" s="633" t="s">
        <v>381</v>
      </c>
      <c r="C101" s="642" t="s">
        <v>387</v>
      </c>
      <c r="D101" s="640">
        <v>80101706</v>
      </c>
      <c r="E101" s="641" t="s">
        <v>482</v>
      </c>
      <c r="F101" s="640" t="s">
        <v>61</v>
      </c>
      <c r="G101" s="634">
        <v>1</v>
      </c>
      <c r="H101" s="634" t="s">
        <v>377</v>
      </c>
      <c r="I101" s="637">
        <v>11</v>
      </c>
      <c r="J101" s="638" t="s">
        <v>283</v>
      </c>
      <c r="K101" s="634" t="s">
        <v>342</v>
      </c>
      <c r="L101" s="634" t="s">
        <v>378</v>
      </c>
      <c r="M101" s="758">
        <v>28729067</v>
      </c>
      <c r="N101" s="759">
        <v>28729067</v>
      </c>
      <c r="O101" s="634" t="s">
        <v>65</v>
      </c>
      <c r="P101" s="634" t="s">
        <v>66</v>
      </c>
      <c r="Q101" s="781" t="s">
        <v>388</v>
      </c>
      <c r="S101" s="644" t="s">
        <v>1223</v>
      </c>
      <c r="T101" s="645" t="s">
        <v>1224</v>
      </c>
      <c r="U101" s="646">
        <v>44218</v>
      </c>
      <c r="V101" s="645" t="s">
        <v>1225</v>
      </c>
      <c r="W101" s="647" t="s">
        <v>714</v>
      </c>
      <c r="X101" s="770">
        <v>28209867</v>
      </c>
      <c r="Y101" s="772">
        <v>0</v>
      </c>
      <c r="Z101" s="770">
        <v>28209867</v>
      </c>
      <c r="AA101" s="645" t="s">
        <v>1226</v>
      </c>
      <c r="AB101" s="647">
        <v>16721</v>
      </c>
      <c r="AC101" s="645" t="s">
        <v>708</v>
      </c>
      <c r="AD101" s="648">
        <v>44219</v>
      </c>
      <c r="AE101" s="648">
        <v>44550</v>
      </c>
      <c r="AF101" s="645" t="s">
        <v>777</v>
      </c>
      <c r="AG101" s="645" t="s">
        <v>778</v>
      </c>
    </row>
    <row r="102" spans="1:33" ht="272.45" customHeight="1" x14ac:dyDescent="0.35">
      <c r="A102" s="715">
        <v>74</v>
      </c>
      <c r="B102" s="633" t="s">
        <v>391</v>
      </c>
      <c r="C102" s="642" t="s">
        <v>387</v>
      </c>
      <c r="D102" s="640">
        <v>80101706</v>
      </c>
      <c r="E102" s="641" t="s">
        <v>483</v>
      </c>
      <c r="F102" s="640" t="s">
        <v>61</v>
      </c>
      <c r="G102" s="634">
        <v>1</v>
      </c>
      <c r="H102" s="634" t="s">
        <v>377</v>
      </c>
      <c r="I102" s="637">
        <v>11</v>
      </c>
      <c r="J102" s="638" t="s">
        <v>283</v>
      </c>
      <c r="K102" s="634" t="s">
        <v>342</v>
      </c>
      <c r="L102" s="634" t="s">
        <v>362</v>
      </c>
      <c r="M102" s="759">
        <v>88557867</v>
      </c>
      <c r="N102" s="759">
        <v>88557867</v>
      </c>
      <c r="O102" s="634" t="s">
        <v>65</v>
      </c>
      <c r="P102" s="634" t="s">
        <v>66</v>
      </c>
      <c r="Q102" s="781" t="s">
        <v>388</v>
      </c>
      <c r="S102" s="644" t="s">
        <v>1227</v>
      </c>
      <c r="T102" s="645" t="s">
        <v>1228</v>
      </c>
      <c r="U102" s="646">
        <v>44225</v>
      </c>
      <c r="V102" s="645" t="s">
        <v>1229</v>
      </c>
      <c r="W102" s="647" t="s">
        <v>714</v>
      </c>
      <c r="X102" s="770">
        <v>85874293</v>
      </c>
      <c r="Y102" s="772">
        <v>0</v>
      </c>
      <c r="Z102" s="770">
        <v>85874293</v>
      </c>
      <c r="AA102" s="645" t="s">
        <v>1230</v>
      </c>
      <c r="AB102" s="647">
        <v>11521</v>
      </c>
      <c r="AC102" s="645" t="s">
        <v>1231</v>
      </c>
      <c r="AD102" s="648">
        <v>44228</v>
      </c>
      <c r="AE102" s="648">
        <v>44550</v>
      </c>
      <c r="AF102" s="645" t="s">
        <v>777</v>
      </c>
      <c r="AG102" s="645" t="s">
        <v>778</v>
      </c>
    </row>
    <row r="103" spans="1:33" ht="272.45" customHeight="1" x14ac:dyDescent="0.35">
      <c r="A103" s="715">
        <v>75</v>
      </c>
      <c r="B103" s="633" t="s">
        <v>390</v>
      </c>
      <c r="C103" s="642" t="s">
        <v>387</v>
      </c>
      <c r="D103" s="640">
        <v>80101706</v>
      </c>
      <c r="E103" s="641" t="s">
        <v>484</v>
      </c>
      <c r="F103" s="640" t="s">
        <v>61</v>
      </c>
      <c r="G103" s="634">
        <v>1</v>
      </c>
      <c r="H103" s="634" t="s">
        <v>377</v>
      </c>
      <c r="I103" s="637">
        <v>11</v>
      </c>
      <c r="J103" s="638" t="s">
        <v>283</v>
      </c>
      <c r="K103" s="634" t="s">
        <v>342</v>
      </c>
      <c r="L103" s="634" t="s">
        <v>362</v>
      </c>
      <c r="M103" s="758">
        <v>88557867</v>
      </c>
      <c r="N103" s="759">
        <v>88557867</v>
      </c>
      <c r="O103" s="634" t="s">
        <v>65</v>
      </c>
      <c r="P103" s="634" t="s">
        <v>66</v>
      </c>
      <c r="Q103" s="781" t="s">
        <v>388</v>
      </c>
      <c r="S103" s="644" t="s">
        <v>1232</v>
      </c>
      <c r="T103" s="645" t="s">
        <v>1233</v>
      </c>
      <c r="U103" s="646">
        <v>44222</v>
      </c>
      <c r="V103" s="645" t="s">
        <v>1234</v>
      </c>
      <c r="W103" s="647" t="s">
        <v>714</v>
      </c>
      <c r="X103" s="770">
        <v>86947721</v>
      </c>
      <c r="Y103" s="772">
        <v>0</v>
      </c>
      <c r="Z103" s="770">
        <v>86947721</v>
      </c>
      <c r="AA103" s="645" t="s">
        <v>1235</v>
      </c>
      <c r="AB103" s="647">
        <v>11621</v>
      </c>
      <c r="AC103" s="645" t="s">
        <v>708</v>
      </c>
      <c r="AD103" s="648">
        <v>44224</v>
      </c>
      <c r="AE103" s="648">
        <v>44550</v>
      </c>
      <c r="AF103" s="645" t="s">
        <v>777</v>
      </c>
      <c r="AG103" s="645" t="s">
        <v>778</v>
      </c>
    </row>
    <row r="104" spans="1:33" ht="272.45" customHeight="1" x14ac:dyDescent="0.35">
      <c r="A104" s="715">
        <v>76</v>
      </c>
      <c r="B104" s="633" t="s">
        <v>391</v>
      </c>
      <c r="C104" s="642" t="s">
        <v>387</v>
      </c>
      <c r="D104" s="640">
        <v>80101706</v>
      </c>
      <c r="E104" s="641" t="s">
        <v>485</v>
      </c>
      <c r="F104" s="640" t="s">
        <v>61</v>
      </c>
      <c r="G104" s="634">
        <v>1</v>
      </c>
      <c r="H104" s="634" t="s">
        <v>377</v>
      </c>
      <c r="I104" s="637">
        <v>11</v>
      </c>
      <c r="J104" s="638" t="s">
        <v>283</v>
      </c>
      <c r="K104" s="634" t="s">
        <v>342</v>
      </c>
      <c r="L104" s="634" t="s">
        <v>362</v>
      </c>
      <c r="M104" s="759">
        <v>66249920</v>
      </c>
      <c r="N104" s="759">
        <v>66249920</v>
      </c>
      <c r="O104" s="634" t="s">
        <v>65</v>
      </c>
      <c r="P104" s="634" t="s">
        <v>66</v>
      </c>
      <c r="Q104" s="781" t="s">
        <v>388</v>
      </c>
      <c r="S104" s="644" t="s">
        <v>1236</v>
      </c>
      <c r="T104" s="645" t="s">
        <v>1237</v>
      </c>
      <c r="U104" s="646">
        <v>44221</v>
      </c>
      <c r="V104" s="645" t="s">
        <v>1238</v>
      </c>
      <c r="W104" s="647" t="s">
        <v>714</v>
      </c>
      <c r="X104" s="770">
        <v>65246134</v>
      </c>
      <c r="Y104" s="772">
        <v>0</v>
      </c>
      <c r="Z104" s="770">
        <v>65246134</v>
      </c>
      <c r="AA104" s="645" t="s">
        <v>1239</v>
      </c>
      <c r="AB104" s="647">
        <v>11721</v>
      </c>
      <c r="AC104" s="645" t="s">
        <v>708</v>
      </c>
      <c r="AD104" s="648">
        <v>44222</v>
      </c>
      <c r="AE104" s="648">
        <v>44550</v>
      </c>
      <c r="AF104" s="645" t="s">
        <v>777</v>
      </c>
      <c r="AG104" s="645" t="s">
        <v>778</v>
      </c>
    </row>
    <row r="105" spans="1:33" ht="272.45" customHeight="1" x14ac:dyDescent="0.35">
      <c r="A105" s="715">
        <v>77</v>
      </c>
      <c r="B105" s="633" t="s">
        <v>391</v>
      </c>
      <c r="C105" s="642" t="s">
        <v>387</v>
      </c>
      <c r="D105" s="640">
        <v>80101706</v>
      </c>
      <c r="E105" s="641" t="s">
        <v>486</v>
      </c>
      <c r="F105" s="640" t="s">
        <v>61</v>
      </c>
      <c r="G105" s="634">
        <v>1</v>
      </c>
      <c r="H105" s="634" t="s">
        <v>377</v>
      </c>
      <c r="I105" s="637">
        <v>11</v>
      </c>
      <c r="J105" s="638" t="s">
        <v>283</v>
      </c>
      <c r="K105" s="634" t="s">
        <v>342</v>
      </c>
      <c r="L105" s="634" t="s">
        <v>362</v>
      </c>
      <c r="M105" s="758">
        <v>88557867</v>
      </c>
      <c r="N105" s="759">
        <v>88557867</v>
      </c>
      <c r="O105" s="634" t="s">
        <v>65</v>
      </c>
      <c r="P105" s="634" t="s">
        <v>66</v>
      </c>
      <c r="Q105" s="781" t="s">
        <v>388</v>
      </c>
      <c r="S105" s="644" t="s">
        <v>1240</v>
      </c>
      <c r="T105" s="645" t="s">
        <v>1241</v>
      </c>
      <c r="U105" s="646">
        <v>44221</v>
      </c>
      <c r="V105" s="645" t="s">
        <v>1242</v>
      </c>
      <c r="W105" s="647" t="s">
        <v>714</v>
      </c>
      <c r="X105" s="770">
        <v>87216078</v>
      </c>
      <c r="Y105" s="772">
        <v>0</v>
      </c>
      <c r="Z105" s="770">
        <v>87216078</v>
      </c>
      <c r="AA105" s="645" t="s">
        <v>1243</v>
      </c>
      <c r="AB105" s="647">
        <v>11821</v>
      </c>
      <c r="AC105" s="645" t="s">
        <v>708</v>
      </c>
      <c r="AD105" s="648">
        <v>44222</v>
      </c>
      <c r="AE105" s="648">
        <v>44550</v>
      </c>
      <c r="AF105" s="645" t="s">
        <v>777</v>
      </c>
      <c r="AG105" s="645" t="s">
        <v>778</v>
      </c>
    </row>
    <row r="106" spans="1:33" ht="272.45" customHeight="1" x14ac:dyDescent="0.35">
      <c r="A106" s="715">
        <v>78</v>
      </c>
      <c r="B106" s="633" t="s">
        <v>391</v>
      </c>
      <c r="C106" s="642" t="s">
        <v>387</v>
      </c>
      <c r="D106" s="640">
        <v>80101706</v>
      </c>
      <c r="E106" s="641" t="s">
        <v>487</v>
      </c>
      <c r="F106" s="640" t="s">
        <v>61</v>
      </c>
      <c r="G106" s="634">
        <v>1</v>
      </c>
      <c r="H106" s="634" t="s">
        <v>377</v>
      </c>
      <c r="I106" s="637">
        <v>11</v>
      </c>
      <c r="J106" s="638" t="s">
        <v>283</v>
      </c>
      <c r="K106" s="634" t="s">
        <v>342</v>
      </c>
      <c r="L106" s="634" t="s">
        <v>362</v>
      </c>
      <c r="M106" s="758">
        <v>66249920</v>
      </c>
      <c r="N106" s="759">
        <v>66249920</v>
      </c>
      <c r="O106" s="634" t="s">
        <v>65</v>
      </c>
      <c r="P106" s="634" t="s">
        <v>66</v>
      </c>
      <c r="Q106" s="781" t="s">
        <v>388</v>
      </c>
      <c r="S106" s="644" t="s">
        <v>1244</v>
      </c>
      <c r="T106" s="645" t="s">
        <v>1245</v>
      </c>
      <c r="U106" s="646">
        <v>44221</v>
      </c>
      <c r="V106" s="645" t="s">
        <v>1246</v>
      </c>
      <c r="W106" s="647" t="s">
        <v>714</v>
      </c>
      <c r="X106" s="770">
        <v>65246133</v>
      </c>
      <c r="Y106" s="772">
        <v>0</v>
      </c>
      <c r="Z106" s="770">
        <v>65246133</v>
      </c>
      <c r="AA106" s="645" t="s">
        <v>1247</v>
      </c>
      <c r="AB106" s="647">
        <v>11921</v>
      </c>
      <c r="AC106" s="645" t="s">
        <v>708</v>
      </c>
      <c r="AD106" s="648">
        <v>44224</v>
      </c>
      <c r="AE106" s="648">
        <v>44550</v>
      </c>
      <c r="AF106" s="645" t="s">
        <v>777</v>
      </c>
      <c r="AG106" s="645" t="s">
        <v>778</v>
      </c>
    </row>
    <row r="107" spans="1:33" ht="272.45" customHeight="1" x14ac:dyDescent="0.35">
      <c r="A107" s="715">
        <v>79</v>
      </c>
      <c r="B107" s="633" t="s">
        <v>391</v>
      </c>
      <c r="C107" s="642" t="s">
        <v>387</v>
      </c>
      <c r="D107" s="640">
        <v>80101706</v>
      </c>
      <c r="E107" s="641" t="s">
        <v>488</v>
      </c>
      <c r="F107" s="640" t="s">
        <v>61</v>
      </c>
      <c r="G107" s="634">
        <v>1</v>
      </c>
      <c r="H107" s="634" t="s">
        <v>377</v>
      </c>
      <c r="I107" s="637">
        <v>11</v>
      </c>
      <c r="J107" s="638" t="s">
        <v>283</v>
      </c>
      <c r="K107" s="634" t="s">
        <v>342</v>
      </c>
      <c r="L107" s="634" t="s">
        <v>362</v>
      </c>
      <c r="M107" s="758">
        <v>31982720</v>
      </c>
      <c r="N107" s="759">
        <v>31982720</v>
      </c>
      <c r="O107" s="634" t="s">
        <v>65</v>
      </c>
      <c r="P107" s="634" t="s">
        <v>66</v>
      </c>
      <c r="Q107" s="781" t="s">
        <v>388</v>
      </c>
      <c r="S107" s="644" t="s">
        <v>1248</v>
      </c>
      <c r="T107" s="645" t="s">
        <v>1249</v>
      </c>
      <c r="U107" s="646">
        <v>44231</v>
      </c>
      <c r="V107" s="645" t="s">
        <v>1250</v>
      </c>
      <c r="W107" s="647" t="s">
        <v>714</v>
      </c>
      <c r="X107" s="770">
        <v>30432042</v>
      </c>
      <c r="Y107" s="772">
        <v>0</v>
      </c>
      <c r="Z107" s="770">
        <v>30432042</v>
      </c>
      <c r="AA107" s="645" t="s">
        <v>1251</v>
      </c>
      <c r="AB107" s="647">
        <v>12021</v>
      </c>
      <c r="AC107" s="645" t="s">
        <v>708</v>
      </c>
      <c r="AD107" s="648">
        <v>44232</v>
      </c>
      <c r="AE107" s="648">
        <v>44550</v>
      </c>
      <c r="AF107" s="645" t="s">
        <v>777</v>
      </c>
      <c r="AG107" s="645" t="s">
        <v>778</v>
      </c>
    </row>
    <row r="108" spans="1:33" ht="272.45" customHeight="1" x14ac:dyDescent="0.35">
      <c r="A108" s="715">
        <v>80</v>
      </c>
      <c r="B108" s="633" t="s">
        <v>392</v>
      </c>
      <c r="C108" s="642" t="s">
        <v>387</v>
      </c>
      <c r="D108" s="640">
        <v>80101706</v>
      </c>
      <c r="E108" s="641" t="s">
        <v>489</v>
      </c>
      <c r="F108" s="640" t="s">
        <v>61</v>
      </c>
      <c r="G108" s="634">
        <v>1</v>
      </c>
      <c r="H108" s="634" t="s">
        <v>377</v>
      </c>
      <c r="I108" s="637">
        <v>11</v>
      </c>
      <c r="J108" s="638" t="s">
        <v>283</v>
      </c>
      <c r="K108" s="634" t="s">
        <v>342</v>
      </c>
      <c r="L108" s="634" t="s">
        <v>362</v>
      </c>
      <c r="M108" s="758">
        <v>66249920</v>
      </c>
      <c r="N108" s="759">
        <v>66249920</v>
      </c>
      <c r="O108" s="634" t="s">
        <v>65</v>
      </c>
      <c r="P108" s="634" t="s">
        <v>66</v>
      </c>
      <c r="Q108" s="781" t="s">
        <v>388</v>
      </c>
      <c r="S108" s="644" t="s">
        <v>1252</v>
      </c>
      <c r="T108" s="645" t="s">
        <v>1253</v>
      </c>
      <c r="U108" s="646">
        <v>44221</v>
      </c>
      <c r="V108" s="645" t="s">
        <v>1254</v>
      </c>
      <c r="W108" s="647" t="s">
        <v>714</v>
      </c>
      <c r="X108" s="770">
        <v>65246133</v>
      </c>
      <c r="Y108" s="772">
        <v>0</v>
      </c>
      <c r="Z108" s="770">
        <v>65246133</v>
      </c>
      <c r="AA108" s="645" t="s">
        <v>1247</v>
      </c>
      <c r="AB108" s="647">
        <v>12121</v>
      </c>
      <c r="AC108" s="645" t="s">
        <v>708</v>
      </c>
      <c r="AD108" s="648">
        <v>44222</v>
      </c>
      <c r="AE108" s="648">
        <v>44550</v>
      </c>
      <c r="AF108" s="645" t="s">
        <v>777</v>
      </c>
      <c r="AG108" s="645" t="s">
        <v>778</v>
      </c>
    </row>
    <row r="109" spans="1:33" ht="272.45" customHeight="1" x14ac:dyDescent="0.35">
      <c r="A109" s="715">
        <v>81</v>
      </c>
      <c r="B109" s="633" t="s">
        <v>391</v>
      </c>
      <c r="C109" s="642" t="s">
        <v>387</v>
      </c>
      <c r="D109" s="640">
        <v>80101706</v>
      </c>
      <c r="E109" s="641" t="s">
        <v>490</v>
      </c>
      <c r="F109" s="640" t="s">
        <v>61</v>
      </c>
      <c r="G109" s="634">
        <v>1</v>
      </c>
      <c r="H109" s="634" t="s">
        <v>377</v>
      </c>
      <c r="I109" s="637">
        <v>11</v>
      </c>
      <c r="J109" s="638" t="s">
        <v>283</v>
      </c>
      <c r="K109" s="634" t="s">
        <v>342</v>
      </c>
      <c r="L109" s="634" t="s">
        <v>362</v>
      </c>
      <c r="M109" s="758">
        <v>58120040</v>
      </c>
      <c r="N109" s="758">
        <v>58120040</v>
      </c>
      <c r="O109" s="634" t="s">
        <v>65</v>
      </c>
      <c r="P109" s="634" t="s">
        <v>66</v>
      </c>
      <c r="Q109" s="781" t="s">
        <v>388</v>
      </c>
      <c r="S109" s="644" t="s">
        <v>1255</v>
      </c>
      <c r="T109" s="645" t="s">
        <v>1256</v>
      </c>
      <c r="U109" s="646">
        <v>44230</v>
      </c>
      <c r="V109" s="645" t="s">
        <v>1257</v>
      </c>
      <c r="W109" s="647" t="s">
        <v>714</v>
      </c>
      <c r="X109" s="770">
        <v>55478219</v>
      </c>
      <c r="Y109" s="772">
        <v>0</v>
      </c>
      <c r="Z109" s="770">
        <v>55478219</v>
      </c>
      <c r="AA109" s="645" t="s">
        <v>1198</v>
      </c>
      <c r="AB109" s="647">
        <v>12221</v>
      </c>
      <c r="AC109" s="645" t="s">
        <v>708</v>
      </c>
      <c r="AD109" s="648">
        <v>44231</v>
      </c>
      <c r="AE109" s="648">
        <v>44550</v>
      </c>
      <c r="AF109" s="645" t="s">
        <v>777</v>
      </c>
      <c r="AG109" s="645" t="s">
        <v>778</v>
      </c>
    </row>
    <row r="110" spans="1:33" ht="272.45" customHeight="1" x14ac:dyDescent="0.35">
      <c r="A110" s="715">
        <v>82</v>
      </c>
      <c r="B110" s="633" t="s">
        <v>391</v>
      </c>
      <c r="C110" s="642" t="s">
        <v>387</v>
      </c>
      <c r="D110" s="640">
        <v>80101706</v>
      </c>
      <c r="E110" s="641" t="s">
        <v>491</v>
      </c>
      <c r="F110" s="640" t="s">
        <v>61</v>
      </c>
      <c r="G110" s="634">
        <v>1</v>
      </c>
      <c r="H110" s="634" t="s">
        <v>377</v>
      </c>
      <c r="I110" s="637">
        <v>11</v>
      </c>
      <c r="J110" s="638" t="s">
        <v>283</v>
      </c>
      <c r="K110" s="634" t="s">
        <v>342</v>
      </c>
      <c r="L110" s="634" t="s">
        <v>362</v>
      </c>
      <c r="M110" s="758">
        <v>58120040</v>
      </c>
      <c r="N110" s="758">
        <v>58120040</v>
      </c>
      <c r="O110" s="634" t="s">
        <v>65</v>
      </c>
      <c r="P110" s="634" t="s">
        <v>66</v>
      </c>
      <c r="Q110" s="781" t="s">
        <v>388</v>
      </c>
      <c r="S110" s="644" t="s">
        <v>1258</v>
      </c>
      <c r="T110" s="645" t="s">
        <v>1259</v>
      </c>
      <c r="U110" s="646">
        <v>44230</v>
      </c>
      <c r="V110" s="645" t="s">
        <v>1260</v>
      </c>
      <c r="W110" s="647" t="s">
        <v>714</v>
      </c>
      <c r="X110" s="770">
        <v>55478219</v>
      </c>
      <c r="Y110" s="772">
        <v>0</v>
      </c>
      <c r="Z110" s="770">
        <v>55478219</v>
      </c>
      <c r="AA110" s="645" t="s">
        <v>1261</v>
      </c>
      <c r="AB110" s="647">
        <v>12321</v>
      </c>
      <c r="AC110" s="645" t="s">
        <v>708</v>
      </c>
      <c r="AD110" s="648">
        <v>44231</v>
      </c>
      <c r="AE110" s="648">
        <v>44550</v>
      </c>
      <c r="AF110" s="645" t="s">
        <v>777</v>
      </c>
      <c r="AG110" s="645" t="s">
        <v>778</v>
      </c>
    </row>
    <row r="111" spans="1:33" ht="272.45" customHeight="1" x14ac:dyDescent="0.35">
      <c r="A111" s="715">
        <v>83</v>
      </c>
      <c r="B111" s="633" t="s">
        <v>391</v>
      </c>
      <c r="C111" s="642" t="s">
        <v>387</v>
      </c>
      <c r="D111" s="640">
        <v>80101706</v>
      </c>
      <c r="E111" s="641" t="s">
        <v>492</v>
      </c>
      <c r="F111" s="640" t="s">
        <v>61</v>
      </c>
      <c r="G111" s="634">
        <v>1</v>
      </c>
      <c r="H111" s="634" t="s">
        <v>377</v>
      </c>
      <c r="I111" s="637">
        <v>11</v>
      </c>
      <c r="J111" s="638" t="s">
        <v>283</v>
      </c>
      <c r="K111" s="634" t="s">
        <v>342</v>
      </c>
      <c r="L111" s="634" t="s">
        <v>362</v>
      </c>
      <c r="M111" s="758">
        <v>58120040</v>
      </c>
      <c r="N111" s="758">
        <v>58120040</v>
      </c>
      <c r="O111" s="634" t="s">
        <v>65</v>
      </c>
      <c r="P111" s="634" t="s">
        <v>66</v>
      </c>
      <c r="Q111" s="781" t="s">
        <v>388</v>
      </c>
      <c r="S111" s="644" t="s">
        <v>1262</v>
      </c>
      <c r="T111" s="645" t="s">
        <v>1263</v>
      </c>
      <c r="U111" s="646">
        <v>44225</v>
      </c>
      <c r="V111" s="645" t="s">
        <v>1264</v>
      </c>
      <c r="W111" s="647" t="s">
        <v>714</v>
      </c>
      <c r="X111" s="770">
        <v>56358826</v>
      </c>
      <c r="Y111" s="772">
        <v>0</v>
      </c>
      <c r="Z111" s="770">
        <v>56358826</v>
      </c>
      <c r="AA111" s="645" t="s">
        <v>1265</v>
      </c>
      <c r="AB111" s="647">
        <v>12421</v>
      </c>
      <c r="AC111" s="645" t="s">
        <v>1231</v>
      </c>
      <c r="AD111" s="648">
        <v>44228</v>
      </c>
      <c r="AE111" s="648">
        <v>44550</v>
      </c>
      <c r="AF111" s="645" t="s">
        <v>777</v>
      </c>
      <c r="AG111" s="645" t="s">
        <v>778</v>
      </c>
    </row>
    <row r="112" spans="1:33" ht="272.45" customHeight="1" x14ac:dyDescent="0.35">
      <c r="A112" s="715">
        <v>84</v>
      </c>
      <c r="B112" s="633" t="s">
        <v>391</v>
      </c>
      <c r="C112" s="642" t="s">
        <v>387</v>
      </c>
      <c r="D112" s="640">
        <v>80101706</v>
      </c>
      <c r="E112" s="641" t="s">
        <v>493</v>
      </c>
      <c r="F112" s="640" t="s">
        <v>61</v>
      </c>
      <c r="G112" s="634">
        <v>1</v>
      </c>
      <c r="H112" s="634" t="s">
        <v>377</v>
      </c>
      <c r="I112" s="637">
        <v>11</v>
      </c>
      <c r="J112" s="638" t="s">
        <v>283</v>
      </c>
      <c r="K112" s="634" t="s">
        <v>342</v>
      </c>
      <c r="L112" s="634" t="s">
        <v>362</v>
      </c>
      <c r="M112" s="758">
        <v>58120040</v>
      </c>
      <c r="N112" s="758">
        <v>58120040</v>
      </c>
      <c r="O112" s="634" t="s">
        <v>65</v>
      </c>
      <c r="P112" s="634" t="s">
        <v>66</v>
      </c>
      <c r="Q112" s="781" t="s">
        <v>388</v>
      </c>
      <c r="S112" s="644" t="s">
        <v>1266</v>
      </c>
      <c r="T112" s="645" t="s">
        <v>1267</v>
      </c>
      <c r="U112" s="646">
        <v>44231</v>
      </c>
      <c r="V112" s="645" t="s">
        <v>1268</v>
      </c>
      <c r="W112" s="647" t="s">
        <v>714</v>
      </c>
      <c r="X112" s="770">
        <v>55302098</v>
      </c>
      <c r="Y112" s="772">
        <v>0</v>
      </c>
      <c r="Z112" s="770">
        <v>55302098</v>
      </c>
      <c r="AA112" s="645" t="s">
        <v>1269</v>
      </c>
      <c r="AB112" s="647">
        <v>12521</v>
      </c>
      <c r="AC112" s="645" t="s">
        <v>708</v>
      </c>
      <c r="AD112" s="648">
        <v>44232</v>
      </c>
      <c r="AE112" s="648">
        <v>44550</v>
      </c>
      <c r="AF112" s="645" t="s">
        <v>777</v>
      </c>
      <c r="AG112" s="645" t="s">
        <v>778</v>
      </c>
    </row>
    <row r="113" spans="1:33" ht="272.45" customHeight="1" x14ac:dyDescent="0.35">
      <c r="A113" s="715">
        <v>85</v>
      </c>
      <c r="B113" s="633" t="s">
        <v>381</v>
      </c>
      <c r="C113" s="642" t="s">
        <v>1468</v>
      </c>
      <c r="D113" s="640">
        <v>80101706</v>
      </c>
      <c r="E113" s="641" t="s">
        <v>494</v>
      </c>
      <c r="F113" s="640" t="s">
        <v>61</v>
      </c>
      <c r="G113" s="634">
        <v>1</v>
      </c>
      <c r="H113" s="634" t="s">
        <v>91</v>
      </c>
      <c r="I113" s="637">
        <v>11</v>
      </c>
      <c r="J113" s="638" t="s">
        <v>283</v>
      </c>
      <c r="K113" s="634" t="s">
        <v>342</v>
      </c>
      <c r="L113" s="634" t="s">
        <v>378</v>
      </c>
      <c r="M113" s="758">
        <v>55969760</v>
      </c>
      <c r="N113" s="759">
        <v>55969760</v>
      </c>
      <c r="O113" s="634" t="s">
        <v>65</v>
      </c>
      <c r="P113" s="634" t="s">
        <v>66</v>
      </c>
      <c r="Q113" s="781" t="s">
        <v>388</v>
      </c>
      <c r="S113" s="644" t="s">
        <v>1527</v>
      </c>
      <c r="T113" s="645" t="s">
        <v>1528</v>
      </c>
      <c r="U113" s="646">
        <v>44256</v>
      </c>
      <c r="V113" s="645" t="s">
        <v>1529</v>
      </c>
      <c r="W113" s="647" t="s">
        <v>714</v>
      </c>
      <c r="X113" s="770">
        <v>53166667</v>
      </c>
      <c r="Y113" s="772">
        <v>-733333</v>
      </c>
      <c r="Z113" s="770">
        <f>SUM(X113+Y113)</f>
        <v>52433334</v>
      </c>
      <c r="AA113" s="645" t="s">
        <v>1530</v>
      </c>
      <c r="AB113" s="647">
        <v>25321</v>
      </c>
      <c r="AC113" s="645" t="s">
        <v>708</v>
      </c>
      <c r="AD113" s="648">
        <v>44261</v>
      </c>
      <c r="AE113" s="648">
        <v>44550</v>
      </c>
      <c r="AF113" s="645" t="s">
        <v>1008</v>
      </c>
      <c r="AG113" s="645" t="s">
        <v>118</v>
      </c>
    </row>
    <row r="114" spans="1:33" ht="272.45" customHeight="1" x14ac:dyDescent="0.35">
      <c r="A114" s="715">
        <v>86</v>
      </c>
      <c r="B114" s="633" t="s">
        <v>381</v>
      </c>
      <c r="C114" s="642" t="s">
        <v>387</v>
      </c>
      <c r="D114" s="640">
        <v>80101706</v>
      </c>
      <c r="E114" s="641" t="s">
        <v>495</v>
      </c>
      <c r="F114" s="640" t="s">
        <v>61</v>
      </c>
      <c r="G114" s="634">
        <v>1</v>
      </c>
      <c r="H114" s="634" t="s">
        <v>377</v>
      </c>
      <c r="I114" s="637">
        <v>11</v>
      </c>
      <c r="J114" s="638" t="s">
        <v>283</v>
      </c>
      <c r="K114" s="634" t="s">
        <v>342</v>
      </c>
      <c r="L114" s="634" t="s">
        <v>378</v>
      </c>
      <c r="M114" s="758">
        <v>66382420</v>
      </c>
      <c r="N114" s="759">
        <v>66382420</v>
      </c>
      <c r="O114" s="634" t="s">
        <v>65</v>
      </c>
      <c r="P114" s="634" t="s">
        <v>66</v>
      </c>
      <c r="Q114" s="781" t="s">
        <v>388</v>
      </c>
      <c r="S114" s="644" t="s">
        <v>1270</v>
      </c>
      <c r="T114" s="645" t="s">
        <v>1271</v>
      </c>
      <c r="U114" s="646">
        <v>44229</v>
      </c>
      <c r="V114" s="645" t="s">
        <v>1272</v>
      </c>
      <c r="W114" s="647" t="s">
        <v>714</v>
      </c>
      <c r="X114" s="770">
        <v>63566191</v>
      </c>
      <c r="Y114" s="772">
        <v>-58336062</v>
      </c>
      <c r="Z114" s="770">
        <f>SUM(X114+Y114)</f>
        <v>5230129</v>
      </c>
      <c r="AA114" s="645" t="s">
        <v>1273</v>
      </c>
      <c r="AB114" s="647">
        <v>25221</v>
      </c>
      <c r="AC114" s="645" t="s">
        <v>708</v>
      </c>
      <c r="AD114" s="648">
        <v>44230</v>
      </c>
      <c r="AE114" s="648">
        <v>44550</v>
      </c>
      <c r="AF114" s="645" t="s">
        <v>777</v>
      </c>
      <c r="AG114" s="645" t="s">
        <v>778</v>
      </c>
    </row>
    <row r="115" spans="1:33" ht="272.45" customHeight="1" x14ac:dyDescent="0.35">
      <c r="A115" s="715">
        <v>87</v>
      </c>
      <c r="B115" s="633" t="s">
        <v>381</v>
      </c>
      <c r="C115" s="642" t="s">
        <v>387</v>
      </c>
      <c r="D115" s="640">
        <v>80101706</v>
      </c>
      <c r="E115" s="641" t="s">
        <v>496</v>
      </c>
      <c r="F115" s="640" t="s">
        <v>61</v>
      </c>
      <c r="G115" s="634">
        <v>1</v>
      </c>
      <c r="H115" s="634" t="s">
        <v>377</v>
      </c>
      <c r="I115" s="637">
        <v>11</v>
      </c>
      <c r="J115" s="638" t="s">
        <v>283</v>
      </c>
      <c r="K115" s="634" t="s">
        <v>342</v>
      </c>
      <c r="L115" s="634" t="s">
        <v>378</v>
      </c>
      <c r="M115" s="758">
        <v>66382420</v>
      </c>
      <c r="N115" s="759">
        <v>66382420</v>
      </c>
      <c r="O115" s="634" t="s">
        <v>65</v>
      </c>
      <c r="P115" s="634" t="s">
        <v>66</v>
      </c>
      <c r="Q115" s="781" t="s">
        <v>388</v>
      </c>
      <c r="S115" s="644" t="s">
        <v>1274</v>
      </c>
      <c r="T115" s="645" t="s">
        <v>1275</v>
      </c>
      <c r="U115" s="646">
        <v>44229</v>
      </c>
      <c r="V115" s="645" t="s">
        <v>1276</v>
      </c>
      <c r="W115" s="647" t="s">
        <v>714</v>
      </c>
      <c r="X115" s="770">
        <v>63566191</v>
      </c>
      <c r="Y115" s="772">
        <v>0</v>
      </c>
      <c r="Z115" s="770">
        <v>63566191</v>
      </c>
      <c r="AA115" s="645" t="s">
        <v>1273</v>
      </c>
      <c r="AB115" s="647">
        <v>25121</v>
      </c>
      <c r="AC115" s="645" t="s">
        <v>708</v>
      </c>
      <c r="AD115" s="648">
        <v>44230</v>
      </c>
      <c r="AE115" s="648">
        <v>44550</v>
      </c>
      <c r="AF115" s="645" t="s">
        <v>777</v>
      </c>
      <c r="AG115" s="645" t="s">
        <v>778</v>
      </c>
    </row>
    <row r="116" spans="1:33" ht="272.45" customHeight="1" x14ac:dyDescent="0.35">
      <c r="A116" s="715">
        <v>88</v>
      </c>
      <c r="B116" s="633" t="s">
        <v>393</v>
      </c>
      <c r="C116" s="642" t="s">
        <v>303</v>
      </c>
      <c r="D116" s="640">
        <v>80101706</v>
      </c>
      <c r="E116" s="641" t="s">
        <v>497</v>
      </c>
      <c r="F116" s="640" t="s">
        <v>61</v>
      </c>
      <c r="G116" s="634">
        <v>1</v>
      </c>
      <c r="H116" s="634" t="s">
        <v>382</v>
      </c>
      <c r="I116" s="637">
        <v>10.5</v>
      </c>
      <c r="J116" s="638" t="s">
        <v>283</v>
      </c>
      <c r="K116" s="634" t="s">
        <v>342</v>
      </c>
      <c r="L116" s="634" t="s">
        <v>362</v>
      </c>
      <c r="M116" s="758">
        <v>85605938</v>
      </c>
      <c r="N116" s="759">
        <v>85605938</v>
      </c>
      <c r="O116" s="634" t="s">
        <v>65</v>
      </c>
      <c r="P116" s="634" t="s">
        <v>66</v>
      </c>
      <c r="Q116" s="781" t="s">
        <v>394</v>
      </c>
      <c r="S116" s="644" t="s">
        <v>1277</v>
      </c>
      <c r="T116" s="645" t="s">
        <v>1278</v>
      </c>
      <c r="U116" s="646">
        <v>44239</v>
      </c>
      <c r="V116" s="645" t="s">
        <v>1279</v>
      </c>
      <c r="W116" s="647" t="s">
        <v>714</v>
      </c>
      <c r="X116" s="770">
        <v>81580578</v>
      </c>
      <c r="Y116" s="772">
        <v>0</v>
      </c>
      <c r="Z116" s="770">
        <v>81580578</v>
      </c>
      <c r="AA116" s="645" t="s">
        <v>1280</v>
      </c>
      <c r="AB116" s="647">
        <v>12621</v>
      </c>
      <c r="AC116" s="645" t="s">
        <v>708</v>
      </c>
      <c r="AD116" s="648">
        <v>44242</v>
      </c>
      <c r="AE116" s="648">
        <v>44550</v>
      </c>
      <c r="AF116" s="645" t="s">
        <v>1281</v>
      </c>
      <c r="AG116" s="645" t="s">
        <v>303</v>
      </c>
    </row>
    <row r="117" spans="1:33" ht="272.45" customHeight="1" x14ac:dyDescent="0.35">
      <c r="A117" s="715">
        <v>89</v>
      </c>
      <c r="B117" s="633" t="s">
        <v>393</v>
      </c>
      <c r="C117" s="642" t="s">
        <v>303</v>
      </c>
      <c r="D117" s="640">
        <v>80101706</v>
      </c>
      <c r="E117" s="641" t="s">
        <v>498</v>
      </c>
      <c r="F117" s="640" t="s">
        <v>61</v>
      </c>
      <c r="G117" s="634">
        <v>1</v>
      </c>
      <c r="H117" s="634" t="s">
        <v>377</v>
      </c>
      <c r="I117" s="637">
        <v>11</v>
      </c>
      <c r="J117" s="638" t="s">
        <v>283</v>
      </c>
      <c r="K117" s="634" t="s">
        <v>342</v>
      </c>
      <c r="L117" s="634" t="s">
        <v>362</v>
      </c>
      <c r="M117" s="758">
        <v>69676640</v>
      </c>
      <c r="N117" s="759">
        <v>69676640</v>
      </c>
      <c r="O117" s="634" t="s">
        <v>65</v>
      </c>
      <c r="P117" s="634" t="s">
        <v>66</v>
      </c>
      <c r="Q117" s="781" t="s">
        <v>394</v>
      </c>
      <c r="S117" s="644" t="s">
        <v>1282</v>
      </c>
      <c r="T117" s="645" t="s">
        <v>1283</v>
      </c>
      <c r="U117" s="646">
        <v>44218</v>
      </c>
      <c r="V117" s="645" t="s">
        <v>1284</v>
      </c>
      <c r="W117" s="647" t="s">
        <v>714</v>
      </c>
      <c r="X117" s="770">
        <v>68832075</v>
      </c>
      <c r="Y117" s="772">
        <v>0</v>
      </c>
      <c r="Z117" s="770">
        <v>68832075</v>
      </c>
      <c r="AA117" s="645" t="s">
        <v>1285</v>
      </c>
      <c r="AB117" s="647">
        <v>12721</v>
      </c>
      <c r="AC117" s="645" t="s">
        <v>708</v>
      </c>
      <c r="AD117" s="648">
        <v>44219</v>
      </c>
      <c r="AE117" s="648">
        <v>44550</v>
      </c>
      <c r="AF117" s="645" t="s">
        <v>803</v>
      </c>
      <c r="AG117" s="645" t="s">
        <v>303</v>
      </c>
    </row>
    <row r="118" spans="1:33" ht="272.45" customHeight="1" x14ac:dyDescent="0.35">
      <c r="A118" s="715">
        <v>90</v>
      </c>
      <c r="B118" s="633" t="s">
        <v>379</v>
      </c>
      <c r="C118" s="642" t="s">
        <v>303</v>
      </c>
      <c r="D118" s="640">
        <v>80101706</v>
      </c>
      <c r="E118" s="641" t="s">
        <v>499</v>
      </c>
      <c r="F118" s="640" t="s">
        <v>61</v>
      </c>
      <c r="G118" s="634">
        <v>1</v>
      </c>
      <c r="H118" s="634" t="s">
        <v>382</v>
      </c>
      <c r="I118" s="637">
        <v>10</v>
      </c>
      <c r="J118" s="638" t="s">
        <v>283</v>
      </c>
      <c r="K118" s="634" t="s">
        <v>342</v>
      </c>
      <c r="L118" s="634" t="s">
        <v>378</v>
      </c>
      <c r="M118" s="758">
        <v>27943344</v>
      </c>
      <c r="N118" s="759">
        <v>27943344</v>
      </c>
      <c r="O118" s="634" t="s">
        <v>65</v>
      </c>
      <c r="P118" s="634" t="s">
        <v>66</v>
      </c>
      <c r="Q118" s="781" t="s">
        <v>394</v>
      </c>
      <c r="S118" s="644" t="s">
        <v>1286</v>
      </c>
      <c r="T118" s="645" t="s">
        <v>1287</v>
      </c>
      <c r="U118" s="646">
        <v>44242</v>
      </c>
      <c r="V118" s="645" t="s">
        <v>1288</v>
      </c>
      <c r="W118" s="647" t="s">
        <v>714</v>
      </c>
      <c r="X118" s="770">
        <v>27943344</v>
      </c>
      <c r="Y118" s="772">
        <v>0</v>
      </c>
      <c r="Z118" s="770">
        <v>27943344</v>
      </c>
      <c r="AA118" s="645" t="s">
        <v>1289</v>
      </c>
      <c r="AB118" s="647">
        <v>21621</v>
      </c>
      <c r="AC118" s="645" t="s">
        <v>1290</v>
      </c>
      <c r="AD118" s="648">
        <v>44243</v>
      </c>
      <c r="AE118" s="648">
        <v>44546</v>
      </c>
      <c r="AF118" s="645" t="s">
        <v>1291</v>
      </c>
      <c r="AG118" s="645" t="s">
        <v>303</v>
      </c>
    </row>
    <row r="119" spans="1:33" ht="272.45" customHeight="1" x14ac:dyDescent="0.35">
      <c r="A119" s="715">
        <v>91</v>
      </c>
      <c r="B119" s="633" t="s">
        <v>384</v>
      </c>
      <c r="C119" s="642" t="s">
        <v>303</v>
      </c>
      <c r="D119" s="640">
        <v>80101706</v>
      </c>
      <c r="E119" s="641" t="s">
        <v>500</v>
      </c>
      <c r="F119" s="640" t="s">
        <v>61</v>
      </c>
      <c r="G119" s="634">
        <v>1</v>
      </c>
      <c r="H119" s="634" t="s">
        <v>377</v>
      </c>
      <c r="I119" s="637">
        <v>11.5</v>
      </c>
      <c r="J119" s="638" t="s">
        <v>283</v>
      </c>
      <c r="K119" s="634" t="s">
        <v>342</v>
      </c>
      <c r="L119" s="634" t="s">
        <v>378</v>
      </c>
      <c r="M119" s="758">
        <v>32029240</v>
      </c>
      <c r="N119" s="759">
        <v>32029240</v>
      </c>
      <c r="O119" s="634" t="s">
        <v>65</v>
      </c>
      <c r="P119" s="634" t="s">
        <v>66</v>
      </c>
      <c r="Q119" s="781" t="s">
        <v>394</v>
      </c>
      <c r="S119" s="644" t="s">
        <v>799</v>
      </c>
      <c r="T119" s="645" t="s">
        <v>800</v>
      </c>
      <c r="U119" s="646">
        <v>44211</v>
      </c>
      <c r="V119" s="645" t="s">
        <v>801</v>
      </c>
      <c r="W119" s="647" t="s">
        <v>714</v>
      </c>
      <c r="X119" s="770">
        <v>31743258</v>
      </c>
      <c r="Y119" s="772">
        <v>0</v>
      </c>
      <c r="Z119" s="770">
        <v>31743258</v>
      </c>
      <c r="AA119" s="645" t="s">
        <v>802</v>
      </c>
      <c r="AB119" s="647">
        <v>18321</v>
      </c>
      <c r="AC119" s="645" t="s">
        <v>708</v>
      </c>
      <c r="AD119" s="648">
        <v>44212</v>
      </c>
      <c r="AE119" s="648">
        <v>44550</v>
      </c>
      <c r="AF119" s="645" t="s">
        <v>803</v>
      </c>
      <c r="AG119" s="645" t="s">
        <v>303</v>
      </c>
    </row>
    <row r="120" spans="1:33" ht="272.45" customHeight="1" x14ac:dyDescent="0.35">
      <c r="A120" s="715">
        <v>92</v>
      </c>
      <c r="B120" s="633" t="s">
        <v>393</v>
      </c>
      <c r="C120" s="642" t="s">
        <v>303</v>
      </c>
      <c r="D120" s="640">
        <v>80101706</v>
      </c>
      <c r="E120" s="641" t="s">
        <v>502</v>
      </c>
      <c r="F120" s="640" t="s">
        <v>61</v>
      </c>
      <c r="G120" s="634">
        <v>1</v>
      </c>
      <c r="H120" s="634" t="s">
        <v>377</v>
      </c>
      <c r="I120" s="637">
        <v>11</v>
      </c>
      <c r="J120" s="638" t="s">
        <v>283</v>
      </c>
      <c r="K120" s="634" t="s">
        <v>342</v>
      </c>
      <c r="L120" s="634" t="s">
        <v>362</v>
      </c>
      <c r="M120" s="758">
        <v>88557867</v>
      </c>
      <c r="N120" s="759">
        <v>88557867</v>
      </c>
      <c r="O120" s="634" t="s">
        <v>65</v>
      </c>
      <c r="P120" s="634" t="s">
        <v>66</v>
      </c>
      <c r="Q120" s="781" t="s">
        <v>394</v>
      </c>
      <c r="S120" s="644" t="s">
        <v>1292</v>
      </c>
      <c r="T120" s="645" t="s">
        <v>1293</v>
      </c>
      <c r="U120" s="646">
        <v>44221</v>
      </c>
      <c r="V120" s="645" t="s">
        <v>1294</v>
      </c>
      <c r="W120" s="647" t="s">
        <v>714</v>
      </c>
      <c r="X120" s="770">
        <v>87216078</v>
      </c>
      <c r="Y120" s="772">
        <v>0</v>
      </c>
      <c r="Z120" s="770">
        <v>87216078</v>
      </c>
      <c r="AA120" s="645" t="s">
        <v>1295</v>
      </c>
      <c r="AB120" s="647">
        <v>16221</v>
      </c>
      <c r="AC120" s="645" t="s">
        <v>708</v>
      </c>
      <c r="AD120" s="648">
        <v>44222</v>
      </c>
      <c r="AE120" s="648">
        <v>44550</v>
      </c>
      <c r="AF120" s="645" t="s">
        <v>1296</v>
      </c>
      <c r="AG120" s="645" t="s">
        <v>303</v>
      </c>
    </row>
    <row r="121" spans="1:33" ht="272.45" customHeight="1" x14ac:dyDescent="0.35">
      <c r="A121" s="715">
        <v>93</v>
      </c>
      <c r="B121" s="633" t="s">
        <v>381</v>
      </c>
      <c r="C121" s="642" t="s">
        <v>303</v>
      </c>
      <c r="D121" s="640">
        <v>80101706</v>
      </c>
      <c r="E121" s="641" t="s">
        <v>501</v>
      </c>
      <c r="F121" s="640" t="s">
        <v>61</v>
      </c>
      <c r="G121" s="634">
        <v>1</v>
      </c>
      <c r="H121" s="634" t="s">
        <v>382</v>
      </c>
      <c r="I121" s="637">
        <v>10.5</v>
      </c>
      <c r="J121" s="638" t="s">
        <v>283</v>
      </c>
      <c r="K121" s="634" t="s">
        <v>342</v>
      </c>
      <c r="L121" s="634" t="s">
        <v>378</v>
      </c>
      <c r="M121" s="758">
        <v>85605938</v>
      </c>
      <c r="N121" s="759">
        <v>85605938</v>
      </c>
      <c r="O121" s="634" t="s">
        <v>65</v>
      </c>
      <c r="P121" s="634" t="s">
        <v>66</v>
      </c>
      <c r="Q121" s="781" t="s">
        <v>394</v>
      </c>
      <c r="S121" s="644" t="s">
        <v>1297</v>
      </c>
      <c r="T121" s="645" t="s">
        <v>1298</v>
      </c>
      <c r="U121" s="646">
        <v>44236</v>
      </c>
      <c r="V121" s="645" t="s">
        <v>1299</v>
      </c>
      <c r="W121" s="647" t="s">
        <v>714</v>
      </c>
      <c r="X121" s="770">
        <v>82922364</v>
      </c>
      <c r="Y121" s="772">
        <v>0</v>
      </c>
      <c r="Z121" s="770">
        <v>82922364</v>
      </c>
      <c r="AA121" s="645" t="s">
        <v>1300</v>
      </c>
      <c r="AB121" s="647">
        <v>21421</v>
      </c>
      <c r="AC121" s="645" t="s">
        <v>708</v>
      </c>
      <c r="AD121" s="648">
        <v>44237</v>
      </c>
      <c r="AE121" s="648">
        <v>44550</v>
      </c>
      <c r="AF121" s="645" t="s">
        <v>1301</v>
      </c>
      <c r="AG121" s="645" t="s">
        <v>303</v>
      </c>
    </row>
    <row r="122" spans="1:33" ht="272.45" customHeight="1" x14ac:dyDescent="0.35">
      <c r="A122" s="715">
        <v>94</v>
      </c>
      <c r="B122" s="790" t="s">
        <v>379</v>
      </c>
      <c r="C122" s="795" t="s">
        <v>303</v>
      </c>
      <c r="D122" s="796">
        <v>80101706</v>
      </c>
      <c r="E122" s="797" t="s">
        <v>503</v>
      </c>
      <c r="F122" s="796" t="s">
        <v>61</v>
      </c>
      <c r="G122" s="791">
        <v>1</v>
      </c>
      <c r="H122" s="791" t="s">
        <v>1302</v>
      </c>
      <c r="I122" s="792">
        <v>9</v>
      </c>
      <c r="J122" s="798" t="s">
        <v>283</v>
      </c>
      <c r="K122" s="791" t="s">
        <v>342</v>
      </c>
      <c r="L122" s="791" t="s">
        <v>378</v>
      </c>
      <c r="M122" s="793"/>
      <c r="N122" s="794"/>
      <c r="O122" s="791" t="s">
        <v>65</v>
      </c>
      <c r="P122" s="791" t="s">
        <v>66</v>
      </c>
      <c r="Q122" s="823" t="s">
        <v>394</v>
      </c>
      <c r="S122" s="673" t="s">
        <v>1547</v>
      </c>
      <c r="T122" s="674" t="s">
        <v>1548</v>
      </c>
      <c r="U122" s="959">
        <v>44273</v>
      </c>
      <c r="V122" s="674" t="s">
        <v>1549</v>
      </c>
      <c r="W122" s="675" t="s">
        <v>714</v>
      </c>
      <c r="X122" s="799">
        <v>38412493</v>
      </c>
      <c r="Y122" s="800">
        <v>-38412493</v>
      </c>
      <c r="Z122" s="799"/>
      <c r="AA122" s="674" t="s">
        <v>1550</v>
      </c>
      <c r="AB122" s="675">
        <v>27221</v>
      </c>
      <c r="AC122" s="674" t="s">
        <v>708</v>
      </c>
      <c r="AD122" s="676">
        <v>44274</v>
      </c>
      <c r="AE122" s="676">
        <v>44550</v>
      </c>
      <c r="AF122" s="674" t="s">
        <v>803</v>
      </c>
      <c r="AG122" s="674" t="s">
        <v>303</v>
      </c>
    </row>
    <row r="123" spans="1:33" ht="272.45" customHeight="1" x14ac:dyDescent="0.35">
      <c r="A123" s="715">
        <v>95</v>
      </c>
      <c r="B123" s="633" t="s">
        <v>395</v>
      </c>
      <c r="C123" s="633" t="s">
        <v>367</v>
      </c>
      <c r="D123" s="640">
        <v>80101706</v>
      </c>
      <c r="E123" s="641" t="s">
        <v>504</v>
      </c>
      <c r="F123" s="640" t="s">
        <v>61</v>
      </c>
      <c r="G123" s="634">
        <v>1</v>
      </c>
      <c r="H123" s="634" t="s">
        <v>91</v>
      </c>
      <c r="I123" s="637">
        <v>11.4</v>
      </c>
      <c r="J123" s="638" t="s">
        <v>92</v>
      </c>
      <c r="K123" s="634" t="s">
        <v>100</v>
      </c>
      <c r="L123" s="634" t="s">
        <v>396</v>
      </c>
      <c r="M123" s="758">
        <v>58174629</v>
      </c>
      <c r="N123" s="759">
        <v>58174629</v>
      </c>
      <c r="O123" s="634" t="s">
        <v>65</v>
      </c>
      <c r="P123" s="634" t="s">
        <v>66</v>
      </c>
      <c r="Q123" s="781" t="s">
        <v>397</v>
      </c>
      <c r="S123" s="644" t="s">
        <v>804</v>
      </c>
      <c r="T123" s="645" t="s">
        <v>805</v>
      </c>
      <c r="U123" s="646">
        <v>44203</v>
      </c>
      <c r="V123" s="645" t="s">
        <v>806</v>
      </c>
      <c r="W123" s="647" t="s">
        <v>714</v>
      </c>
      <c r="X123" s="770">
        <v>58174629</v>
      </c>
      <c r="Y123" s="772">
        <v>0</v>
      </c>
      <c r="Z123" s="770">
        <v>58174629</v>
      </c>
      <c r="AA123" s="645" t="s">
        <v>807</v>
      </c>
      <c r="AB123" s="647">
        <v>2421</v>
      </c>
      <c r="AC123" s="645" t="s">
        <v>708</v>
      </c>
      <c r="AD123" s="648">
        <v>44204</v>
      </c>
      <c r="AE123" s="648">
        <v>44550</v>
      </c>
      <c r="AF123" s="645" t="s">
        <v>808</v>
      </c>
      <c r="AG123" s="645" t="s">
        <v>809</v>
      </c>
    </row>
    <row r="124" spans="1:33" ht="272.45" customHeight="1" x14ac:dyDescent="0.35">
      <c r="A124" s="715">
        <v>96</v>
      </c>
      <c r="B124" s="633" t="s">
        <v>398</v>
      </c>
      <c r="C124" s="633" t="s">
        <v>367</v>
      </c>
      <c r="D124" s="640">
        <v>80101706</v>
      </c>
      <c r="E124" s="641" t="s">
        <v>505</v>
      </c>
      <c r="F124" s="640" t="s">
        <v>61</v>
      </c>
      <c r="G124" s="634">
        <v>1</v>
      </c>
      <c r="H124" s="634" t="s">
        <v>91</v>
      </c>
      <c r="I124" s="637">
        <v>11.4</v>
      </c>
      <c r="J124" s="638" t="s">
        <v>92</v>
      </c>
      <c r="K124" s="634" t="s">
        <v>100</v>
      </c>
      <c r="L124" s="634" t="s">
        <v>396</v>
      </c>
      <c r="M124" s="758">
        <v>79924817</v>
      </c>
      <c r="N124" s="759">
        <v>79924817</v>
      </c>
      <c r="O124" s="634" t="s">
        <v>65</v>
      </c>
      <c r="P124" s="634" t="s">
        <v>66</v>
      </c>
      <c r="Q124" s="781" t="s">
        <v>397</v>
      </c>
      <c r="S124" s="644" t="s">
        <v>810</v>
      </c>
      <c r="T124" s="645" t="s">
        <v>811</v>
      </c>
      <c r="U124" s="646">
        <v>44203</v>
      </c>
      <c r="V124" s="645" t="s">
        <v>812</v>
      </c>
      <c r="W124" s="647" t="s">
        <v>714</v>
      </c>
      <c r="X124" s="770">
        <v>79924808</v>
      </c>
      <c r="Y124" s="772">
        <v>0</v>
      </c>
      <c r="Z124" s="770">
        <v>79924808</v>
      </c>
      <c r="AA124" s="645" t="s">
        <v>813</v>
      </c>
      <c r="AB124" s="647">
        <v>2521</v>
      </c>
      <c r="AC124" s="645" t="s">
        <v>708</v>
      </c>
      <c r="AD124" s="648">
        <v>44205</v>
      </c>
      <c r="AE124" s="648">
        <v>44550</v>
      </c>
      <c r="AF124" s="645" t="s">
        <v>814</v>
      </c>
      <c r="AG124" s="645" t="s">
        <v>809</v>
      </c>
    </row>
    <row r="125" spans="1:33" s="25" customFormat="1" ht="272.45" customHeight="1" x14ac:dyDescent="0.35">
      <c r="A125" s="715">
        <v>97</v>
      </c>
      <c r="B125" s="633" t="s">
        <v>398</v>
      </c>
      <c r="C125" s="633" t="s">
        <v>367</v>
      </c>
      <c r="D125" s="640">
        <v>80101706</v>
      </c>
      <c r="E125" s="641" t="s">
        <v>506</v>
      </c>
      <c r="F125" s="640" t="s">
        <v>61</v>
      </c>
      <c r="G125" s="634">
        <v>1</v>
      </c>
      <c r="H125" s="634" t="s">
        <v>91</v>
      </c>
      <c r="I125" s="637">
        <v>11.2</v>
      </c>
      <c r="J125" s="638" t="s">
        <v>92</v>
      </c>
      <c r="K125" s="634" t="s">
        <v>100</v>
      </c>
      <c r="L125" s="634" t="s">
        <v>396</v>
      </c>
      <c r="M125" s="758">
        <v>57156997</v>
      </c>
      <c r="N125" s="759">
        <v>57156997</v>
      </c>
      <c r="O125" s="634" t="s">
        <v>65</v>
      </c>
      <c r="P125" s="634" t="s">
        <v>66</v>
      </c>
      <c r="Q125" s="781" t="s">
        <v>397</v>
      </c>
      <c r="R125" s="24"/>
      <c r="S125" s="644" t="s">
        <v>815</v>
      </c>
      <c r="T125" s="645" t="s">
        <v>816</v>
      </c>
      <c r="U125" s="646">
        <v>44209</v>
      </c>
      <c r="V125" s="645" t="s">
        <v>817</v>
      </c>
      <c r="W125" s="647" t="s">
        <v>714</v>
      </c>
      <c r="X125" s="770">
        <v>57156997</v>
      </c>
      <c r="Y125" s="772">
        <v>0</v>
      </c>
      <c r="Z125" s="770">
        <v>57156997</v>
      </c>
      <c r="AA125" s="645" t="s">
        <v>818</v>
      </c>
      <c r="AB125" s="647">
        <v>17121</v>
      </c>
      <c r="AC125" s="645" t="s">
        <v>708</v>
      </c>
      <c r="AD125" s="648">
        <v>44211</v>
      </c>
      <c r="AE125" s="648">
        <v>44550</v>
      </c>
      <c r="AF125" s="645" t="s">
        <v>819</v>
      </c>
      <c r="AG125" s="645" t="s">
        <v>809</v>
      </c>
    </row>
    <row r="126" spans="1:33" ht="272.45" customHeight="1" x14ac:dyDescent="0.35">
      <c r="A126" s="715">
        <v>98</v>
      </c>
      <c r="B126" s="633" t="s">
        <v>398</v>
      </c>
      <c r="C126" s="633" t="s">
        <v>367</v>
      </c>
      <c r="D126" s="640">
        <v>80101706</v>
      </c>
      <c r="E126" s="641" t="s">
        <v>507</v>
      </c>
      <c r="F126" s="640" t="s">
        <v>61</v>
      </c>
      <c r="G126" s="634">
        <v>1</v>
      </c>
      <c r="H126" s="634" t="s">
        <v>91</v>
      </c>
      <c r="I126" s="637">
        <v>11</v>
      </c>
      <c r="J126" s="638" t="s">
        <v>92</v>
      </c>
      <c r="K126" s="634" t="s">
        <v>100</v>
      </c>
      <c r="L126" s="634" t="s">
        <v>396</v>
      </c>
      <c r="M126" s="758">
        <v>67524000</v>
      </c>
      <c r="N126" s="759">
        <v>67524000</v>
      </c>
      <c r="O126" s="634" t="s">
        <v>65</v>
      </c>
      <c r="P126" s="634" t="s">
        <v>66</v>
      </c>
      <c r="Q126" s="781" t="s">
        <v>397</v>
      </c>
      <c r="S126" s="644" t="s">
        <v>1303</v>
      </c>
      <c r="T126" s="645" t="s">
        <v>1304</v>
      </c>
      <c r="U126" s="646">
        <v>44217</v>
      </c>
      <c r="V126" s="645" t="s">
        <v>1305</v>
      </c>
      <c r="W126" s="647" t="s">
        <v>714</v>
      </c>
      <c r="X126" s="770">
        <v>67320000</v>
      </c>
      <c r="Y126" s="772">
        <v>0</v>
      </c>
      <c r="Z126" s="770">
        <v>67320000</v>
      </c>
      <c r="AA126" s="645" t="s">
        <v>1306</v>
      </c>
      <c r="AB126" s="647">
        <v>17221</v>
      </c>
      <c r="AC126" s="645" t="s">
        <v>720</v>
      </c>
      <c r="AD126" s="648">
        <v>44219</v>
      </c>
      <c r="AE126" s="648">
        <v>44551</v>
      </c>
      <c r="AF126" s="645" t="s">
        <v>819</v>
      </c>
      <c r="AG126" s="645" t="s">
        <v>809</v>
      </c>
    </row>
    <row r="127" spans="1:33" ht="272.45" customHeight="1" x14ac:dyDescent="0.35">
      <c r="A127" s="715">
        <v>99</v>
      </c>
      <c r="B127" s="633" t="s">
        <v>398</v>
      </c>
      <c r="C127" s="633" t="s">
        <v>367</v>
      </c>
      <c r="D127" s="640">
        <v>80101706</v>
      </c>
      <c r="E127" s="641" t="s">
        <v>508</v>
      </c>
      <c r="F127" s="640" t="s">
        <v>61</v>
      </c>
      <c r="G127" s="634">
        <v>1</v>
      </c>
      <c r="H127" s="634" t="s">
        <v>91</v>
      </c>
      <c r="I127" s="637">
        <v>11</v>
      </c>
      <c r="J127" s="638" t="s">
        <v>92</v>
      </c>
      <c r="K127" s="634" t="s">
        <v>100</v>
      </c>
      <c r="L127" s="634" t="s">
        <v>396</v>
      </c>
      <c r="M127" s="758">
        <v>89399075</v>
      </c>
      <c r="N127" s="759">
        <v>89399075</v>
      </c>
      <c r="O127" s="634" t="s">
        <v>65</v>
      </c>
      <c r="P127" s="634" t="s">
        <v>66</v>
      </c>
      <c r="Q127" s="781" t="s">
        <v>397</v>
      </c>
      <c r="S127" s="644" t="s">
        <v>820</v>
      </c>
      <c r="T127" s="645" t="s">
        <v>821</v>
      </c>
      <c r="U127" s="646">
        <v>44215</v>
      </c>
      <c r="V127" s="645" t="s">
        <v>822</v>
      </c>
      <c r="W127" s="647" t="s">
        <v>714</v>
      </c>
      <c r="X127" s="770">
        <v>89399075</v>
      </c>
      <c r="Y127" s="772">
        <v>0</v>
      </c>
      <c r="Z127" s="770">
        <v>89399075</v>
      </c>
      <c r="AA127" s="645" t="s">
        <v>822</v>
      </c>
      <c r="AB127" s="647">
        <v>17421</v>
      </c>
      <c r="AC127" s="645" t="s">
        <v>708</v>
      </c>
      <c r="AD127" s="648">
        <v>44217</v>
      </c>
      <c r="AE127" s="648">
        <v>44550</v>
      </c>
      <c r="AF127" s="645" t="s">
        <v>814</v>
      </c>
      <c r="AG127" s="645" t="s">
        <v>809</v>
      </c>
    </row>
    <row r="128" spans="1:33" ht="272.45" customHeight="1" x14ac:dyDescent="0.35">
      <c r="A128" s="715">
        <v>100</v>
      </c>
      <c r="B128" s="633" t="s">
        <v>398</v>
      </c>
      <c r="C128" s="633" t="s">
        <v>367</v>
      </c>
      <c r="D128" s="640">
        <v>80101706</v>
      </c>
      <c r="E128" s="641" t="s">
        <v>509</v>
      </c>
      <c r="F128" s="640" t="s">
        <v>61</v>
      </c>
      <c r="G128" s="634">
        <v>1</v>
      </c>
      <c r="H128" s="634" t="s">
        <v>91</v>
      </c>
      <c r="I128" s="637">
        <v>11</v>
      </c>
      <c r="J128" s="638" t="s">
        <v>92</v>
      </c>
      <c r="K128" s="634" t="s">
        <v>100</v>
      </c>
      <c r="L128" s="634" t="s">
        <v>396</v>
      </c>
      <c r="M128" s="758">
        <v>67320000</v>
      </c>
      <c r="N128" s="759">
        <v>67320000</v>
      </c>
      <c r="O128" s="634" t="s">
        <v>65</v>
      </c>
      <c r="P128" s="634" t="s">
        <v>66</v>
      </c>
      <c r="Q128" s="781" t="s">
        <v>397</v>
      </c>
      <c r="S128" s="644" t="s">
        <v>1307</v>
      </c>
      <c r="T128" s="645" t="s">
        <v>1308</v>
      </c>
      <c r="U128" s="646">
        <v>44218</v>
      </c>
      <c r="V128" s="645" t="s">
        <v>1309</v>
      </c>
      <c r="W128" s="647" t="s">
        <v>714</v>
      </c>
      <c r="X128" s="770">
        <v>67320000</v>
      </c>
      <c r="Y128" s="772">
        <v>0</v>
      </c>
      <c r="Z128" s="770">
        <v>67320000</v>
      </c>
      <c r="AA128" s="645" t="s">
        <v>1310</v>
      </c>
      <c r="AB128" s="647">
        <v>17321</v>
      </c>
      <c r="AC128" s="645" t="s">
        <v>720</v>
      </c>
      <c r="AD128" s="648">
        <v>44218</v>
      </c>
      <c r="AE128" s="648">
        <v>44551</v>
      </c>
      <c r="AF128" s="645" t="s">
        <v>1311</v>
      </c>
      <c r="AG128" s="645" t="s">
        <v>809</v>
      </c>
    </row>
    <row r="129" spans="1:33" ht="272.45" customHeight="1" x14ac:dyDescent="0.35">
      <c r="A129" s="715">
        <v>101</v>
      </c>
      <c r="B129" s="633" t="s">
        <v>395</v>
      </c>
      <c r="C129" s="633" t="s">
        <v>367</v>
      </c>
      <c r="D129" s="640">
        <v>80101706</v>
      </c>
      <c r="E129" s="641" t="s">
        <v>510</v>
      </c>
      <c r="F129" s="640" t="s">
        <v>61</v>
      </c>
      <c r="G129" s="634">
        <v>1</v>
      </c>
      <c r="H129" s="634" t="s">
        <v>83</v>
      </c>
      <c r="I129" s="637">
        <v>9</v>
      </c>
      <c r="J129" s="638" t="s">
        <v>92</v>
      </c>
      <c r="K129" s="634" t="s">
        <v>100</v>
      </c>
      <c r="L129" s="634" t="s">
        <v>396</v>
      </c>
      <c r="M129" s="758">
        <v>80901744</v>
      </c>
      <c r="N129" s="759">
        <v>80901744</v>
      </c>
      <c r="O129" s="634" t="s">
        <v>65</v>
      </c>
      <c r="P129" s="634" t="s">
        <v>66</v>
      </c>
      <c r="Q129" s="781" t="s">
        <v>397</v>
      </c>
      <c r="S129" s="644" t="s">
        <v>1551</v>
      </c>
      <c r="T129" s="645" t="s">
        <v>1552</v>
      </c>
      <c r="U129" s="646">
        <v>44291</v>
      </c>
      <c r="V129" s="645" t="s">
        <v>1553</v>
      </c>
      <c r="W129" s="647" t="s">
        <v>714</v>
      </c>
      <c r="X129" s="770">
        <v>65128448</v>
      </c>
      <c r="Y129" s="771">
        <v>0</v>
      </c>
      <c r="Z129" s="770">
        <v>65128448</v>
      </c>
      <c r="AA129" s="645" t="s">
        <v>1554</v>
      </c>
      <c r="AB129" s="647">
        <v>28121</v>
      </c>
      <c r="AC129" s="645" t="s">
        <v>1555</v>
      </c>
      <c r="AD129" s="648">
        <v>44293</v>
      </c>
      <c r="AE129" s="648">
        <v>44551</v>
      </c>
      <c r="AF129" s="645" t="s">
        <v>1556</v>
      </c>
      <c r="AG129" s="645" t="s">
        <v>809</v>
      </c>
    </row>
    <row r="130" spans="1:33" ht="272.45" customHeight="1" x14ac:dyDescent="0.35">
      <c r="A130" s="715">
        <v>102</v>
      </c>
      <c r="B130" s="633" t="s">
        <v>395</v>
      </c>
      <c r="C130" s="633" t="s">
        <v>367</v>
      </c>
      <c r="D130" s="640">
        <v>80101706</v>
      </c>
      <c r="E130" s="641" t="s">
        <v>511</v>
      </c>
      <c r="F130" s="640" t="s">
        <v>61</v>
      </c>
      <c r="G130" s="634">
        <v>1</v>
      </c>
      <c r="H130" s="634" t="s">
        <v>83</v>
      </c>
      <c r="I130" s="637">
        <v>9</v>
      </c>
      <c r="J130" s="638" t="s">
        <v>92</v>
      </c>
      <c r="K130" s="634" t="s">
        <v>100</v>
      </c>
      <c r="L130" s="634" t="s">
        <v>396</v>
      </c>
      <c r="M130" s="758">
        <v>96311600</v>
      </c>
      <c r="N130" s="759">
        <v>96311600</v>
      </c>
      <c r="O130" s="634" t="s">
        <v>65</v>
      </c>
      <c r="P130" s="634" t="s">
        <v>66</v>
      </c>
      <c r="Q130" s="781" t="s">
        <v>397</v>
      </c>
      <c r="S130" s="644" t="s">
        <v>1557</v>
      </c>
      <c r="T130" s="645" t="s">
        <v>1558</v>
      </c>
      <c r="U130" s="646">
        <v>44291</v>
      </c>
      <c r="V130" s="645" t="s">
        <v>1559</v>
      </c>
      <c r="W130" s="647" t="s">
        <v>714</v>
      </c>
      <c r="X130" s="770">
        <v>77728811</v>
      </c>
      <c r="Y130" s="829">
        <v>-64976392.170000002</v>
      </c>
      <c r="Z130" s="770">
        <f>SUM(X130+Y130)</f>
        <v>12752418.829999998</v>
      </c>
      <c r="AA130" s="645" t="s">
        <v>1560</v>
      </c>
      <c r="AB130" s="647">
        <v>27921</v>
      </c>
      <c r="AC130" s="645" t="s">
        <v>1555</v>
      </c>
      <c r="AD130" s="648">
        <v>44293</v>
      </c>
      <c r="AE130" s="648">
        <v>44551</v>
      </c>
      <c r="AF130" s="645" t="s">
        <v>1561</v>
      </c>
      <c r="AG130" s="645" t="s">
        <v>809</v>
      </c>
    </row>
    <row r="131" spans="1:33" ht="272.45" customHeight="1" x14ac:dyDescent="0.35">
      <c r="A131" s="715">
        <v>103</v>
      </c>
      <c r="B131" s="633" t="s">
        <v>398</v>
      </c>
      <c r="C131" s="633" t="s">
        <v>367</v>
      </c>
      <c r="D131" s="640">
        <v>80101706</v>
      </c>
      <c r="E131" s="641" t="s">
        <v>512</v>
      </c>
      <c r="F131" s="640" t="s">
        <v>61</v>
      </c>
      <c r="G131" s="634">
        <v>1</v>
      </c>
      <c r="H131" s="634" t="s">
        <v>98</v>
      </c>
      <c r="I131" s="637">
        <v>10</v>
      </c>
      <c r="J131" s="638" t="s">
        <v>92</v>
      </c>
      <c r="K131" s="634" t="s">
        <v>100</v>
      </c>
      <c r="L131" s="634" t="s">
        <v>396</v>
      </c>
      <c r="M131" s="758">
        <v>59438016</v>
      </c>
      <c r="N131" s="759">
        <v>59438016</v>
      </c>
      <c r="O131" s="634" t="s">
        <v>65</v>
      </c>
      <c r="P131" s="634" t="s">
        <v>66</v>
      </c>
      <c r="Q131" s="781" t="s">
        <v>397</v>
      </c>
      <c r="S131" s="644" t="s">
        <v>1562</v>
      </c>
      <c r="T131" s="645" t="s">
        <v>1563</v>
      </c>
      <c r="U131" s="646">
        <v>44273</v>
      </c>
      <c r="V131" s="645" t="s">
        <v>1564</v>
      </c>
      <c r="W131" s="647" t="s">
        <v>714</v>
      </c>
      <c r="X131" s="770">
        <v>51213888</v>
      </c>
      <c r="Y131" s="771">
        <v>0</v>
      </c>
      <c r="Z131" s="770">
        <v>51213888</v>
      </c>
      <c r="AA131" s="645" t="s">
        <v>1565</v>
      </c>
      <c r="AB131" s="647">
        <v>26021</v>
      </c>
      <c r="AC131" s="645" t="s">
        <v>1566</v>
      </c>
      <c r="AD131" s="648">
        <v>44274</v>
      </c>
      <c r="AE131" s="648">
        <v>44551</v>
      </c>
      <c r="AF131" s="645" t="s">
        <v>808</v>
      </c>
      <c r="AG131" s="645" t="s">
        <v>809</v>
      </c>
    </row>
    <row r="132" spans="1:33" ht="272.45" customHeight="1" x14ac:dyDescent="0.35">
      <c r="A132" s="715">
        <v>104</v>
      </c>
      <c r="B132" s="734" t="s">
        <v>395</v>
      </c>
      <c r="C132" s="734" t="s">
        <v>367</v>
      </c>
      <c r="D132" s="789">
        <v>80101706</v>
      </c>
      <c r="E132" s="750" t="s">
        <v>513</v>
      </c>
      <c r="F132" s="789" t="s">
        <v>61</v>
      </c>
      <c r="G132" s="735">
        <v>1</v>
      </c>
      <c r="H132" s="735" t="s">
        <v>83</v>
      </c>
      <c r="I132" s="738">
        <v>9</v>
      </c>
      <c r="J132" s="741" t="s">
        <v>92</v>
      </c>
      <c r="K132" s="735" t="s">
        <v>100</v>
      </c>
      <c r="L132" s="735" t="s">
        <v>396</v>
      </c>
      <c r="M132" s="739"/>
      <c r="N132" s="740"/>
      <c r="O132" s="746" t="s">
        <v>65</v>
      </c>
      <c r="P132" s="746" t="s">
        <v>66</v>
      </c>
      <c r="Q132" s="747" t="s">
        <v>397</v>
      </c>
      <c r="S132" s="720"/>
      <c r="T132" s="721"/>
      <c r="U132" s="725"/>
      <c r="V132" s="723"/>
      <c r="W132" s="724"/>
      <c r="X132" s="764"/>
      <c r="Y132" s="776"/>
      <c r="Z132" s="764"/>
      <c r="AA132" s="723"/>
      <c r="AB132" s="724"/>
      <c r="AC132" s="723"/>
      <c r="AD132" s="725"/>
      <c r="AE132" s="725"/>
      <c r="AF132" s="724"/>
      <c r="AG132" s="724"/>
    </row>
    <row r="133" spans="1:33" ht="272.45" customHeight="1" x14ac:dyDescent="0.35">
      <c r="A133" s="715">
        <v>105</v>
      </c>
      <c r="B133" s="633" t="s">
        <v>395</v>
      </c>
      <c r="C133" s="642" t="s">
        <v>300</v>
      </c>
      <c r="D133" s="640">
        <v>80101706</v>
      </c>
      <c r="E133" s="641" t="s">
        <v>514</v>
      </c>
      <c r="F133" s="640" t="s">
        <v>61</v>
      </c>
      <c r="G133" s="634">
        <v>1</v>
      </c>
      <c r="H133" s="634" t="s">
        <v>91</v>
      </c>
      <c r="I133" s="637">
        <v>11.2</v>
      </c>
      <c r="J133" s="638" t="s">
        <v>92</v>
      </c>
      <c r="K133" s="634" t="s">
        <v>100</v>
      </c>
      <c r="L133" s="634" t="s">
        <v>396</v>
      </c>
      <c r="M133" s="758">
        <v>109136671</v>
      </c>
      <c r="N133" s="759">
        <v>109136671</v>
      </c>
      <c r="O133" s="634" t="s">
        <v>65</v>
      </c>
      <c r="P133" s="634" t="s">
        <v>66</v>
      </c>
      <c r="Q133" s="781" t="s">
        <v>399</v>
      </c>
      <c r="S133" s="644" t="s">
        <v>823</v>
      </c>
      <c r="T133" s="645" t="s">
        <v>824</v>
      </c>
      <c r="U133" s="646">
        <v>44211</v>
      </c>
      <c r="V133" s="645" t="s">
        <v>825</v>
      </c>
      <c r="W133" s="647" t="s">
        <v>714</v>
      </c>
      <c r="X133" s="770">
        <v>109136671</v>
      </c>
      <c r="Y133" s="772">
        <v>0</v>
      </c>
      <c r="Z133" s="770">
        <v>109136671</v>
      </c>
      <c r="AA133" s="645" t="s">
        <v>826</v>
      </c>
      <c r="AB133" s="647">
        <v>17521</v>
      </c>
      <c r="AC133" s="645" t="s">
        <v>708</v>
      </c>
      <c r="AD133" s="648">
        <v>44211</v>
      </c>
      <c r="AE133" s="648">
        <v>44551</v>
      </c>
      <c r="AF133" s="645" t="s">
        <v>827</v>
      </c>
      <c r="AG133" s="645" t="s">
        <v>828</v>
      </c>
    </row>
    <row r="134" spans="1:33" ht="272.45" customHeight="1" x14ac:dyDescent="0.35">
      <c r="A134" s="715">
        <v>106</v>
      </c>
      <c r="B134" s="633" t="s">
        <v>395</v>
      </c>
      <c r="C134" s="642" t="s">
        <v>317</v>
      </c>
      <c r="D134" s="640">
        <v>80101706</v>
      </c>
      <c r="E134" s="641" t="s">
        <v>515</v>
      </c>
      <c r="F134" s="640" t="s">
        <v>61</v>
      </c>
      <c r="G134" s="634">
        <v>1</v>
      </c>
      <c r="H134" s="634" t="s">
        <v>91</v>
      </c>
      <c r="I134" s="637">
        <v>11.8</v>
      </c>
      <c r="J134" s="638" t="s">
        <v>92</v>
      </c>
      <c r="K134" s="634" t="s">
        <v>100</v>
      </c>
      <c r="L134" s="634" t="s">
        <v>396</v>
      </c>
      <c r="M134" s="758">
        <v>70867339</v>
      </c>
      <c r="N134" s="759">
        <v>70867339</v>
      </c>
      <c r="O134" s="634" t="s">
        <v>65</v>
      </c>
      <c r="P134" s="634" t="s">
        <v>66</v>
      </c>
      <c r="Q134" s="781" t="s">
        <v>314</v>
      </c>
      <c r="S134" s="644" t="s">
        <v>829</v>
      </c>
      <c r="T134" s="645" t="s">
        <v>830</v>
      </c>
      <c r="U134" s="646">
        <v>44202</v>
      </c>
      <c r="V134" s="645" t="s">
        <v>831</v>
      </c>
      <c r="W134" s="647" t="s">
        <v>714</v>
      </c>
      <c r="X134" s="770">
        <v>70666581</v>
      </c>
      <c r="Y134" s="772">
        <v>0</v>
      </c>
      <c r="Z134" s="770">
        <v>70666581</v>
      </c>
      <c r="AA134" s="645" t="s">
        <v>742</v>
      </c>
      <c r="AB134" s="647">
        <v>1721</v>
      </c>
      <c r="AC134" s="645" t="s">
        <v>737</v>
      </c>
      <c r="AD134" s="648">
        <v>44203</v>
      </c>
      <c r="AE134" s="648">
        <v>44558</v>
      </c>
      <c r="AF134" s="645" t="s">
        <v>738</v>
      </c>
      <c r="AG134" s="645" t="s">
        <v>317</v>
      </c>
    </row>
    <row r="135" spans="1:33" ht="272.45" customHeight="1" x14ac:dyDescent="0.35">
      <c r="A135" s="715">
        <v>107</v>
      </c>
      <c r="B135" s="633" t="s">
        <v>398</v>
      </c>
      <c r="C135" s="633" t="s">
        <v>296</v>
      </c>
      <c r="D135" s="640">
        <v>80101706</v>
      </c>
      <c r="E135" s="641" t="s">
        <v>516</v>
      </c>
      <c r="F135" s="640" t="s">
        <v>61</v>
      </c>
      <c r="G135" s="634">
        <v>1</v>
      </c>
      <c r="H135" s="634" t="s">
        <v>80</v>
      </c>
      <c r="I135" s="637">
        <v>8</v>
      </c>
      <c r="J135" s="638" t="s">
        <v>92</v>
      </c>
      <c r="K135" s="634" t="s">
        <v>100</v>
      </c>
      <c r="L135" s="634" t="s">
        <v>396</v>
      </c>
      <c r="M135" s="758">
        <v>30736640</v>
      </c>
      <c r="N135" s="759">
        <v>30736640</v>
      </c>
      <c r="O135" s="634" t="s">
        <v>65</v>
      </c>
      <c r="P135" s="634" t="s">
        <v>66</v>
      </c>
      <c r="Q135" s="781" t="s">
        <v>371</v>
      </c>
      <c r="S135" s="644" t="s">
        <v>1663</v>
      </c>
      <c r="T135" s="645" t="s">
        <v>1664</v>
      </c>
      <c r="U135" s="646">
        <v>44308</v>
      </c>
      <c r="V135" s="645" t="s">
        <v>1665</v>
      </c>
      <c r="W135" s="647" t="s">
        <v>714</v>
      </c>
      <c r="X135" s="770">
        <v>30698222</v>
      </c>
      <c r="Y135" s="771">
        <v>0</v>
      </c>
      <c r="Z135" s="770">
        <v>30698222</v>
      </c>
      <c r="AA135" s="645" t="s">
        <v>1666</v>
      </c>
      <c r="AB135" s="689">
        <v>17621</v>
      </c>
      <c r="AC135" s="645" t="s">
        <v>1667</v>
      </c>
      <c r="AD135" s="648">
        <v>44310</v>
      </c>
      <c r="AE135" s="648">
        <v>44547</v>
      </c>
      <c r="AF135" s="645" t="s">
        <v>1668</v>
      </c>
      <c r="AG135" s="645" t="s">
        <v>722</v>
      </c>
    </row>
    <row r="136" spans="1:33" ht="272.45" customHeight="1" x14ac:dyDescent="0.35">
      <c r="A136" s="715">
        <v>108</v>
      </c>
      <c r="B136" s="633" t="s">
        <v>398</v>
      </c>
      <c r="C136" s="633" t="s">
        <v>297</v>
      </c>
      <c r="D136" s="640">
        <v>80101706</v>
      </c>
      <c r="E136" s="641" t="s">
        <v>517</v>
      </c>
      <c r="F136" s="640" t="s">
        <v>61</v>
      </c>
      <c r="G136" s="634">
        <v>1</v>
      </c>
      <c r="H136" s="634" t="s">
        <v>98</v>
      </c>
      <c r="I136" s="637">
        <v>10</v>
      </c>
      <c r="J136" s="638" t="s">
        <v>92</v>
      </c>
      <c r="K136" s="634" t="s">
        <v>100</v>
      </c>
      <c r="L136" s="634" t="s">
        <v>396</v>
      </c>
      <c r="M136" s="758">
        <v>63176256</v>
      </c>
      <c r="N136" s="759">
        <v>63176256</v>
      </c>
      <c r="O136" s="634" t="s">
        <v>65</v>
      </c>
      <c r="P136" s="634" t="s">
        <v>66</v>
      </c>
      <c r="Q136" s="781" t="s">
        <v>372</v>
      </c>
      <c r="S136" s="644" t="s">
        <v>1505</v>
      </c>
      <c r="T136" s="645" t="s">
        <v>1506</v>
      </c>
      <c r="U136" s="646">
        <v>44251</v>
      </c>
      <c r="V136" s="645" t="s">
        <v>1507</v>
      </c>
      <c r="W136" s="647" t="s">
        <v>714</v>
      </c>
      <c r="X136" s="770">
        <v>54880000</v>
      </c>
      <c r="Y136" s="772">
        <v>-186667</v>
      </c>
      <c r="Z136" s="770">
        <f>SUM(X136+Y136)</f>
        <v>54693333</v>
      </c>
      <c r="AA136" s="645" t="s">
        <v>1508</v>
      </c>
      <c r="AB136" s="647">
        <v>17721</v>
      </c>
      <c r="AC136" s="645" t="s">
        <v>708</v>
      </c>
      <c r="AD136" s="648">
        <v>44253</v>
      </c>
      <c r="AE136" s="648">
        <v>44550</v>
      </c>
      <c r="AF136" s="645" t="s">
        <v>727</v>
      </c>
      <c r="AG136" s="645" t="s">
        <v>728</v>
      </c>
    </row>
    <row r="137" spans="1:33" ht="272.45" customHeight="1" x14ac:dyDescent="0.35">
      <c r="A137" s="715">
        <v>109</v>
      </c>
      <c r="B137" s="633" t="s">
        <v>381</v>
      </c>
      <c r="C137" s="642" t="s">
        <v>282</v>
      </c>
      <c r="D137" s="640">
        <v>80101706</v>
      </c>
      <c r="E137" s="641" t="s">
        <v>518</v>
      </c>
      <c r="F137" s="640" t="s">
        <v>61</v>
      </c>
      <c r="G137" s="634">
        <v>1</v>
      </c>
      <c r="H137" s="634" t="s">
        <v>91</v>
      </c>
      <c r="I137" s="637">
        <v>11</v>
      </c>
      <c r="J137" s="638" t="s">
        <v>92</v>
      </c>
      <c r="K137" s="634" t="s">
        <v>100</v>
      </c>
      <c r="L137" s="634" t="s">
        <v>378</v>
      </c>
      <c r="M137" s="758">
        <v>88557867</v>
      </c>
      <c r="N137" s="759">
        <v>88557867</v>
      </c>
      <c r="O137" s="634" t="s">
        <v>65</v>
      </c>
      <c r="P137" s="634" t="s">
        <v>66</v>
      </c>
      <c r="Q137" s="781" t="s">
        <v>363</v>
      </c>
      <c r="S137" s="644" t="s">
        <v>1312</v>
      </c>
      <c r="T137" s="645" t="s">
        <v>1313</v>
      </c>
      <c r="U137" s="646">
        <v>44238</v>
      </c>
      <c r="V137" s="645" t="s">
        <v>1314</v>
      </c>
      <c r="W137" s="647" t="s">
        <v>714</v>
      </c>
      <c r="X137" s="770">
        <v>85010346</v>
      </c>
      <c r="Y137" s="772">
        <v>0</v>
      </c>
      <c r="Z137" s="770">
        <v>85010346</v>
      </c>
      <c r="AA137" s="645" t="s">
        <v>1315</v>
      </c>
      <c r="AB137" s="647">
        <v>18821</v>
      </c>
      <c r="AC137" s="645" t="s">
        <v>708</v>
      </c>
      <c r="AD137" s="648">
        <v>44239</v>
      </c>
      <c r="AE137" s="648">
        <v>44550</v>
      </c>
      <c r="AF137" s="645" t="s">
        <v>836</v>
      </c>
      <c r="AG137" s="645" t="s">
        <v>282</v>
      </c>
    </row>
    <row r="138" spans="1:33" ht="272.45" customHeight="1" x14ac:dyDescent="0.35">
      <c r="A138" s="715">
        <v>110</v>
      </c>
      <c r="B138" s="633" t="s">
        <v>361</v>
      </c>
      <c r="C138" s="642" t="s">
        <v>282</v>
      </c>
      <c r="D138" s="640">
        <v>80101706</v>
      </c>
      <c r="E138" s="641" t="s">
        <v>519</v>
      </c>
      <c r="F138" s="640" t="s">
        <v>61</v>
      </c>
      <c r="G138" s="634">
        <v>1</v>
      </c>
      <c r="H138" s="634" t="s">
        <v>91</v>
      </c>
      <c r="I138" s="637">
        <v>11.5</v>
      </c>
      <c r="J138" s="638" t="s">
        <v>92</v>
      </c>
      <c r="K138" s="634" t="s">
        <v>100</v>
      </c>
      <c r="L138" s="634" t="s">
        <v>362</v>
      </c>
      <c r="M138" s="758">
        <v>106269856</v>
      </c>
      <c r="N138" s="759">
        <v>106269856</v>
      </c>
      <c r="O138" s="634" t="s">
        <v>65</v>
      </c>
      <c r="P138" s="634" t="s">
        <v>66</v>
      </c>
      <c r="Q138" s="781" t="s">
        <v>363</v>
      </c>
      <c r="S138" s="644" t="s">
        <v>832</v>
      </c>
      <c r="T138" s="645" t="s">
        <v>833</v>
      </c>
      <c r="U138" s="646">
        <v>44202</v>
      </c>
      <c r="V138" s="645" t="s">
        <v>834</v>
      </c>
      <c r="W138" s="647" t="s">
        <v>714</v>
      </c>
      <c r="X138" s="770">
        <v>106269856</v>
      </c>
      <c r="Y138" s="772">
        <v>0</v>
      </c>
      <c r="Z138" s="770">
        <v>106269856</v>
      </c>
      <c r="AA138" s="645" t="s">
        <v>835</v>
      </c>
      <c r="AB138" s="647">
        <v>3021</v>
      </c>
      <c r="AC138" s="645" t="s">
        <v>708</v>
      </c>
      <c r="AD138" s="648">
        <v>44203</v>
      </c>
      <c r="AE138" s="648">
        <v>44550</v>
      </c>
      <c r="AF138" s="645" t="s">
        <v>836</v>
      </c>
      <c r="AG138" s="645" t="s">
        <v>282</v>
      </c>
    </row>
    <row r="139" spans="1:33" ht="272.45" customHeight="1" x14ac:dyDescent="0.35">
      <c r="A139" s="715">
        <v>111</v>
      </c>
      <c r="B139" s="633" t="s">
        <v>361</v>
      </c>
      <c r="C139" s="642" t="s">
        <v>282</v>
      </c>
      <c r="D139" s="640">
        <v>80101706</v>
      </c>
      <c r="E139" s="641" t="s">
        <v>520</v>
      </c>
      <c r="F139" s="640" t="s">
        <v>61</v>
      </c>
      <c r="G139" s="634">
        <v>1</v>
      </c>
      <c r="H139" s="634" t="s">
        <v>91</v>
      </c>
      <c r="I139" s="637">
        <v>11.5</v>
      </c>
      <c r="J139" s="638" t="s">
        <v>92</v>
      </c>
      <c r="K139" s="634" t="s">
        <v>100</v>
      </c>
      <c r="L139" s="634" t="s">
        <v>362</v>
      </c>
      <c r="M139" s="758">
        <v>80157834</v>
      </c>
      <c r="N139" s="759">
        <v>80157834</v>
      </c>
      <c r="O139" s="634" t="s">
        <v>65</v>
      </c>
      <c r="P139" s="634" t="s">
        <v>66</v>
      </c>
      <c r="Q139" s="781" t="s">
        <v>363</v>
      </c>
      <c r="S139" s="644" t="s">
        <v>837</v>
      </c>
      <c r="T139" s="645" t="s">
        <v>838</v>
      </c>
      <c r="U139" s="646">
        <v>44202</v>
      </c>
      <c r="V139" s="645" t="s">
        <v>839</v>
      </c>
      <c r="W139" s="647" t="s">
        <v>714</v>
      </c>
      <c r="X139" s="770">
        <v>80157834</v>
      </c>
      <c r="Y139" s="772">
        <v>0</v>
      </c>
      <c r="Z139" s="770">
        <v>80157834</v>
      </c>
      <c r="AA139" s="645" t="s">
        <v>840</v>
      </c>
      <c r="AB139" s="647">
        <v>3121</v>
      </c>
      <c r="AC139" s="645" t="s">
        <v>708</v>
      </c>
      <c r="AD139" s="648">
        <v>44203</v>
      </c>
      <c r="AE139" s="648">
        <v>44550</v>
      </c>
      <c r="AF139" s="645" t="s">
        <v>836</v>
      </c>
      <c r="AG139" s="645" t="s">
        <v>282</v>
      </c>
    </row>
    <row r="140" spans="1:33" ht="272.45" customHeight="1" x14ac:dyDescent="0.35">
      <c r="A140" s="715">
        <v>112</v>
      </c>
      <c r="B140" s="633" t="s">
        <v>361</v>
      </c>
      <c r="C140" s="642" t="s">
        <v>282</v>
      </c>
      <c r="D140" s="640">
        <v>80101706</v>
      </c>
      <c r="E140" s="641" t="s">
        <v>521</v>
      </c>
      <c r="F140" s="640" t="s">
        <v>61</v>
      </c>
      <c r="G140" s="634">
        <v>1</v>
      </c>
      <c r="H140" s="634" t="s">
        <v>91</v>
      </c>
      <c r="I140" s="637">
        <v>11.5</v>
      </c>
      <c r="J140" s="638" t="s">
        <v>92</v>
      </c>
      <c r="K140" s="634" t="s">
        <v>100</v>
      </c>
      <c r="L140" s="634" t="s">
        <v>362</v>
      </c>
      <c r="M140" s="758">
        <v>59511119</v>
      </c>
      <c r="N140" s="759">
        <v>59511119</v>
      </c>
      <c r="O140" s="634" t="s">
        <v>65</v>
      </c>
      <c r="P140" s="634" t="s">
        <v>66</v>
      </c>
      <c r="Q140" s="781" t="s">
        <v>363</v>
      </c>
      <c r="S140" s="644" t="s">
        <v>841</v>
      </c>
      <c r="T140" s="645" t="s">
        <v>842</v>
      </c>
      <c r="U140" s="646">
        <v>44202</v>
      </c>
      <c r="V140" s="645" t="s">
        <v>843</v>
      </c>
      <c r="W140" s="647" t="s">
        <v>714</v>
      </c>
      <c r="X140" s="770">
        <v>59511119</v>
      </c>
      <c r="Y140" s="772">
        <v>0</v>
      </c>
      <c r="Z140" s="770">
        <v>59511119</v>
      </c>
      <c r="AA140" s="645" t="s">
        <v>844</v>
      </c>
      <c r="AB140" s="647">
        <v>3221</v>
      </c>
      <c r="AC140" s="645" t="s">
        <v>708</v>
      </c>
      <c r="AD140" s="648">
        <v>44203</v>
      </c>
      <c r="AE140" s="648">
        <v>44550</v>
      </c>
      <c r="AF140" s="645" t="s">
        <v>836</v>
      </c>
      <c r="AG140" s="645" t="s">
        <v>282</v>
      </c>
    </row>
    <row r="141" spans="1:33" ht="272.45" customHeight="1" x14ac:dyDescent="0.35">
      <c r="A141" s="715">
        <v>113</v>
      </c>
      <c r="B141" s="633" t="s">
        <v>361</v>
      </c>
      <c r="C141" s="642" t="s">
        <v>282</v>
      </c>
      <c r="D141" s="640">
        <v>80101706</v>
      </c>
      <c r="E141" s="641" t="s">
        <v>522</v>
      </c>
      <c r="F141" s="640" t="s">
        <v>61</v>
      </c>
      <c r="G141" s="634">
        <v>1</v>
      </c>
      <c r="H141" s="634" t="s">
        <v>91</v>
      </c>
      <c r="I141" s="637">
        <v>11.5</v>
      </c>
      <c r="J141" s="638" t="s">
        <v>92</v>
      </c>
      <c r="K141" s="634" t="s">
        <v>100</v>
      </c>
      <c r="L141" s="634" t="s">
        <v>362</v>
      </c>
      <c r="M141" s="758">
        <v>54653069</v>
      </c>
      <c r="N141" s="759">
        <v>54653069</v>
      </c>
      <c r="O141" s="634" t="s">
        <v>65</v>
      </c>
      <c r="P141" s="634" t="s">
        <v>66</v>
      </c>
      <c r="Q141" s="781" t="s">
        <v>363</v>
      </c>
      <c r="S141" s="644" t="s">
        <v>845</v>
      </c>
      <c r="T141" s="645" t="s">
        <v>846</v>
      </c>
      <c r="U141" s="646">
        <v>44202</v>
      </c>
      <c r="V141" s="645" t="s">
        <v>847</v>
      </c>
      <c r="W141" s="647" t="s">
        <v>714</v>
      </c>
      <c r="X141" s="770">
        <v>54653069</v>
      </c>
      <c r="Y141" s="772">
        <v>0</v>
      </c>
      <c r="Z141" s="770">
        <v>54653069</v>
      </c>
      <c r="AA141" s="645" t="s">
        <v>848</v>
      </c>
      <c r="AB141" s="647">
        <v>3321</v>
      </c>
      <c r="AC141" s="645" t="s">
        <v>708</v>
      </c>
      <c r="AD141" s="648">
        <v>44203</v>
      </c>
      <c r="AE141" s="648">
        <v>44550</v>
      </c>
      <c r="AF141" s="645" t="s">
        <v>836</v>
      </c>
      <c r="AG141" s="645" t="s">
        <v>282</v>
      </c>
    </row>
    <row r="142" spans="1:33" ht="272.45" customHeight="1" x14ac:dyDescent="0.35">
      <c r="A142" s="715">
        <v>114</v>
      </c>
      <c r="B142" s="633" t="s">
        <v>361</v>
      </c>
      <c r="C142" s="642" t="s">
        <v>282</v>
      </c>
      <c r="D142" s="640">
        <v>80101706</v>
      </c>
      <c r="E142" s="641" t="s">
        <v>523</v>
      </c>
      <c r="F142" s="640" t="s">
        <v>61</v>
      </c>
      <c r="G142" s="634">
        <v>1</v>
      </c>
      <c r="H142" s="634" t="s">
        <v>91</v>
      </c>
      <c r="I142" s="637">
        <v>11</v>
      </c>
      <c r="J142" s="638" t="s">
        <v>92</v>
      </c>
      <c r="K142" s="634" t="s">
        <v>100</v>
      </c>
      <c r="L142" s="634" t="s">
        <v>362</v>
      </c>
      <c r="M142" s="758">
        <v>49500000</v>
      </c>
      <c r="N142" s="759">
        <v>49500000</v>
      </c>
      <c r="O142" s="634" t="s">
        <v>65</v>
      </c>
      <c r="P142" s="634" t="s">
        <v>66</v>
      </c>
      <c r="Q142" s="781" t="s">
        <v>363</v>
      </c>
      <c r="S142" s="644" t="s">
        <v>1316</v>
      </c>
      <c r="T142" s="645" t="s">
        <v>1317</v>
      </c>
      <c r="U142" s="646">
        <v>44217</v>
      </c>
      <c r="V142" s="645" t="s">
        <v>1318</v>
      </c>
      <c r="W142" s="647" t="s">
        <v>714</v>
      </c>
      <c r="X142" s="770">
        <v>49500000</v>
      </c>
      <c r="Y142" s="772">
        <v>0</v>
      </c>
      <c r="Z142" s="770">
        <v>49500000</v>
      </c>
      <c r="AA142" s="645" t="s">
        <v>1319</v>
      </c>
      <c r="AB142" s="647">
        <v>3621</v>
      </c>
      <c r="AC142" s="645" t="s">
        <v>708</v>
      </c>
      <c r="AD142" s="648">
        <v>44217</v>
      </c>
      <c r="AE142" s="648">
        <v>44550</v>
      </c>
      <c r="AF142" s="645" t="s">
        <v>836</v>
      </c>
      <c r="AG142" s="645" t="s">
        <v>282</v>
      </c>
    </row>
    <row r="143" spans="1:33" ht="272.45" customHeight="1" x14ac:dyDescent="0.35">
      <c r="A143" s="715">
        <v>115</v>
      </c>
      <c r="B143" s="633" t="s">
        <v>361</v>
      </c>
      <c r="C143" s="642" t="s">
        <v>282</v>
      </c>
      <c r="D143" s="640">
        <v>80101706</v>
      </c>
      <c r="E143" s="641" t="s">
        <v>524</v>
      </c>
      <c r="F143" s="640" t="s">
        <v>61</v>
      </c>
      <c r="G143" s="634">
        <v>1</v>
      </c>
      <c r="H143" s="634" t="s">
        <v>91</v>
      </c>
      <c r="I143" s="637">
        <v>11.3</v>
      </c>
      <c r="J143" s="638" t="s">
        <v>92</v>
      </c>
      <c r="K143" s="634" t="s">
        <v>100</v>
      </c>
      <c r="L143" s="634" t="s">
        <v>362</v>
      </c>
      <c r="M143" s="758">
        <v>68952000</v>
      </c>
      <c r="N143" s="759">
        <v>68952000</v>
      </c>
      <c r="O143" s="634" t="s">
        <v>65</v>
      </c>
      <c r="P143" s="634" t="s">
        <v>66</v>
      </c>
      <c r="Q143" s="781" t="s">
        <v>363</v>
      </c>
      <c r="S143" s="644" t="s">
        <v>849</v>
      </c>
      <c r="T143" s="645" t="s">
        <v>850</v>
      </c>
      <c r="U143" s="646">
        <v>44208</v>
      </c>
      <c r="V143" s="645" t="s">
        <v>851</v>
      </c>
      <c r="W143" s="647" t="s">
        <v>714</v>
      </c>
      <c r="X143" s="770">
        <v>68952000</v>
      </c>
      <c r="Y143" s="772">
        <v>0</v>
      </c>
      <c r="Z143" s="770">
        <v>68952000</v>
      </c>
      <c r="AA143" s="645" t="s">
        <v>852</v>
      </c>
      <c r="AB143" s="647">
        <v>3821</v>
      </c>
      <c r="AC143" s="645" t="s">
        <v>708</v>
      </c>
      <c r="AD143" s="648">
        <v>44210</v>
      </c>
      <c r="AE143" s="648">
        <v>44550</v>
      </c>
      <c r="AF143" s="645" t="s">
        <v>836</v>
      </c>
      <c r="AG143" s="645" t="s">
        <v>282</v>
      </c>
    </row>
    <row r="144" spans="1:33" ht="272.45" customHeight="1" x14ac:dyDescent="0.35">
      <c r="A144" s="715">
        <v>116</v>
      </c>
      <c r="B144" s="633" t="s">
        <v>361</v>
      </c>
      <c r="C144" s="642" t="s">
        <v>282</v>
      </c>
      <c r="D144" s="640">
        <v>80101706</v>
      </c>
      <c r="E144" s="641" t="s">
        <v>525</v>
      </c>
      <c r="F144" s="640" t="s">
        <v>61</v>
      </c>
      <c r="G144" s="634">
        <v>1</v>
      </c>
      <c r="H144" s="634" t="s">
        <v>91</v>
      </c>
      <c r="I144" s="637">
        <v>11.3</v>
      </c>
      <c r="J144" s="638" t="s">
        <v>92</v>
      </c>
      <c r="K144" s="634" t="s">
        <v>100</v>
      </c>
      <c r="L144" s="634" t="s">
        <v>362</v>
      </c>
      <c r="M144" s="758">
        <v>58473135</v>
      </c>
      <c r="N144" s="759">
        <v>58473135</v>
      </c>
      <c r="O144" s="634" t="s">
        <v>65</v>
      </c>
      <c r="P144" s="634" t="s">
        <v>66</v>
      </c>
      <c r="Q144" s="781" t="s">
        <v>363</v>
      </c>
      <c r="S144" s="644" t="s">
        <v>853</v>
      </c>
      <c r="T144" s="645" t="s">
        <v>854</v>
      </c>
      <c r="U144" s="646">
        <v>44208</v>
      </c>
      <c r="V144" s="645" t="s">
        <v>855</v>
      </c>
      <c r="W144" s="647" t="s">
        <v>714</v>
      </c>
      <c r="X144" s="770">
        <v>58473135</v>
      </c>
      <c r="Y144" s="772">
        <v>0</v>
      </c>
      <c r="Z144" s="770">
        <v>58473135</v>
      </c>
      <c r="AA144" s="645" t="s">
        <v>856</v>
      </c>
      <c r="AB144" s="647">
        <v>3921</v>
      </c>
      <c r="AC144" s="645" t="s">
        <v>708</v>
      </c>
      <c r="AD144" s="648">
        <v>44210</v>
      </c>
      <c r="AE144" s="648">
        <v>44545</v>
      </c>
      <c r="AF144" s="645" t="s">
        <v>836</v>
      </c>
      <c r="AG144" s="645" t="s">
        <v>282</v>
      </c>
    </row>
    <row r="145" spans="1:33" ht="272.45" customHeight="1" x14ac:dyDescent="0.35">
      <c r="A145" s="715">
        <v>117</v>
      </c>
      <c r="B145" s="633" t="s">
        <v>361</v>
      </c>
      <c r="C145" s="642" t="s">
        <v>282</v>
      </c>
      <c r="D145" s="640">
        <v>80101706</v>
      </c>
      <c r="E145" s="641" t="s">
        <v>526</v>
      </c>
      <c r="F145" s="640" t="s">
        <v>61</v>
      </c>
      <c r="G145" s="634">
        <v>1</v>
      </c>
      <c r="H145" s="634" t="s">
        <v>91</v>
      </c>
      <c r="I145" s="637">
        <v>11.2</v>
      </c>
      <c r="J145" s="638" t="s">
        <v>92</v>
      </c>
      <c r="K145" s="634" t="s">
        <v>100</v>
      </c>
      <c r="L145" s="634" t="s">
        <v>362</v>
      </c>
      <c r="M145" s="758">
        <v>110814587</v>
      </c>
      <c r="N145" s="759">
        <v>110814587</v>
      </c>
      <c r="O145" s="634" t="s">
        <v>65</v>
      </c>
      <c r="P145" s="634" t="s">
        <v>66</v>
      </c>
      <c r="Q145" s="781" t="s">
        <v>363</v>
      </c>
      <c r="S145" s="644" t="s">
        <v>857</v>
      </c>
      <c r="T145" s="645" t="s">
        <v>858</v>
      </c>
      <c r="U145" s="646">
        <v>44209</v>
      </c>
      <c r="V145" s="645" t="s">
        <v>859</v>
      </c>
      <c r="W145" s="647" t="s">
        <v>714</v>
      </c>
      <c r="X145" s="770">
        <v>110814587</v>
      </c>
      <c r="Y145" s="772">
        <v>0</v>
      </c>
      <c r="Z145" s="770">
        <v>110814587</v>
      </c>
      <c r="AA145" s="645" t="s">
        <v>860</v>
      </c>
      <c r="AB145" s="647">
        <v>4121</v>
      </c>
      <c r="AC145" s="645" t="s">
        <v>708</v>
      </c>
      <c r="AD145" s="648">
        <v>44214</v>
      </c>
      <c r="AE145" s="648">
        <v>44550</v>
      </c>
      <c r="AF145" s="645" t="s">
        <v>836</v>
      </c>
      <c r="AG145" s="645" t="s">
        <v>282</v>
      </c>
    </row>
    <row r="146" spans="1:33" ht="272.45" customHeight="1" x14ac:dyDescent="0.35">
      <c r="A146" s="715">
        <v>118</v>
      </c>
      <c r="B146" s="633" t="s">
        <v>361</v>
      </c>
      <c r="C146" s="642" t="s">
        <v>282</v>
      </c>
      <c r="D146" s="640">
        <v>80101706</v>
      </c>
      <c r="E146" s="641" t="s">
        <v>527</v>
      </c>
      <c r="F146" s="640" t="s">
        <v>61</v>
      </c>
      <c r="G146" s="634">
        <v>1</v>
      </c>
      <c r="H146" s="634" t="s">
        <v>91</v>
      </c>
      <c r="I146" s="637">
        <v>11.2</v>
      </c>
      <c r="J146" s="638" t="s">
        <v>92</v>
      </c>
      <c r="K146" s="634" t="s">
        <v>100</v>
      </c>
      <c r="L146" s="634" t="s">
        <v>362</v>
      </c>
      <c r="M146" s="758">
        <v>90436367</v>
      </c>
      <c r="N146" s="759">
        <v>90436367</v>
      </c>
      <c r="O146" s="634" t="s">
        <v>65</v>
      </c>
      <c r="P146" s="634" t="s">
        <v>66</v>
      </c>
      <c r="Q146" s="781" t="s">
        <v>363</v>
      </c>
      <c r="S146" s="644" t="s">
        <v>861</v>
      </c>
      <c r="T146" s="645" t="s">
        <v>862</v>
      </c>
      <c r="U146" s="646">
        <v>44216</v>
      </c>
      <c r="V146" s="645" t="s">
        <v>863</v>
      </c>
      <c r="W146" s="647" t="s">
        <v>714</v>
      </c>
      <c r="X146" s="770">
        <v>88826221</v>
      </c>
      <c r="Y146" s="772">
        <v>0</v>
      </c>
      <c r="Z146" s="770">
        <v>88826221</v>
      </c>
      <c r="AA146" s="645" t="s">
        <v>864</v>
      </c>
      <c r="AB146" s="647">
        <v>3721</v>
      </c>
      <c r="AC146" s="645" t="s">
        <v>708</v>
      </c>
      <c r="AD146" s="648">
        <v>44217</v>
      </c>
      <c r="AE146" s="648">
        <v>44550</v>
      </c>
      <c r="AF146" s="645" t="s">
        <v>836</v>
      </c>
      <c r="AG146" s="645" t="s">
        <v>282</v>
      </c>
    </row>
    <row r="147" spans="1:33" ht="272.45" customHeight="1" x14ac:dyDescent="0.35">
      <c r="A147" s="715">
        <v>119</v>
      </c>
      <c r="B147" s="633" t="s">
        <v>361</v>
      </c>
      <c r="C147" s="642" t="s">
        <v>282</v>
      </c>
      <c r="D147" s="640">
        <v>80101706</v>
      </c>
      <c r="E147" s="641" t="s">
        <v>528</v>
      </c>
      <c r="F147" s="640" t="s">
        <v>61</v>
      </c>
      <c r="G147" s="634">
        <v>1</v>
      </c>
      <c r="H147" s="634" t="s">
        <v>91</v>
      </c>
      <c r="I147" s="637">
        <v>11.2</v>
      </c>
      <c r="J147" s="638" t="s">
        <v>92</v>
      </c>
      <c r="K147" s="634" t="s">
        <v>100</v>
      </c>
      <c r="L147" s="634" t="s">
        <v>362</v>
      </c>
      <c r="M147" s="758">
        <v>90436367</v>
      </c>
      <c r="N147" s="759">
        <v>90436367</v>
      </c>
      <c r="O147" s="634" t="s">
        <v>65</v>
      </c>
      <c r="P147" s="634" t="s">
        <v>66</v>
      </c>
      <c r="Q147" s="781" t="s">
        <v>363</v>
      </c>
      <c r="S147" s="644" t="s">
        <v>865</v>
      </c>
      <c r="T147" s="645" t="s">
        <v>866</v>
      </c>
      <c r="U147" s="646">
        <v>44215</v>
      </c>
      <c r="V147" s="645" t="s">
        <v>863</v>
      </c>
      <c r="W147" s="647" t="s">
        <v>714</v>
      </c>
      <c r="X147" s="770">
        <v>88826221</v>
      </c>
      <c r="Y147" s="772">
        <v>0</v>
      </c>
      <c r="Z147" s="770">
        <v>88826221</v>
      </c>
      <c r="AA147" s="645" t="s">
        <v>864</v>
      </c>
      <c r="AB147" s="647">
        <v>4021</v>
      </c>
      <c r="AC147" s="645" t="s">
        <v>708</v>
      </c>
      <c r="AD147" s="648">
        <v>44216</v>
      </c>
      <c r="AE147" s="648">
        <v>44550</v>
      </c>
      <c r="AF147" s="645" t="s">
        <v>836</v>
      </c>
      <c r="AG147" s="645" t="s">
        <v>282</v>
      </c>
    </row>
    <row r="148" spans="1:33" s="25" customFormat="1" ht="272.45" customHeight="1" x14ac:dyDescent="0.35">
      <c r="A148" s="715">
        <v>120</v>
      </c>
      <c r="B148" s="633" t="s">
        <v>376</v>
      </c>
      <c r="C148" s="642" t="s">
        <v>282</v>
      </c>
      <c r="D148" s="640">
        <v>80101706</v>
      </c>
      <c r="E148" s="641" t="s">
        <v>529</v>
      </c>
      <c r="F148" s="640" t="s">
        <v>61</v>
      </c>
      <c r="G148" s="634">
        <v>1</v>
      </c>
      <c r="H148" s="634" t="s">
        <v>91</v>
      </c>
      <c r="I148" s="637">
        <v>11.2</v>
      </c>
      <c r="J148" s="638" t="s">
        <v>92</v>
      </c>
      <c r="K148" s="634" t="s">
        <v>100</v>
      </c>
      <c r="L148" s="634" t="s">
        <v>378</v>
      </c>
      <c r="M148" s="758">
        <v>107210729</v>
      </c>
      <c r="N148" s="759">
        <v>107210729</v>
      </c>
      <c r="O148" s="634" t="s">
        <v>65</v>
      </c>
      <c r="P148" s="634" t="s">
        <v>66</v>
      </c>
      <c r="Q148" s="781" t="s">
        <v>363</v>
      </c>
      <c r="R148" s="24"/>
      <c r="S148" s="662" t="s">
        <v>1320</v>
      </c>
      <c r="T148" s="663" t="s">
        <v>1321</v>
      </c>
      <c r="U148" s="664">
        <v>44224</v>
      </c>
      <c r="V148" s="645" t="s">
        <v>1322</v>
      </c>
      <c r="W148" s="647" t="s">
        <v>714</v>
      </c>
      <c r="X148" s="770">
        <v>103062700</v>
      </c>
      <c r="Y148" s="772">
        <v>0</v>
      </c>
      <c r="Z148" s="770">
        <v>103062700</v>
      </c>
      <c r="AA148" s="645" t="s">
        <v>1323</v>
      </c>
      <c r="AB148" s="647">
        <v>18921</v>
      </c>
      <c r="AC148" s="645" t="s">
        <v>720</v>
      </c>
      <c r="AD148" s="648">
        <v>44225</v>
      </c>
      <c r="AE148" s="648">
        <v>44551</v>
      </c>
      <c r="AF148" s="645" t="s">
        <v>836</v>
      </c>
      <c r="AG148" s="645" t="s">
        <v>282</v>
      </c>
    </row>
    <row r="149" spans="1:33" s="25" customFormat="1" ht="272.45" customHeight="1" x14ac:dyDescent="0.35">
      <c r="A149" s="715">
        <v>121</v>
      </c>
      <c r="B149" s="633" t="s">
        <v>376</v>
      </c>
      <c r="C149" s="642" t="s">
        <v>282</v>
      </c>
      <c r="D149" s="640">
        <v>80101706</v>
      </c>
      <c r="E149" s="641" t="s">
        <v>530</v>
      </c>
      <c r="F149" s="640" t="s">
        <v>61</v>
      </c>
      <c r="G149" s="634">
        <v>1</v>
      </c>
      <c r="H149" s="634" t="s">
        <v>91</v>
      </c>
      <c r="I149" s="637">
        <v>11.2</v>
      </c>
      <c r="J149" s="638" t="s">
        <v>92</v>
      </c>
      <c r="K149" s="634" t="s">
        <v>100</v>
      </c>
      <c r="L149" s="634" t="s">
        <v>378</v>
      </c>
      <c r="M149" s="758">
        <v>107210729</v>
      </c>
      <c r="N149" s="759">
        <v>107210729</v>
      </c>
      <c r="O149" s="634" t="s">
        <v>65</v>
      </c>
      <c r="P149" s="634" t="s">
        <v>66</v>
      </c>
      <c r="Q149" s="781" t="s">
        <v>363</v>
      </c>
      <c r="R149" s="24"/>
      <c r="S149" s="662" t="s">
        <v>1324</v>
      </c>
      <c r="T149" s="663" t="s">
        <v>1325</v>
      </c>
      <c r="U149" s="664">
        <v>44224</v>
      </c>
      <c r="V149" s="645" t="s">
        <v>1326</v>
      </c>
      <c r="W149" s="647" t="s">
        <v>714</v>
      </c>
      <c r="X149" s="770">
        <v>103062700</v>
      </c>
      <c r="Y149" s="772">
        <v>0</v>
      </c>
      <c r="Z149" s="770">
        <v>103062700</v>
      </c>
      <c r="AA149" s="645" t="s">
        <v>1323</v>
      </c>
      <c r="AB149" s="647">
        <v>19021</v>
      </c>
      <c r="AC149" s="645" t="s">
        <v>720</v>
      </c>
      <c r="AD149" s="648">
        <v>44225</v>
      </c>
      <c r="AE149" s="648">
        <v>44551</v>
      </c>
      <c r="AF149" s="645" t="s">
        <v>836</v>
      </c>
      <c r="AG149" s="645" t="s">
        <v>282</v>
      </c>
    </row>
    <row r="150" spans="1:33" s="25" customFormat="1" ht="272.45" customHeight="1" x14ac:dyDescent="0.35">
      <c r="A150" s="715">
        <v>122</v>
      </c>
      <c r="B150" s="633" t="s">
        <v>361</v>
      </c>
      <c r="C150" s="642" t="s">
        <v>282</v>
      </c>
      <c r="D150" s="640">
        <v>80101706</v>
      </c>
      <c r="E150" s="641" t="s">
        <v>531</v>
      </c>
      <c r="F150" s="640" t="s">
        <v>61</v>
      </c>
      <c r="G150" s="634">
        <v>1</v>
      </c>
      <c r="H150" s="634" t="s">
        <v>91</v>
      </c>
      <c r="I150" s="637">
        <v>11.2</v>
      </c>
      <c r="J150" s="638" t="s">
        <v>92</v>
      </c>
      <c r="K150" s="634" t="s">
        <v>100</v>
      </c>
      <c r="L150" s="634" t="s">
        <v>362</v>
      </c>
      <c r="M150" s="758">
        <v>40705280</v>
      </c>
      <c r="N150" s="759">
        <v>40705280</v>
      </c>
      <c r="O150" s="634" t="s">
        <v>65</v>
      </c>
      <c r="P150" s="634" t="s">
        <v>66</v>
      </c>
      <c r="Q150" s="781" t="s">
        <v>363</v>
      </c>
      <c r="R150" s="24"/>
      <c r="S150" s="662" t="s">
        <v>1327</v>
      </c>
      <c r="T150" s="663" t="s">
        <v>1328</v>
      </c>
      <c r="U150" s="664">
        <v>44217</v>
      </c>
      <c r="V150" s="645" t="s">
        <v>1329</v>
      </c>
      <c r="W150" s="647" t="s">
        <v>714</v>
      </c>
      <c r="X150" s="770">
        <v>39978400</v>
      </c>
      <c r="Y150" s="772">
        <v>0</v>
      </c>
      <c r="Z150" s="770">
        <v>39978400</v>
      </c>
      <c r="AA150" s="645" t="s">
        <v>1330</v>
      </c>
      <c r="AB150" s="647">
        <v>4221</v>
      </c>
      <c r="AC150" s="645" t="s">
        <v>708</v>
      </c>
      <c r="AD150" s="648">
        <v>44217</v>
      </c>
      <c r="AE150" s="648">
        <v>44550</v>
      </c>
      <c r="AF150" s="645" t="s">
        <v>1331</v>
      </c>
      <c r="AG150" s="645" t="s">
        <v>282</v>
      </c>
    </row>
    <row r="151" spans="1:33" s="25" customFormat="1" ht="272.45" customHeight="1" x14ac:dyDescent="0.35">
      <c r="A151" s="715">
        <v>123</v>
      </c>
      <c r="B151" s="633" t="s">
        <v>361</v>
      </c>
      <c r="C151" s="642" t="s">
        <v>282</v>
      </c>
      <c r="D151" s="640">
        <v>80101706</v>
      </c>
      <c r="E151" s="641" t="s">
        <v>532</v>
      </c>
      <c r="F151" s="640" t="s">
        <v>61</v>
      </c>
      <c r="G151" s="634">
        <v>1</v>
      </c>
      <c r="H151" s="634" t="s">
        <v>91</v>
      </c>
      <c r="I151" s="637">
        <v>11.2</v>
      </c>
      <c r="J151" s="638" t="s">
        <v>92</v>
      </c>
      <c r="K151" s="634" t="s">
        <v>100</v>
      </c>
      <c r="L151" s="634" t="s">
        <v>362</v>
      </c>
      <c r="M151" s="758">
        <v>46520320</v>
      </c>
      <c r="N151" s="759">
        <v>46520320</v>
      </c>
      <c r="O151" s="634" t="s">
        <v>65</v>
      </c>
      <c r="P151" s="634" t="s">
        <v>66</v>
      </c>
      <c r="Q151" s="781" t="s">
        <v>363</v>
      </c>
      <c r="R151" s="24"/>
      <c r="S151" s="644" t="s">
        <v>867</v>
      </c>
      <c r="T151" s="645" t="s">
        <v>868</v>
      </c>
      <c r="U151" s="646">
        <v>44210</v>
      </c>
      <c r="V151" s="645" t="s">
        <v>869</v>
      </c>
      <c r="W151" s="647" t="s">
        <v>714</v>
      </c>
      <c r="X151" s="770">
        <v>46520320</v>
      </c>
      <c r="Y151" s="772">
        <v>0</v>
      </c>
      <c r="Z151" s="770">
        <v>46520320</v>
      </c>
      <c r="AA151" s="645" t="s">
        <v>870</v>
      </c>
      <c r="AB151" s="647">
        <v>19121</v>
      </c>
      <c r="AC151" s="645" t="s">
        <v>708</v>
      </c>
      <c r="AD151" s="648">
        <v>44211</v>
      </c>
      <c r="AE151" s="648">
        <v>44550</v>
      </c>
      <c r="AF151" s="645" t="s">
        <v>836</v>
      </c>
      <c r="AG151" s="645" t="s">
        <v>282</v>
      </c>
    </row>
    <row r="152" spans="1:33" s="25" customFormat="1" ht="272.45" customHeight="1" x14ac:dyDescent="0.35">
      <c r="A152" s="715">
        <v>124</v>
      </c>
      <c r="B152" s="633" t="s">
        <v>361</v>
      </c>
      <c r="C152" s="642" t="s">
        <v>282</v>
      </c>
      <c r="D152" s="640">
        <v>80101706</v>
      </c>
      <c r="E152" s="641" t="s">
        <v>533</v>
      </c>
      <c r="F152" s="640" t="s">
        <v>61</v>
      </c>
      <c r="G152" s="634">
        <v>1</v>
      </c>
      <c r="H152" s="634" t="s">
        <v>91</v>
      </c>
      <c r="I152" s="637">
        <v>11.2</v>
      </c>
      <c r="J152" s="638" t="s">
        <v>92</v>
      </c>
      <c r="K152" s="634" t="s">
        <v>100</v>
      </c>
      <c r="L152" s="634" t="s">
        <v>362</v>
      </c>
      <c r="M152" s="758">
        <v>24911631</v>
      </c>
      <c r="N152" s="759">
        <v>24911631</v>
      </c>
      <c r="O152" s="634" t="s">
        <v>65</v>
      </c>
      <c r="P152" s="634" t="s">
        <v>66</v>
      </c>
      <c r="Q152" s="781" t="s">
        <v>363</v>
      </c>
      <c r="R152" s="24"/>
      <c r="S152" s="644" t="s">
        <v>871</v>
      </c>
      <c r="T152" s="645" t="s">
        <v>872</v>
      </c>
      <c r="U152" s="646">
        <v>44210</v>
      </c>
      <c r="V152" s="645" t="s">
        <v>873</v>
      </c>
      <c r="W152" s="647" t="s">
        <v>706</v>
      </c>
      <c r="X152" s="770">
        <v>24911631</v>
      </c>
      <c r="Y152" s="772">
        <v>0</v>
      </c>
      <c r="Z152" s="770">
        <v>24911631</v>
      </c>
      <c r="AA152" s="645" t="s">
        <v>874</v>
      </c>
      <c r="AB152" s="647">
        <v>4321</v>
      </c>
      <c r="AC152" s="645" t="s">
        <v>708</v>
      </c>
      <c r="AD152" s="648">
        <v>44211</v>
      </c>
      <c r="AE152" s="648">
        <v>44550</v>
      </c>
      <c r="AF152" s="645" t="s">
        <v>836</v>
      </c>
      <c r="AG152" s="645" t="s">
        <v>282</v>
      </c>
    </row>
    <row r="153" spans="1:33" s="25" customFormat="1" ht="272.45" customHeight="1" x14ac:dyDescent="0.35">
      <c r="A153" s="715">
        <v>125</v>
      </c>
      <c r="B153" s="633" t="s">
        <v>400</v>
      </c>
      <c r="C153" s="642" t="s">
        <v>282</v>
      </c>
      <c r="D153" s="640">
        <v>80101706</v>
      </c>
      <c r="E153" s="641" t="s">
        <v>534</v>
      </c>
      <c r="F153" s="640" t="s">
        <v>61</v>
      </c>
      <c r="G153" s="634">
        <v>1</v>
      </c>
      <c r="H153" s="634" t="s">
        <v>91</v>
      </c>
      <c r="I153" s="637">
        <v>11.1</v>
      </c>
      <c r="J153" s="638" t="s">
        <v>92</v>
      </c>
      <c r="K153" s="634" t="s">
        <v>100</v>
      </c>
      <c r="L153" s="634" t="s">
        <v>362</v>
      </c>
      <c r="M153" s="758">
        <v>122049694</v>
      </c>
      <c r="N153" s="759">
        <v>122049694</v>
      </c>
      <c r="O153" s="634" t="s">
        <v>65</v>
      </c>
      <c r="P153" s="634" t="s">
        <v>66</v>
      </c>
      <c r="Q153" s="781" t="s">
        <v>363</v>
      </c>
      <c r="R153" s="24"/>
      <c r="S153" s="644" t="s">
        <v>875</v>
      </c>
      <c r="T153" s="645" t="s">
        <v>876</v>
      </c>
      <c r="U153" s="646">
        <v>44214</v>
      </c>
      <c r="V153" s="645" t="s">
        <v>877</v>
      </c>
      <c r="W153" s="647" t="s">
        <v>714</v>
      </c>
      <c r="X153" s="770">
        <v>122049694</v>
      </c>
      <c r="Y153" s="772">
        <v>-11973894</v>
      </c>
      <c r="Z153" s="770">
        <v>110075800</v>
      </c>
      <c r="AA153" s="645" t="s">
        <v>878</v>
      </c>
      <c r="AB153" s="647">
        <v>4521</v>
      </c>
      <c r="AC153" s="645" t="s">
        <v>708</v>
      </c>
      <c r="AD153" s="648">
        <v>44215</v>
      </c>
      <c r="AE153" s="648">
        <v>44550</v>
      </c>
      <c r="AF153" s="645" t="s">
        <v>836</v>
      </c>
      <c r="AG153" s="645" t="s">
        <v>282</v>
      </c>
    </row>
    <row r="154" spans="1:33" s="25" customFormat="1" ht="272.45" customHeight="1" x14ac:dyDescent="0.35">
      <c r="A154" s="715">
        <v>126</v>
      </c>
      <c r="B154" s="633" t="s">
        <v>400</v>
      </c>
      <c r="C154" s="642" t="s">
        <v>282</v>
      </c>
      <c r="D154" s="640">
        <v>80101706</v>
      </c>
      <c r="E154" s="641" t="s">
        <v>535</v>
      </c>
      <c r="F154" s="640" t="s">
        <v>61</v>
      </c>
      <c r="G154" s="634">
        <v>1</v>
      </c>
      <c r="H154" s="634" t="s">
        <v>91</v>
      </c>
      <c r="I154" s="637">
        <v>11.1</v>
      </c>
      <c r="J154" s="638" t="s">
        <v>92</v>
      </c>
      <c r="K154" s="634" t="s">
        <v>100</v>
      </c>
      <c r="L154" s="634" t="s">
        <v>362</v>
      </c>
      <c r="M154" s="758">
        <v>102562768</v>
      </c>
      <c r="N154" s="759">
        <v>102562768</v>
      </c>
      <c r="O154" s="634" t="s">
        <v>65</v>
      </c>
      <c r="P154" s="634" t="s">
        <v>66</v>
      </c>
      <c r="Q154" s="781" t="s">
        <v>363</v>
      </c>
      <c r="R154" s="24"/>
      <c r="S154" s="644" t="s">
        <v>879</v>
      </c>
      <c r="T154" s="645" t="s">
        <v>880</v>
      </c>
      <c r="U154" s="646">
        <v>44214</v>
      </c>
      <c r="V154" s="645" t="s">
        <v>881</v>
      </c>
      <c r="W154" s="647" t="s">
        <v>714</v>
      </c>
      <c r="X154" s="770">
        <v>102562768</v>
      </c>
      <c r="Y154" s="772">
        <v>0</v>
      </c>
      <c r="Z154" s="770">
        <v>102562768</v>
      </c>
      <c r="AA154" s="645" t="s">
        <v>882</v>
      </c>
      <c r="AB154" s="647">
        <v>4621</v>
      </c>
      <c r="AC154" s="645" t="s">
        <v>708</v>
      </c>
      <c r="AD154" s="648">
        <v>44215</v>
      </c>
      <c r="AE154" s="648">
        <v>44550</v>
      </c>
      <c r="AF154" s="645" t="s">
        <v>836</v>
      </c>
      <c r="AG154" s="645" t="s">
        <v>282</v>
      </c>
    </row>
    <row r="155" spans="1:33" s="25" customFormat="1" ht="272.45" customHeight="1" x14ac:dyDescent="0.35">
      <c r="A155" s="715">
        <v>127</v>
      </c>
      <c r="B155" s="633" t="s">
        <v>400</v>
      </c>
      <c r="C155" s="642" t="s">
        <v>282</v>
      </c>
      <c r="D155" s="640">
        <v>80101706</v>
      </c>
      <c r="E155" s="641" t="s">
        <v>536</v>
      </c>
      <c r="F155" s="640" t="s">
        <v>61</v>
      </c>
      <c r="G155" s="634">
        <v>1</v>
      </c>
      <c r="H155" s="634" t="s">
        <v>91</v>
      </c>
      <c r="I155" s="637">
        <v>11.1</v>
      </c>
      <c r="J155" s="638" t="s">
        <v>92</v>
      </c>
      <c r="K155" s="634" t="s">
        <v>100</v>
      </c>
      <c r="L155" s="634" t="s">
        <v>362</v>
      </c>
      <c r="M155" s="758">
        <v>102562768</v>
      </c>
      <c r="N155" s="759">
        <v>102562768</v>
      </c>
      <c r="O155" s="634" t="s">
        <v>65</v>
      </c>
      <c r="P155" s="634" t="s">
        <v>66</v>
      </c>
      <c r="Q155" s="781" t="s">
        <v>363</v>
      </c>
      <c r="R155" s="24"/>
      <c r="S155" s="644" t="s">
        <v>883</v>
      </c>
      <c r="T155" s="645" t="s">
        <v>884</v>
      </c>
      <c r="U155" s="646">
        <v>44214</v>
      </c>
      <c r="V155" s="645" t="s">
        <v>881</v>
      </c>
      <c r="W155" s="647" t="s">
        <v>714</v>
      </c>
      <c r="X155" s="770">
        <v>102562768</v>
      </c>
      <c r="Y155" s="772">
        <v>0</v>
      </c>
      <c r="Z155" s="770">
        <v>102562768</v>
      </c>
      <c r="AA155" s="645" t="s">
        <v>882</v>
      </c>
      <c r="AB155" s="647">
        <v>4721</v>
      </c>
      <c r="AC155" s="645" t="s">
        <v>708</v>
      </c>
      <c r="AD155" s="648">
        <v>44215</v>
      </c>
      <c r="AE155" s="648">
        <v>44550</v>
      </c>
      <c r="AF155" s="645" t="s">
        <v>836</v>
      </c>
      <c r="AG155" s="645" t="s">
        <v>282</v>
      </c>
    </row>
    <row r="156" spans="1:33" s="25" customFormat="1" ht="272.45" customHeight="1" x14ac:dyDescent="0.35">
      <c r="A156" s="715">
        <v>128</v>
      </c>
      <c r="B156" s="633" t="s">
        <v>400</v>
      </c>
      <c r="C156" s="642" t="s">
        <v>282</v>
      </c>
      <c r="D156" s="640">
        <v>80101706</v>
      </c>
      <c r="E156" s="641" t="s">
        <v>537</v>
      </c>
      <c r="F156" s="640" t="s">
        <v>61</v>
      </c>
      <c r="G156" s="634">
        <v>1</v>
      </c>
      <c r="H156" s="634" t="s">
        <v>91</v>
      </c>
      <c r="I156" s="637">
        <v>11.1</v>
      </c>
      <c r="J156" s="638" t="s">
        <v>92</v>
      </c>
      <c r="K156" s="634" t="s">
        <v>100</v>
      </c>
      <c r="L156" s="634" t="s">
        <v>362</v>
      </c>
      <c r="M156" s="758">
        <v>102562768</v>
      </c>
      <c r="N156" s="759">
        <v>102562768</v>
      </c>
      <c r="O156" s="634" t="s">
        <v>65</v>
      </c>
      <c r="P156" s="634" t="s">
        <v>66</v>
      </c>
      <c r="Q156" s="781" t="s">
        <v>363</v>
      </c>
      <c r="R156" s="24"/>
      <c r="S156" s="644" t="s">
        <v>885</v>
      </c>
      <c r="T156" s="645" t="s">
        <v>886</v>
      </c>
      <c r="U156" s="646">
        <v>44214</v>
      </c>
      <c r="V156" s="645" t="s">
        <v>881</v>
      </c>
      <c r="W156" s="647" t="s">
        <v>714</v>
      </c>
      <c r="X156" s="770">
        <v>102562768</v>
      </c>
      <c r="Y156" s="772">
        <v>0</v>
      </c>
      <c r="Z156" s="770">
        <v>102562768</v>
      </c>
      <c r="AA156" s="645" t="s">
        <v>882</v>
      </c>
      <c r="AB156" s="647">
        <v>4821</v>
      </c>
      <c r="AC156" s="645" t="s">
        <v>708</v>
      </c>
      <c r="AD156" s="648">
        <v>44215</v>
      </c>
      <c r="AE156" s="648">
        <v>44550</v>
      </c>
      <c r="AF156" s="645" t="s">
        <v>836</v>
      </c>
      <c r="AG156" s="645" t="s">
        <v>282</v>
      </c>
    </row>
    <row r="157" spans="1:33" s="25" customFormat="1" ht="272.45" customHeight="1" x14ac:dyDescent="0.35">
      <c r="A157" s="715">
        <v>129</v>
      </c>
      <c r="B157" s="633" t="s">
        <v>400</v>
      </c>
      <c r="C157" s="642" t="s">
        <v>282</v>
      </c>
      <c r="D157" s="640">
        <v>80101706</v>
      </c>
      <c r="E157" s="641" t="s">
        <v>538</v>
      </c>
      <c r="F157" s="640" t="s">
        <v>61</v>
      </c>
      <c r="G157" s="634">
        <v>1</v>
      </c>
      <c r="H157" s="634" t="s">
        <v>91</v>
      </c>
      <c r="I157" s="637">
        <v>11.1</v>
      </c>
      <c r="J157" s="638" t="s">
        <v>92</v>
      </c>
      <c r="K157" s="634" t="s">
        <v>100</v>
      </c>
      <c r="L157" s="634" t="s">
        <v>362</v>
      </c>
      <c r="M157" s="758">
        <v>102562768</v>
      </c>
      <c r="N157" s="759">
        <v>102562768</v>
      </c>
      <c r="O157" s="634" t="s">
        <v>65</v>
      </c>
      <c r="P157" s="634" t="s">
        <v>66</v>
      </c>
      <c r="Q157" s="781" t="s">
        <v>363</v>
      </c>
      <c r="R157" s="24"/>
      <c r="S157" s="644" t="s">
        <v>887</v>
      </c>
      <c r="T157" s="645" t="s">
        <v>888</v>
      </c>
      <c r="U157" s="646">
        <v>44214</v>
      </c>
      <c r="V157" s="645" t="s">
        <v>881</v>
      </c>
      <c r="W157" s="647" t="s">
        <v>714</v>
      </c>
      <c r="X157" s="770">
        <v>102562768</v>
      </c>
      <c r="Y157" s="772">
        <v>0</v>
      </c>
      <c r="Z157" s="770">
        <v>102562768</v>
      </c>
      <c r="AA157" s="645" t="s">
        <v>882</v>
      </c>
      <c r="AB157" s="647">
        <v>4921</v>
      </c>
      <c r="AC157" s="645" t="s">
        <v>708</v>
      </c>
      <c r="AD157" s="648">
        <v>44215</v>
      </c>
      <c r="AE157" s="648">
        <v>44550</v>
      </c>
      <c r="AF157" s="645" t="s">
        <v>836</v>
      </c>
      <c r="AG157" s="645" t="s">
        <v>282</v>
      </c>
    </row>
    <row r="158" spans="1:33" s="25" customFormat="1" ht="272.45" customHeight="1" x14ac:dyDescent="0.35">
      <c r="A158" s="715">
        <v>130</v>
      </c>
      <c r="B158" s="633" t="s">
        <v>400</v>
      </c>
      <c r="C158" s="642" t="s">
        <v>282</v>
      </c>
      <c r="D158" s="640">
        <v>80101706</v>
      </c>
      <c r="E158" s="641" t="s">
        <v>539</v>
      </c>
      <c r="F158" s="640" t="s">
        <v>61</v>
      </c>
      <c r="G158" s="634">
        <v>1</v>
      </c>
      <c r="H158" s="634" t="s">
        <v>91</v>
      </c>
      <c r="I158" s="637">
        <v>11.1</v>
      </c>
      <c r="J158" s="638" t="s">
        <v>92</v>
      </c>
      <c r="K158" s="634" t="s">
        <v>100</v>
      </c>
      <c r="L158" s="634" t="s">
        <v>362</v>
      </c>
      <c r="M158" s="758">
        <v>102562768</v>
      </c>
      <c r="N158" s="759">
        <v>102562768</v>
      </c>
      <c r="O158" s="634" t="s">
        <v>65</v>
      </c>
      <c r="P158" s="634" t="s">
        <v>66</v>
      </c>
      <c r="Q158" s="781" t="s">
        <v>363</v>
      </c>
      <c r="R158" s="24"/>
      <c r="S158" s="644" t="s">
        <v>889</v>
      </c>
      <c r="T158" s="645" t="s">
        <v>890</v>
      </c>
      <c r="U158" s="646">
        <v>44214</v>
      </c>
      <c r="V158" s="645" t="s">
        <v>881</v>
      </c>
      <c r="W158" s="647" t="s">
        <v>714</v>
      </c>
      <c r="X158" s="770">
        <v>102562768</v>
      </c>
      <c r="Y158" s="772">
        <v>0</v>
      </c>
      <c r="Z158" s="770">
        <v>102562768</v>
      </c>
      <c r="AA158" s="645" t="s">
        <v>882</v>
      </c>
      <c r="AB158" s="647">
        <v>5021</v>
      </c>
      <c r="AC158" s="645" t="s">
        <v>708</v>
      </c>
      <c r="AD158" s="648">
        <v>44215</v>
      </c>
      <c r="AE158" s="648">
        <v>44550</v>
      </c>
      <c r="AF158" s="645" t="s">
        <v>836</v>
      </c>
      <c r="AG158" s="645" t="s">
        <v>282</v>
      </c>
    </row>
    <row r="159" spans="1:33" s="25" customFormat="1" ht="272.45" customHeight="1" x14ac:dyDescent="0.35">
      <c r="A159" s="715">
        <v>131</v>
      </c>
      <c r="B159" s="633" t="s">
        <v>400</v>
      </c>
      <c r="C159" s="642" t="s">
        <v>282</v>
      </c>
      <c r="D159" s="640">
        <v>80101706</v>
      </c>
      <c r="E159" s="641" t="s">
        <v>540</v>
      </c>
      <c r="F159" s="640" t="s">
        <v>61</v>
      </c>
      <c r="G159" s="634">
        <v>1</v>
      </c>
      <c r="H159" s="634" t="s">
        <v>91</v>
      </c>
      <c r="I159" s="637">
        <v>11.1</v>
      </c>
      <c r="J159" s="638" t="s">
        <v>92</v>
      </c>
      <c r="K159" s="634" t="s">
        <v>100</v>
      </c>
      <c r="L159" s="634" t="s">
        <v>362</v>
      </c>
      <c r="M159" s="758">
        <v>102562768</v>
      </c>
      <c r="N159" s="759">
        <v>102562768</v>
      </c>
      <c r="O159" s="634" t="s">
        <v>65</v>
      </c>
      <c r="P159" s="634" t="s">
        <v>66</v>
      </c>
      <c r="Q159" s="781" t="s">
        <v>363</v>
      </c>
      <c r="R159" s="24"/>
      <c r="S159" s="644" t="s">
        <v>891</v>
      </c>
      <c r="T159" s="645" t="s">
        <v>892</v>
      </c>
      <c r="U159" s="646">
        <v>44214</v>
      </c>
      <c r="V159" s="645" t="s">
        <v>881</v>
      </c>
      <c r="W159" s="647" t="s">
        <v>714</v>
      </c>
      <c r="X159" s="770">
        <v>102562768</v>
      </c>
      <c r="Y159" s="772">
        <v>0</v>
      </c>
      <c r="Z159" s="770">
        <v>102562768</v>
      </c>
      <c r="AA159" s="645" t="s">
        <v>882</v>
      </c>
      <c r="AB159" s="647">
        <v>5421</v>
      </c>
      <c r="AC159" s="645" t="s">
        <v>708</v>
      </c>
      <c r="AD159" s="648">
        <v>44215</v>
      </c>
      <c r="AE159" s="648">
        <v>44550</v>
      </c>
      <c r="AF159" s="645" t="s">
        <v>836</v>
      </c>
      <c r="AG159" s="645" t="s">
        <v>282</v>
      </c>
    </row>
    <row r="160" spans="1:33" s="25" customFormat="1" ht="272.45" customHeight="1" x14ac:dyDescent="0.35">
      <c r="A160" s="715">
        <v>132</v>
      </c>
      <c r="B160" s="633" t="s">
        <v>400</v>
      </c>
      <c r="C160" s="642" t="s">
        <v>282</v>
      </c>
      <c r="D160" s="640">
        <v>80101706</v>
      </c>
      <c r="E160" s="641" t="s">
        <v>541</v>
      </c>
      <c r="F160" s="640" t="s">
        <v>61</v>
      </c>
      <c r="G160" s="634">
        <v>1</v>
      </c>
      <c r="H160" s="634" t="s">
        <v>91</v>
      </c>
      <c r="I160" s="637">
        <v>11.1</v>
      </c>
      <c r="J160" s="638" t="s">
        <v>92</v>
      </c>
      <c r="K160" s="634" t="s">
        <v>100</v>
      </c>
      <c r="L160" s="634" t="s">
        <v>362</v>
      </c>
      <c r="M160" s="758">
        <v>102562768</v>
      </c>
      <c r="N160" s="759">
        <v>102562768</v>
      </c>
      <c r="O160" s="634" t="s">
        <v>65</v>
      </c>
      <c r="P160" s="634" t="s">
        <v>66</v>
      </c>
      <c r="Q160" s="781" t="s">
        <v>363</v>
      </c>
      <c r="R160" s="24"/>
      <c r="S160" s="644" t="s">
        <v>893</v>
      </c>
      <c r="T160" s="645" t="s">
        <v>894</v>
      </c>
      <c r="U160" s="646">
        <v>44214</v>
      </c>
      <c r="V160" s="645" t="s">
        <v>881</v>
      </c>
      <c r="W160" s="647" t="s">
        <v>714</v>
      </c>
      <c r="X160" s="770">
        <v>102562768</v>
      </c>
      <c r="Y160" s="772">
        <v>0</v>
      </c>
      <c r="Z160" s="770">
        <v>102562768</v>
      </c>
      <c r="AA160" s="645" t="s">
        <v>882</v>
      </c>
      <c r="AB160" s="647">
        <v>5521</v>
      </c>
      <c r="AC160" s="645" t="s">
        <v>708</v>
      </c>
      <c r="AD160" s="648">
        <v>44215</v>
      </c>
      <c r="AE160" s="648">
        <v>44550</v>
      </c>
      <c r="AF160" s="645" t="s">
        <v>836</v>
      </c>
      <c r="AG160" s="645" t="s">
        <v>282</v>
      </c>
    </row>
    <row r="161" spans="1:33" s="25" customFormat="1" ht="272.45" customHeight="1" x14ac:dyDescent="0.35">
      <c r="A161" s="715">
        <v>133</v>
      </c>
      <c r="B161" s="633" t="s">
        <v>400</v>
      </c>
      <c r="C161" s="642" t="s">
        <v>282</v>
      </c>
      <c r="D161" s="640">
        <v>80101706</v>
      </c>
      <c r="E161" s="641" t="s">
        <v>542</v>
      </c>
      <c r="F161" s="640" t="s">
        <v>61</v>
      </c>
      <c r="G161" s="634">
        <v>1</v>
      </c>
      <c r="H161" s="634" t="s">
        <v>91</v>
      </c>
      <c r="I161" s="637">
        <v>11.1</v>
      </c>
      <c r="J161" s="638" t="s">
        <v>92</v>
      </c>
      <c r="K161" s="634" t="s">
        <v>100</v>
      </c>
      <c r="L161" s="634" t="s">
        <v>362</v>
      </c>
      <c r="M161" s="758">
        <v>102562768</v>
      </c>
      <c r="N161" s="759">
        <v>102562768</v>
      </c>
      <c r="O161" s="634" t="s">
        <v>65</v>
      </c>
      <c r="P161" s="634" t="s">
        <v>66</v>
      </c>
      <c r="Q161" s="781" t="s">
        <v>363</v>
      </c>
      <c r="R161" s="265"/>
      <c r="S161" s="644" t="s">
        <v>895</v>
      </c>
      <c r="T161" s="645" t="s">
        <v>896</v>
      </c>
      <c r="U161" s="646">
        <v>44214</v>
      </c>
      <c r="V161" s="645" t="s">
        <v>881</v>
      </c>
      <c r="W161" s="647" t="s">
        <v>714</v>
      </c>
      <c r="X161" s="770">
        <v>102562768</v>
      </c>
      <c r="Y161" s="772">
        <v>0</v>
      </c>
      <c r="Z161" s="770">
        <v>102562768</v>
      </c>
      <c r="AA161" s="645" t="s">
        <v>882</v>
      </c>
      <c r="AB161" s="647">
        <v>5721</v>
      </c>
      <c r="AC161" s="645" t="s">
        <v>708</v>
      </c>
      <c r="AD161" s="648">
        <v>44215</v>
      </c>
      <c r="AE161" s="648">
        <v>44550</v>
      </c>
      <c r="AF161" s="645" t="s">
        <v>836</v>
      </c>
      <c r="AG161" s="645" t="s">
        <v>282</v>
      </c>
    </row>
    <row r="162" spans="1:33" s="25" customFormat="1" ht="272.45" customHeight="1" x14ac:dyDescent="0.35">
      <c r="A162" s="715">
        <v>134</v>
      </c>
      <c r="B162" s="633" t="s">
        <v>400</v>
      </c>
      <c r="C162" s="642" t="s">
        <v>282</v>
      </c>
      <c r="D162" s="640">
        <v>80101706</v>
      </c>
      <c r="E162" s="641" t="s">
        <v>543</v>
      </c>
      <c r="F162" s="640" t="s">
        <v>61</v>
      </c>
      <c r="G162" s="634">
        <v>1</v>
      </c>
      <c r="H162" s="634" t="s">
        <v>91</v>
      </c>
      <c r="I162" s="637">
        <v>11.1</v>
      </c>
      <c r="J162" s="638" t="s">
        <v>92</v>
      </c>
      <c r="K162" s="634" t="s">
        <v>100</v>
      </c>
      <c r="L162" s="634" t="s">
        <v>362</v>
      </c>
      <c r="M162" s="758">
        <v>102562768</v>
      </c>
      <c r="N162" s="759">
        <v>102562768</v>
      </c>
      <c r="O162" s="634" t="s">
        <v>65</v>
      </c>
      <c r="P162" s="634" t="s">
        <v>66</v>
      </c>
      <c r="Q162" s="781" t="s">
        <v>363</v>
      </c>
      <c r="R162" s="28"/>
      <c r="S162" s="644" t="s">
        <v>897</v>
      </c>
      <c r="T162" s="645" t="s">
        <v>898</v>
      </c>
      <c r="U162" s="646">
        <v>44214</v>
      </c>
      <c r="V162" s="645" t="s">
        <v>881</v>
      </c>
      <c r="W162" s="647" t="s">
        <v>714</v>
      </c>
      <c r="X162" s="770">
        <v>102562768</v>
      </c>
      <c r="Y162" s="772">
        <v>0</v>
      </c>
      <c r="Z162" s="770">
        <v>102562768</v>
      </c>
      <c r="AA162" s="645" t="s">
        <v>882</v>
      </c>
      <c r="AB162" s="647">
        <v>5821</v>
      </c>
      <c r="AC162" s="645" t="s">
        <v>708</v>
      </c>
      <c r="AD162" s="648">
        <v>44215</v>
      </c>
      <c r="AE162" s="648">
        <v>44550</v>
      </c>
      <c r="AF162" s="645" t="s">
        <v>836</v>
      </c>
      <c r="AG162" s="645" t="s">
        <v>282</v>
      </c>
    </row>
    <row r="163" spans="1:33" s="226" customFormat="1" ht="272.45" customHeight="1" x14ac:dyDescent="0.35">
      <c r="A163" s="715">
        <v>135</v>
      </c>
      <c r="B163" s="633" t="s">
        <v>400</v>
      </c>
      <c r="C163" s="642" t="s">
        <v>282</v>
      </c>
      <c r="D163" s="640">
        <v>80101706</v>
      </c>
      <c r="E163" s="641" t="s">
        <v>544</v>
      </c>
      <c r="F163" s="640" t="s">
        <v>61</v>
      </c>
      <c r="G163" s="634">
        <v>1</v>
      </c>
      <c r="H163" s="634" t="s">
        <v>91</v>
      </c>
      <c r="I163" s="637">
        <v>11.1</v>
      </c>
      <c r="J163" s="638" t="s">
        <v>92</v>
      </c>
      <c r="K163" s="634" t="s">
        <v>100</v>
      </c>
      <c r="L163" s="634" t="s">
        <v>362</v>
      </c>
      <c r="M163" s="758">
        <v>102562768</v>
      </c>
      <c r="N163" s="759">
        <v>102562768</v>
      </c>
      <c r="O163" s="634" t="s">
        <v>65</v>
      </c>
      <c r="P163" s="634" t="s">
        <v>66</v>
      </c>
      <c r="Q163" s="781" t="s">
        <v>363</v>
      </c>
      <c r="R163" s="24"/>
      <c r="S163" s="644" t="s">
        <v>899</v>
      </c>
      <c r="T163" s="645" t="s">
        <v>900</v>
      </c>
      <c r="U163" s="646">
        <v>44214</v>
      </c>
      <c r="V163" s="645" t="s">
        <v>881</v>
      </c>
      <c r="W163" s="647" t="s">
        <v>714</v>
      </c>
      <c r="X163" s="770">
        <v>102562768</v>
      </c>
      <c r="Y163" s="772">
        <v>0</v>
      </c>
      <c r="Z163" s="770">
        <v>102562768</v>
      </c>
      <c r="AA163" s="645" t="s">
        <v>882</v>
      </c>
      <c r="AB163" s="647">
        <v>5921</v>
      </c>
      <c r="AC163" s="645" t="s">
        <v>708</v>
      </c>
      <c r="AD163" s="648">
        <v>44215</v>
      </c>
      <c r="AE163" s="648">
        <v>44550</v>
      </c>
      <c r="AF163" s="645" t="s">
        <v>836</v>
      </c>
      <c r="AG163" s="645" t="s">
        <v>282</v>
      </c>
    </row>
    <row r="164" spans="1:33" s="226" customFormat="1" ht="272.45" customHeight="1" x14ac:dyDescent="0.35">
      <c r="A164" s="715">
        <v>136</v>
      </c>
      <c r="B164" s="633" t="s">
        <v>400</v>
      </c>
      <c r="C164" s="642" t="s">
        <v>282</v>
      </c>
      <c r="D164" s="640">
        <v>80101706</v>
      </c>
      <c r="E164" s="641" t="s">
        <v>545</v>
      </c>
      <c r="F164" s="640" t="s">
        <v>61</v>
      </c>
      <c r="G164" s="634">
        <v>1</v>
      </c>
      <c r="H164" s="634" t="s">
        <v>91</v>
      </c>
      <c r="I164" s="637">
        <v>11.1</v>
      </c>
      <c r="J164" s="638" t="s">
        <v>92</v>
      </c>
      <c r="K164" s="634" t="s">
        <v>100</v>
      </c>
      <c r="L164" s="634" t="s">
        <v>362</v>
      </c>
      <c r="M164" s="758">
        <v>102562768</v>
      </c>
      <c r="N164" s="759">
        <v>102562768</v>
      </c>
      <c r="O164" s="634" t="s">
        <v>65</v>
      </c>
      <c r="P164" s="634" t="s">
        <v>66</v>
      </c>
      <c r="Q164" s="781" t="s">
        <v>363</v>
      </c>
      <c r="R164" s="24"/>
      <c r="S164" s="644" t="s">
        <v>901</v>
      </c>
      <c r="T164" s="645" t="s">
        <v>902</v>
      </c>
      <c r="U164" s="646">
        <v>44214</v>
      </c>
      <c r="V164" s="645" t="s">
        <v>881</v>
      </c>
      <c r="W164" s="647" t="s">
        <v>714</v>
      </c>
      <c r="X164" s="770">
        <v>102562768</v>
      </c>
      <c r="Y164" s="772">
        <v>0</v>
      </c>
      <c r="Z164" s="770">
        <v>102562768</v>
      </c>
      <c r="AA164" s="645" t="s">
        <v>882</v>
      </c>
      <c r="AB164" s="647">
        <v>6121</v>
      </c>
      <c r="AC164" s="645" t="s">
        <v>708</v>
      </c>
      <c r="AD164" s="648">
        <v>44215</v>
      </c>
      <c r="AE164" s="648">
        <v>44550</v>
      </c>
      <c r="AF164" s="645" t="s">
        <v>836</v>
      </c>
      <c r="AG164" s="645" t="s">
        <v>282</v>
      </c>
    </row>
    <row r="165" spans="1:33" s="226" customFormat="1" ht="272.45" customHeight="1" x14ac:dyDescent="0.35">
      <c r="A165" s="715">
        <v>137</v>
      </c>
      <c r="B165" s="633" t="s">
        <v>400</v>
      </c>
      <c r="C165" s="642" t="s">
        <v>282</v>
      </c>
      <c r="D165" s="640">
        <v>80101706</v>
      </c>
      <c r="E165" s="641" t="s">
        <v>546</v>
      </c>
      <c r="F165" s="640" t="s">
        <v>61</v>
      </c>
      <c r="G165" s="634">
        <v>1</v>
      </c>
      <c r="H165" s="634" t="s">
        <v>91</v>
      </c>
      <c r="I165" s="637">
        <v>11.1</v>
      </c>
      <c r="J165" s="638" t="s">
        <v>92</v>
      </c>
      <c r="K165" s="634" t="s">
        <v>100</v>
      </c>
      <c r="L165" s="634" t="s">
        <v>362</v>
      </c>
      <c r="M165" s="758">
        <v>100551733</v>
      </c>
      <c r="N165" s="759">
        <v>100551733</v>
      </c>
      <c r="O165" s="634" t="s">
        <v>65</v>
      </c>
      <c r="P165" s="634" t="s">
        <v>66</v>
      </c>
      <c r="Q165" s="781" t="s">
        <v>363</v>
      </c>
      <c r="R165" s="24"/>
      <c r="S165" s="644" t="s">
        <v>903</v>
      </c>
      <c r="T165" s="645" t="s">
        <v>904</v>
      </c>
      <c r="U165" s="646">
        <v>44215</v>
      </c>
      <c r="V165" s="645" t="s">
        <v>905</v>
      </c>
      <c r="W165" s="647" t="s">
        <v>714</v>
      </c>
      <c r="X165" s="770">
        <v>100551733</v>
      </c>
      <c r="Y165" s="772">
        <v>0</v>
      </c>
      <c r="Z165" s="770">
        <v>100551733</v>
      </c>
      <c r="AA165" s="645" t="s">
        <v>906</v>
      </c>
      <c r="AB165" s="647">
        <v>6221</v>
      </c>
      <c r="AC165" s="645" t="s">
        <v>720</v>
      </c>
      <c r="AD165" s="648">
        <v>44216</v>
      </c>
      <c r="AE165" s="648">
        <v>44551</v>
      </c>
      <c r="AF165" s="645" t="s">
        <v>836</v>
      </c>
      <c r="AG165" s="645" t="s">
        <v>282</v>
      </c>
    </row>
    <row r="166" spans="1:33" s="226" customFormat="1" ht="272.45" customHeight="1" x14ac:dyDescent="0.35">
      <c r="A166" s="715">
        <v>138</v>
      </c>
      <c r="B166" s="633" t="s">
        <v>400</v>
      </c>
      <c r="C166" s="642" t="s">
        <v>282</v>
      </c>
      <c r="D166" s="640">
        <v>80101706</v>
      </c>
      <c r="E166" s="641" t="s">
        <v>547</v>
      </c>
      <c r="F166" s="640" t="s">
        <v>61</v>
      </c>
      <c r="G166" s="634">
        <v>1</v>
      </c>
      <c r="H166" s="634" t="s">
        <v>91</v>
      </c>
      <c r="I166" s="637">
        <v>11.1</v>
      </c>
      <c r="J166" s="638" t="s">
        <v>92</v>
      </c>
      <c r="K166" s="634" t="s">
        <v>100</v>
      </c>
      <c r="L166" s="634" t="s">
        <v>362</v>
      </c>
      <c r="M166" s="758">
        <v>100551733</v>
      </c>
      <c r="N166" s="759">
        <v>100551733</v>
      </c>
      <c r="O166" s="634" t="s">
        <v>65</v>
      </c>
      <c r="P166" s="634" t="s">
        <v>66</v>
      </c>
      <c r="Q166" s="781" t="s">
        <v>363</v>
      </c>
      <c r="R166" s="24"/>
      <c r="S166" s="644" t="s">
        <v>907</v>
      </c>
      <c r="T166" s="645" t="s">
        <v>908</v>
      </c>
      <c r="U166" s="646">
        <v>44215</v>
      </c>
      <c r="V166" s="645" t="s">
        <v>905</v>
      </c>
      <c r="W166" s="647" t="s">
        <v>714</v>
      </c>
      <c r="X166" s="770">
        <v>100551733</v>
      </c>
      <c r="Y166" s="772">
        <v>0</v>
      </c>
      <c r="Z166" s="770">
        <v>100551733</v>
      </c>
      <c r="AA166" s="645" t="s">
        <v>906</v>
      </c>
      <c r="AB166" s="647">
        <v>6421</v>
      </c>
      <c r="AC166" s="645" t="s">
        <v>720</v>
      </c>
      <c r="AD166" s="648">
        <v>44216</v>
      </c>
      <c r="AE166" s="648">
        <v>44551</v>
      </c>
      <c r="AF166" s="645" t="s">
        <v>836</v>
      </c>
      <c r="AG166" s="645" t="s">
        <v>282</v>
      </c>
    </row>
    <row r="167" spans="1:33" s="25" customFormat="1" ht="272.45" customHeight="1" x14ac:dyDescent="0.35">
      <c r="A167" s="715">
        <v>139</v>
      </c>
      <c r="B167" s="633" t="s">
        <v>400</v>
      </c>
      <c r="C167" s="642" t="s">
        <v>282</v>
      </c>
      <c r="D167" s="640">
        <v>80101706</v>
      </c>
      <c r="E167" s="641" t="s">
        <v>548</v>
      </c>
      <c r="F167" s="640" t="s">
        <v>61</v>
      </c>
      <c r="G167" s="634">
        <v>1</v>
      </c>
      <c r="H167" s="634" t="s">
        <v>91</v>
      </c>
      <c r="I167" s="637">
        <v>11.1</v>
      </c>
      <c r="J167" s="638" t="s">
        <v>92</v>
      </c>
      <c r="K167" s="634" t="s">
        <v>100</v>
      </c>
      <c r="L167" s="634" t="s">
        <v>362</v>
      </c>
      <c r="M167" s="758">
        <v>100551733</v>
      </c>
      <c r="N167" s="759">
        <v>100551733</v>
      </c>
      <c r="O167" s="634" t="s">
        <v>65</v>
      </c>
      <c r="P167" s="634" t="s">
        <v>66</v>
      </c>
      <c r="Q167" s="781" t="s">
        <v>363</v>
      </c>
      <c r="R167" s="24"/>
      <c r="S167" s="644" t="s">
        <v>909</v>
      </c>
      <c r="T167" s="645" t="s">
        <v>910</v>
      </c>
      <c r="U167" s="646">
        <v>44215</v>
      </c>
      <c r="V167" s="645" t="s">
        <v>905</v>
      </c>
      <c r="W167" s="647" t="s">
        <v>714</v>
      </c>
      <c r="X167" s="770">
        <v>100551733</v>
      </c>
      <c r="Y167" s="772">
        <v>0</v>
      </c>
      <c r="Z167" s="770">
        <v>100551733</v>
      </c>
      <c r="AA167" s="645" t="s">
        <v>906</v>
      </c>
      <c r="AB167" s="647">
        <v>6521</v>
      </c>
      <c r="AC167" s="645" t="s">
        <v>720</v>
      </c>
      <c r="AD167" s="648">
        <v>44216</v>
      </c>
      <c r="AE167" s="648">
        <v>44551</v>
      </c>
      <c r="AF167" s="645" t="s">
        <v>836</v>
      </c>
      <c r="AG167" s="645" t="s">
        <v>282</v>
      </c>
    </row>
    <row r="168" spans="1:33" s="25" customFormat="1" ht="272.45" customHeight="1" x14ac:dyDescent="0.35">
      <c r="A168" s="715">
        <v>140</v>
      </c>
      <c r="B168" s="633" t="s">
        <v>381</v>
      </c>
      <c r="C168" s="642" t="s">
        <v>282</v>
      </c>
      <c r="D168" s="640">
        <v>80101706</v>
      </c>
      <c r="E168" s="641" t="s">
        <v>549</v>
      </c>
      <c r="F168" s="640" t="s">
        <v>61</v>
      </c>
      <c r="G168" s="634">
        <v>1</v>
      </c>
      <c r="H168" s="634" t="s">
        <v>91</v>
      </c>
      <c r="I168" s="637">
        <v>11</v>
      </c>
      <c r="J168" s="638" t="s">
        <v>92</v>
      </c>
      <c r="K168" s="634" t="s">
        <v>100</v>
      </c>
      <c r="L168" s="634" t="s">
        <v>378</v>
      </c>
      <c r="M168" s="758">
        <v>82750000</v>
      </c>
      <c r="N168" s="759">
        <v>82750000</v>
      </c>
      <c r="O168" s="634" t="s">
        <v>65</v>
      </c>
      <c r="P168" s="634" t="s">
        <v>66</v>
      </c>
      <c r="Q168" s="781" t="s">
        <v>363</v>
      </c>
      <c r="R168" s="24"/>
      <c r="S168" s="644" t="s">
        <v>911</v>
      </c>
      <c r="T168" s="645" t="s">
        <v>912</v>
      </c>
      <c r="U168" s="646">
        <v>44215</v>
      </c>
      <c r="V168" s="645" t="s">
        <v>913</v>
      </c>
      <c r="W168" s="647" t="s">
        <v>714</v>
      </c>
      <c r="X168" s="770">
        <v>82750000</v>
      </c>
      <c r="Y168" s="772">
        <v>0</v>
      </c>
      <c r="Z168" s="770">
        <v>82750000</v>
      </c>
      <c r="AA168" s="645" t="s">
        <v>914</v>
      </c>
      <c r="AB168" s="647">
        <v>20921</v>
      </c>
      <c r="AC168" s="645" t="s">
        <v>708</v>
      </c>
      <c r="AD168" s="648">
        <v>44216</v>
      </c>
      <c r="AE168" s="648">
        <v>44550</v>
      </c>
      <c r="AF168" s="645" t="s">
        <v>836</v>
      </c>
      <c r="AG168" s="645" t="s">
        <v>282</v>
      </c>
    </row>
    <row r="169" spans="1:33" s="25" customFormat="1" ht="272.45" customHeight="1" x14ac:dyDescent="0.35">
      <c r="A169" s="715">
        <v>141</v>
      </c>
      <c r="B169" s="633" t="s">
        <v>401</v>
      </c>
      <c r="C169" s="642" t="s">
        <v>282</v>
      </c>
      <c r="D169" s="640">
        <v>80101706</v>
      </c>
      <c r="E169" s="641" t="s">
        <v>550</v>
      </c>
      <c r="F169" s="640" t="s">
        <v>61</v>
      </c>
      <c r="G169" s="634">
        <v>1</v>
      </c>
      <c r="H169" s="634" t="s">
        <v>91</v>
      </c>
      <c r="I169" s="637">
        <v>11</v>
      </c>
      <c r="J169" s="638" t="s">
        <v>92</v>
      </c>
      <c r="K169" s="634" t="s">
        <v>100</v>
      </c>
      <c r="L169" s="634" t="s">
        <v>362</v>
      </c>
      <c r="M169" s="758">
        <v>82750000</v>
      </c>
      <c r="N169" s="759">
        <v>82750000</v>
      </c>
      <c r="O169" s="634" t="s">
        <v>65</v>
      </c>
      <c r="P169" s="634" t="s">
        <v>66</v>
      </c>
      <c r="Q169" s="781" t="s">
        <v>363</v>
      </c>
      <c r="R169" s="24"/>
      <c r="S169" s="644" t="s">
        <v>1332</v>
      </c>
      <c r="T169" s="645" t="s">
        <v>1333</v>
      </c>
      <c r="U169" s="646">
        <v>44217</v>
      </c>
      <c r="V169" s="645" t="s">
        <v>1334</v>
      </c>
      <c r="W169" s="647" t="s">
        <v>714</v>
      </c>
      <c r="X169" s="770">
        <v>82500000</v>
      </c>
      <c r="Y169" s="772">
        <v>0</v>
      </c>
      <c r="Z169" s="770">
        <v>82500000</v>
      </c>
      <c r="AA169" s="645" t="s">
        <v>1335</v>
      </c>
      <c r="AB169" s="647">
        <v>7521</v>
      </c>
      <c r="AC169" s="645" t="s">
        <v>708</v>
      </c>
      <c r="AD169" s="648">
        <v>44217</v>
      </c>
      <c r="AE169" s="648">
        <v>44550</v>
      </c>
      <c r="AF169" s="645" t="s">
        <v>836</v>
      </c>
      <c r="AG169" s="645" t="s">
        <v>282</v>
      </c>
    </row>
    <row r="170" spans="1:33" s="25" customFormat="1" ht="272.45" customHeight="1" x14ac:dyDescent="0.35">
      <c r="A170" s="715">
        <v>142</v>
      </c>
      <c r="B170" s="633" t="s">
        <v>401</v>
      </c>
      <c r="C170" s="642" t="s">
        <v>282</v>
      </c>
      <c r="D170" s="640">
        <v>80101706</v>
      </c>
      <c r="E170" s="641" t="s">
        <v>551</v>
      </c>
      <c r="F170" s="640" t="s">
        <v>61</v>
      </c>
      <c r="G170" s="634">
        <v>1</v>
      </c>
      <c r="H170" s="634" t="s">
        <v>91</v>
      </c>
      <c r="I170" s="637">
        <v>11</v>
      </c>
      <c r="J170" s="638" t="s">
        <v>92</v>
      </c>
      <c r="K170" s="634" t="s">
        <v>100</v>
      </c>
      <c r="L170" s="634" t="s">
        <v>362</v>
      </c>
      <c r="M170" s="758">
        <v>82750000</v>
      </c>
      <c r="N170" s="759">
        <v>82750000</v>
      </c>
      <c r="O170" s="634" t="s">
        <v>65</v>
      </c>
      <c r="P170" s="634" t="s">
        <v>66</v>
      </c>
      <c r="Q170" s="781" t="s">
        <v>363</v>
      </c>
      <c r="R170" s="24"/>
      <c r="S170" s="644" t="s">
        <v>1336</v>
      </c>
      <c r="T170" s="645" t="s">
        <v>1337</v>
      </c>
      <c r="U170" s="646">
        <v>44217</v>
      </c>
      <c r="V170" s="645" t="s">
        <v>1338</v>
      </c>
      <c r="W170" s="647" t="s">
        <v>714</v>
      </c>
      <c r="X170" s="770">
        <v>82500000</v>
      </c>
      <c r="Y170" s="772">
        <v>0</v>
      </c>
      <c r="Z170" s="770">
        <v>82500000</v>
      </c>
      <c r="AA170" s="645" t="s">
        <v>1339</v>
      </c>
      <c r="AB170" s="647">
        <v>7621</v>
      </c>
      <c r="AC170" s="645" t="s">
        <v>708</v>
      </c>
      <c r="AD170" s="648">
        <v>44217</v>
      </c>
      <c r="AE170" s="648">
        <v>44550</v>
      </c>
      <c r="AF170" s="645" t="s">
        <v>836</v>
      </c>
      <c r="AG170" s="645" t="s">
        <v>282</v>
      </c>
    </row>
    <row r="171" spans="1:33" s="25" customFormat="1" ht="272.45" customHeight="1" x14ac:dyDescent="0.35">
      <c r="A171" s="715">
        <v>143</v>
      </c>
      <c r="B171" s="633" t="s">
        <v>401</v>
      </c>
      <c r="C171" s="642" t="s">
        <v>282</v>
      </c>
      <c r="D171" s="640">
        <v>80101706</v>
      </c>
      <c r="E171" s="641" t="s">
        <v>552</v>
      </c>
      <c r="F171" s="640" t="s">
        <v>61</v>
      </c>
      <c r="G171" s="634">
        <v>1</v>
      </c>
      <c r="H171" s="634" t="s">
        <v>91</v>
      </c>
      <c r="I171" s="637">
        <v>11</v>
      </c>
      <c r="J171" s="638" t="s">
        <v>92</v>
      </c>
      <c r="K171" s="634" t="s">
        <v>100</v>
      </c>
      <c r="L171" s="634" t="s">
        <v>362</v>
      </c>
      <c r="M171" s="758">
        <v>82750000</v>
      </c>
      <c r="N171" s="759">
        <v>82750000</v>
      </c>
      <c r="O171" s="634" t="s">
        <v>65</v>
      </c>
      <c r="P171" s="634" t="s">
        <v>66</v>
      </c>
      <c r="Q171" s="781" t="s">
        <v>363</v>
      </c>
      <c r="R171" s="24"/>
      <c r="S171" s="644" t="s">
        <v>1340</v>
      </c>
      <c r="T171" s="645" t="s">
        <v>1341</v>
      </c>
      <c r="U171" s="646">
        <v>44217</v>
      </c>
      <c r="V171" s="645" t="s">
        <v>1338</v>
      </c>
      <c r="W171" s="647" t="s">
        <v>714</v>
      </c>
      <c r="X171" s="770">
        <v>82500000</v>
      </c>
      <c r="Y171" s="772">
        <v>0</v>
      </c>
      <c r="Z171" s="770">
        <v>82500000</v>
      </c>
      <c r="AA171" s="645" t="s">
        <v>1339</v>
      </c>
      <c r="AB171" s="647">
        <v>7821</v>
      </c>
      <c r="AC171" s="645" t="s">
        <v>708</v>
      </c>
      <c r="AD171" s="648">
        <v>44217</v>
      </c>
      <c r="AE171" s="648">
        <v>44550</v>
      </c>
      <c r="AF171" s="645" t="s">
        <v>836</v>
      </c>
      <c r="AG171" s="645" t="s">
        <v>282</v>
      </c>
    </row>
    <row r="172" spans="1:33" s="25" customFormat="1" ht="272.45" customHeight="1" x14ac:dyDescent="0.35">
      <c r="A172" s="715">
        <v>144</v>
      </c>
      <c r="B172" s="633" t="s">
        <v>381</v>
      </c>
      <c r="C172" s="642" t="s">
        <v>282</v>
      </c>
      <c r="D172" s="640">
        <v>80101706</v>
      </c>
      <c r="E172" s="641" t="s">
        <v>553</v>
      </c>
      <c r="F172" s="640" t="s">
        <v>61</v>
      </c>
      <c r="G172" s="634">
        <v>1</v>
      </c>
      <c r="H172" s="634" t="s">
        <v>91</v>
      </c>
      <c r="I172" s="637">
        <v>11.3</v>
      </c>
      <c r="J172" s="638" t="s">
        <v>92</v>
      </c>
      <c r="K172" s="634" t="s">
        <v>100</v>
      </c>
      <c r="L172" s="634" t="s">
        <v>378</v>
      </c>
      <c r="M172" s="758">
        <v>77215424</v>
      </c>
      <c r="N172" s="759">
        <v>77215424</v>
      </c>
      <c r="O172" s="634" t="s">
        <v>65</v>
      </c>
      <c r="P172" s="634" t="s">
        <v>66</v>
      </c>
      <c r="Q172" s="781" t="s">
        <v>363</v>
      </c>
      <c r="R172" s="24"/>
      <c r="S172" s="644" t="s">
        <v>1342</v>
      </c>
      <c r="T172" s="645" t="s">
        <v>1343</v>
      </c>
      <c r="U172" s="646">
        <v>44218</v>
      </c>
      <c r="V172" s="645" t="s">
        <v>1344</v>
      </c>
      <c r="W172" s="647" t="s">
        <v>714</v>
      </c>
      <c r="X172" s="770">
        <v>74474048</v>
      </c>
      <c r="Y172" s="772">
        <v>0</v>
      </c>
      <c r="Z172" s="770">
        <v>74474048</v>
      </c>
      <c r="AA172" s="645" t="s">
        <v>1345</v>
      </c>
      <c r="AB172" s="647">
        <v>23621</v>
      </c>
      <c r="AC172" s="645" t="s">
        <v>708</v>
      </c>
      <c r="AD172" s="648">
        <v>44219</v>
      </c>
      <c r="AE172" s="648">
        <v>44550</v>
      </c>
      <c r="AF172" s="645" t="s">
        <v>836</v>
      </c>
      <c r="AG172" s="645" t="s">
        <v>282</v>
      </c>
    </row>
    <row r="173" spans="1:33" s="226" customFormat="1" ht="272.45" customHeight="1" x14ac:dyDescent="0.35">
      <c r="A173" s="715">
        <v>145</v>
      </c>
      <c r="B173" s="633" t="s">
        <v>401</v>
      </c>
      <c r="C173" s="642" t="s">
        <v>282</v>
      </c>
      <c r="D173" s="640">
        <v>80101706</v>
      </c>
      <c r="E173" s="641" t="s">
        <v>554</v>
      </c>
      <c r="F173" s="640" t="s">
        <v>61</v>
      </c>
      <c r="G173" s="634">
        <v>1</v>
      </c>
      <c r="H173" s="634" t="s">
        <v>91</v>
      </c>
      <c r="I173" s="637">
        <v>11</v>
      </c>
      <c r="J173" s="638" t="s">
        <v>92</v>
      </c>
      <c r="K173" s="634" t="s">
        <v>100</v>
      </c>
      <c r="L173" s="634" t="s">
        <v>362</v>
      </c>
      <c r="M173" s="758">
        <v>71500000</v>
      </c>
      <c r="N173" s="759">
        <v>71500000</v>
      </c>
      <c r="O173" s="634" t="s">
        <v>65</v>
      </c>
      <c r="P173" s="634" t="s">
        <v>66</v>
      </c>
      <c r="Q173" s="781" t="s">
        <v>363</v>
      </c>
      <c r="R173" s="24"/>
      <c r="S173" s="644" t="s">
        <v>1346</v>
      </c>
      <c r="T173" s="645" t="s">
        <v>1347</v>
      </c>
      <c r="U173" s="646">
        <v>44217</v>
      </c>
      <c r="V173" s="645" t="s">
        <v>1348</v>
      </c>
      <c r="W173" s="647" t="s">
        <v>714</v>
      </c>
      <c r="X173" s="770">
        <v>71283333</v>
      </c>
      <c r="Y173" s="772">
        <v>0</v>
      </c>
      <c r="Z173" s="770">
        <v>71283333</v>
      </c>
      <c r="AA173" s="645" t="s">
        <v>1349</v>
      </c>
      <c r="AB173" s="647">
        <v>7921</v>
      </c>
      <c r="AC173" s="645" t="s">
        <v>1350</v>
      </c>
      <c r="AD173" s="648">
        <v>44223</v>
      </c>
      <c r="AE173" s="648">
        <v>44555</v>
      </c>
      <c r="AF173" s="645" t="s">
        <v>836</v>
      </c>
      <c r="AG173" s="645" t="s">
        <v>282</v>
      </c>
    </row>
    <row r="174" spans="1:33" s="226" customFormat="1" ht="272.45" customHeight="1" x14ac:dyDescent="0.35">
      <c r="A174" s="715">
        <v>146</v>
      </c>
      <c r="B174" s="633" t="s">
        <v>379</v>
      </c>
      <c r="C174" s="642" t="s">
        <v>282</v>
      </c>
      <c r="D174" s="640">
        <v>80101706</v>
      </c>
      <c r="E174" s="641" t="s">
        <v>555</v>
      </c>
      <c r="F174" s="640" t="s">
        <v>61</v>
      </c>
      <c r="G174" s="634">
        <v>1</v>
      </c>
      <c r="H174" s="634" t="s">
        <v>91</v>
      </c>
      <c r="I174" s="637">
        <v>11</v>
      </c>
      <c r="J174" s="638" t="s">
        <v>92</v>
      </c>
      <c r="K174" s="634" t="s">
        <v>100</v>
      </c>
      <c r="L174" s="634" t="s">
        <v>378</v>
      </c>
      <c r="M174" s="758">
        <v>82250000</v>
      </c>
      <c r="N174" s="759">
        <v>82250000</v>
      </c>
      <c r="O174" s="634" t="s">
        <v>65</v>
      </c>
      <c r="P174" s="634" t="s">
        <v>66</v>
      </c>
      <c r="Q174" s="781" t="s">
        <v>363</v>
      </c>
      <c r="R174" s="24"/>
      <c r="S174" s="644" t="s">
        <v>1351</v>
      </c>
      <c r="T174" s="645" t="s">
        <v>1352</v>
      </c>
      <c r="U174" s="646">
        <v>44222</v>
      </c>
      <c r="V174" s="645" t="s">
        <v>1353</v>
      </c>
      <c r="W174" s="647" t="s">
        <v>714</v>
      </c>
      <c r="X174" s="770">
        <v>81000000</v>
      </c>
      <c r="Y174" s="772">
        <v>0</v>
      </c>
      <c r="Z174" s="770">
        <v>81000000</v>
      </c>
      <c r="AA174" s="645" t="s">
        <v>1354</v>
      </c>
      <c r="AB174" s="647">
        <v>20721</v>
      </c>
      <c r="AC174" s="645" t="s">
        <v>708</v>
      </c>
      <c r="AD174" s="648">
        <v>44224</v>
      </c>
      <c r="AE174" s="648">
        <v>44550</v>
      </c>
      <c r="AF174" s="645" t="s">
        <v>836</v>
      </c>
      <c r="AG174" s="645" t="s">
        <v>282</v>
      </c>
    </row>
    <row r="175" spans="1:33" s="226" customFormat="1" ht="272.45" customHeight="1" x14ac:dyDescent="0.35">
      <c r="A175" s="715">
        <v>147</v>
      </c>
      <c r="B175" s="633" t="s">
        <v>402</v>
      </c>
      <c r="C175" s="642" t="s">
        <v>282</v>
      </c>
      <c r="D175" s="640">
        <v>80101706</v>
      </c>
      <c r="E175" s="641" t="s">
        <v>556</v>
      </c>
      <c r="F175" s="640" t="s">
        <v>61</v>
      </c>
      <c r="G175" s="634">
        <v>1</v>
      </c>
      <c r="H175" s="634" t="s">
        <v>91</v>
      </c>
      <c r="I175" s="637">
        <v>11</v>
      </c>
      <c r="J175" s="638" t="s">
        <v>92</v>
      </c>
      <c r="K175" s="634" t="s">
        <v>100</v>
      </c>
      <c r="L175" s="634" t="s">
        <v>362</v>
      </c>
      <c r="M175" s="758">
        <v>55800155</v>
      </c>
      <c r="N175" s="759">
        <v>55800155</v>
      </c>
      <c r="O175" s="634" t="s">
        <v>65</v>
      </c>
      <c r="P175" s="634" t="s">
        <v>66</v>
      </c>
      <c r="Q175" s="781" t="s">
        <v>363</v>
      </c>
      <c r="R175" s="24"/>
      <c r="S175" s="644" t="s">
        <v>1355</v>
      </c>
      <c r="T175" s="645" t="s">
        <v>1356</v>
      </c>
      <c r="U175" s="646">
        <v>44230</v>
      </c>
      <c r="V175" s="645" t="s">
        <v>1357</v>
      </c>
      <c r="W175" s="647" t="s">
        <v>714</v>
      </c>
      <c r="X175" s="770">
        <v>53595285</v>
      </c>
      <c r="Y175" s="772">
        <v>0</v>
      </c>
      <c r="Z175" s="770">
        <v>53595285</v>
      </c>
      <c r="AA175" s="645" t="s">
        <v>1358</v>
      </c>
      <c r="AB175" s="647">
        <v>8121</v>
      </c>
      <c r="AC175" s="645" t="s">
        <v>708</v>
      </c>
      <c r="AD175" s="648">
        <v>44230</v>
      </c>
      <c r="AE175" s="648">
        <v>44550</v>
      </c>
      <c r="AF175" s="645" t="s">
        <v>836</v>
      </c>
      <c r="AG175" s="645" t="s">
        <v>282</v>
      </c>
    </row>
    <row r="176" spans="1:33" s="226" customFormat="1" ht="272.45" customHeight="1" x14ac:dyDescent="0.35">
      <c r="A176" s="715">
        <v>148</v>
      </c>
      <c r="B176" s="633" t="s">
        <v>401</v>
      </c>
      <c r="C176" s="642" t="s">
        <v>282</v>
      </c>
      <c r="D176" s="640">
        <v>80101706</v>
      </c>
      <c r="E176" s="641" t="s">
        <v>557</v>
      </c>
      <c r="F176" s="640" t="s">
        <v>61</v>
      </c>
      <c r="G176" s="634">
        <v>1</v>
      </c>
      <c r="H176" s="634" t="s">
        <v>91</v>
      </c>
      <c r="I176" s="637">
        <v>11</v>
      </c>
      <c r="J176" s="638" t="s">
        <v>92</v>
      </c>
      <c r="K176" s="634" t="s">
        <v>100</v>
      </c>
      <c r="L176" s="634" t="s">
        <v>362</v>
      </c>
      <c r="M176" s="758">
        <v>82250000</v>
      </c>
      <c r="N176" s="759">
        <v>82250000</v>
      </c>
      <c r="O176" s="634" t="s">
        <v>65</v>
      </c>
      <c r="P176" s="634" t="s">
        <v>66</v>
      </c>
      <c r="Q176" s="781" t="s">
        <v>363</v>
      </c>
      <c r="R176" s="24"/>
      <c r="S176" s="644" t="s">
        <v>1359</v>
      </c>
      <c r="T176" s="645" t="s">
        <v>1360</v>
      </c>
      <c r="U176" s="646">
        <v>44218</v>
      </c>
      <c r="V176" s="645" t="s">
        <v>1361</v>
      </c>
      <c r="W176" s="647" t="s">
        <v>714</v>
      </c>
      <c r="X176" s="770">
        <v>81500000</v>
      </c>
      <c r="Y176" s="772">
        <v>0</v>
      </c>
      <c r="Z176" s="770">
        <v>81500000</v>
      </c>
      <c r="AA176" s="645" t="s">
        <v>1362</v>
      </c>
      <c r="AB176" s="647">
        <v>8221</v>
      </c>
      <c r="AC176" s="645" t="s">
        <v>708</v>
      </c>
      <c r="AD176" s="648">
        <v>44219</v>
      </c>
      <c r="AE176" s="648">
        <v>44550</v>
      </c>
      <c r="AF176" s="645" t="s">
        <v>836</v>
      </c>
      <c r="AG176" s="645" t="s">
        <v>282</v>
      </c>
    </row>
    <row r="177" spans="1:33" s="226" customFormat="1" ht="272.45" customHeight="1" x14ac:dyDescent="0.35">
      <c r="A177" s="715">
        <v>149</v>
      </c>
      <c r="B177" s="633" t="s">
        <v>401</v>
      </c>
      <c r="C177" s="642" t="s">
        <v>282</v>
      </c>
      <c r="D177" s="640">
        <v>80101706</v>
      </c>
      <c r="E177" s="641" t="s">
        <v>558</v>
      </c>
      <c r="F177" s="640" t="s">
        <v>61</v>
      </c>
      <c r="G177" s="634">
        <v>1</v>
      </c>
      <c r="H177" s="634" t="s">
        <v>91</v>
      </c>
      <c r="I177" s="637">
        <v>11</v>
      </c>
      <c r="J177" s="638" t="s">
        <v>92</v>
      </c>
      <c r="K177" s="634" t="s">
        <v>100</v>
      </c>
      <c r="L177" s="634" t="s">
        <v>362</v>
      </c>
      <c r="M177" s="758">
        <v>36440917</v>
      </c>
      <c r="N177" s="759">
        <v>36440917</v>
      </c>
      <c r="O177" s="634" t="s">
        <v>65</v>
      </c>
      <c r="P177" s="634" t="s">
        <v>66</v>
      </c>
      <c r="Q177" s="781" t="s">
        <v>363</v>
      </c>
      <c r="R177" s="24"/>
      <c r="S177" s="644" t="s">
        <v>1363</v>
      </c>
      <c r="T177" s="645" t="s">
        <v>1364</v>
      </c>
      <c r="U177" s="646">
        <v>44225</v>
      </c>
      <c r="V177" s="645" t="s">
        <v>1365</v>
      </c>
      <c r="W177" s="647" t="s">
        <v>714</v>
      </c>
      <c r="X177" s="770">
        <v>35554816</v>
      </c>
      <c r="Y177" s="772">
        <v>0</v>
      </c>
      <c r="Z177" s="770">
        <v>35554816</v>
      </c>
      <c r="AA177" s="645" t="s">
        <v>1366</v>
      </c>
      <c r="AB177" s="647">
        <v>8421</v>
      </c>
      <c r="AC177" s="645" t="s">
        <v>708</v>
      </c>
      <c r="AD177" s="648">
        <v>44226</v>
      </c>
      <c r="AE177" s="648">
        <v>44550</v>
      </c>
      <c r="AF177" s="645" t="s">
        <v>836</v>
      </c>
      <c r="AG177" s="645" t="s">
        <v>282</v>
      </c>
    </row>
    <row r="178" spans="1:33" s="226" customFormat="1" ht="345.95" customHeight="1" x14ac:dyDescent="0.35">
      <c r="A178" s="715">
        <v>150</v>
      </c>
      <c r="B178" s="633" t="s">
        <v>401</v>
      </c>
      <c r="C178" s="642" t="s">
        <v>282</v>
      </c>
      <c r="D178" s="640">
        <v>80101706</v>
      </c>
      <c r="E178" s="641" t="s">
        <v>559</v>
      </c>
      <c r="F178" s="640" t="s">
        <v>61</v>
      </c>
      <c r="G178" s="634">
        <v>1</v>
      </c>
      <c r="H178" s="634" t="s">
        <v>91</v>
      </c>
      <c r="I178" s="637">
        <v>11</v>
      </c>
      <c r="J178" s="638" t="s">
        <v>92</v>
      </c>
      <c r="K178" s="634" t="s">
        <v>100</v>
      </c>
      <c r="L178" s="634" t="s">
        <v>362</v>
      </c>
      <c r="M178" s="758">
        <v>45551147</v>
      </c>
      <c r="N178" s="759">
        <v>45551147</v>
      </c>
      <c r="O178" s="634" t="s">
        <v>65</v>
      </c>
      <c r="P178" s="634" t="s">
        <v>66</v>
      </c>
      <c r="Q178" s="781" t="s">
        <v>363</v>
      </c>
      <c r="R178" s="24"/>
      <c r="S178" s="644" t="s">
        <v>1367</v>
      </c>
      <c r="T178" s="645" t="s">
        <v>1368</v>
      </c>
      <c r="U178" s="646">
        <v>44221</v>
      </c>
      <c r="V178" s="645" t="s">
        <v>1369</v>
      </c>
      <c r="W178" s="647" t="s">
        <v>714</v>
      </c>
      <c r="X178" s="770">
        <v>44997333</v>
      </c>
      <c r="Y178" s="772">
        <v>0</v>
      </c>
      <c r="Z178" s="770">
        <v>44997333</v>
      </c>
      <c r="AA178" s="645" t="s">
        <v>1295</v>
      </c>
      <c r="AB178" s="647">
        <v>9321</v>
      </c>
      <c r="AC178" s="645" t="s">
        <v>708</v>
      </c>
      <c r="AD178" s="648">
        <v>44222</v>
      </c>
      <c r="AE178" s="648">
        <v>44550</v>
      </c>
      <c r="AF178" s="645" t="s">
        <v>836</v>
      </c>
      <c r="AG178" s="645" t="s">
        <v>282</v>
      </c>
    </row>
    <row r="179" spans="1:33" s="226" customFormat="1" ht="363.6" customHeight="1" x14ac:dyDescent="0.35">
      <c r="A179" s="715">
        <v>151</v>
      </c>
      <c r="B179" s="633" t="s">
        <v>401</v>
      </c>
      <c r="C179" s="642" t="s">
        <v>282</v>
      </c>
      <c r="D179" s="640">
        <v>80101706</v>
      </c>
      <c r="E179" s="641" t="s">
        <v>560</v>
      </c>
      <c r="F179" s="640" t="s">
        <v>61</v>
      </c>
      <c r="G179" s="634">
        <v>1</v>
      </c>
      <c r="H179" s="634" t="s">
        <v>91</v>
      </c>
      <c r="I179" s="637">
        <v>11</v>
      </c>
      <c r="J179" s="638" t="s">
        <v>92</v>
      </c>
      <c r="K179" s="634" t="s">
        <v>100</v>
      </c>
      <c r="L179" s="634" t="s">
        <v>362</v>
      </c>
      <c r="M179" s="758">
        <v>67370146</v>
      </c>
      <c r="N179" s="759">
        <v>67370146</v>
      </c>
      <c r="O179" s="634" t="s">
        <v>65</v>
      </c>
      <c r="P179" s="634" t="s">
        <v>66</v>
      </c>
      <c r="Q179" s="781" t="s">
        <v>363</v>
      </c>
      <c r="R179" s="24"/>
      <c r="S179" s="644" t="s">
        <v>1370</v>
      </c>
      <c r="T179" s="645" t="s">
        <v>1371</v>
      </c>
      <c r="U179" s="646">
        <v>44218</v>
      </c>
      <c r="V179" s="645" t="s">
        <v>1372</v>
      </c>
      <c r="W179" s="647" t="s">
        <v>714</v>
      </c>
      <c r="X179" s="770">
        <v>66755824</v>
      </c>
      <c r="Y179" s="772">
        <v>0</v>
      </c>
      <c r="Z179" s="770">
        <v>66755824</v>
      </c>
      <c r="AA179" s="645" t="s">
        <v>1373</v>
      </c>
      <c r="AB179" s="647">
        <v>9421</v>
      </c>
      <c r="AC179" s="645" t="s">
        <v>708</v>
      </c>
      <c r="AD179" s="648">
        <v>44219</v>
      </c>
      <c r="AE179" s="648">
        <v>44550</v>
      </c>
      <c r="AF179" s="645" t="s">
        <v>836</v>
      </c>
      <c r="AG179" s="645" t="s">
        <v>282</v>
      </c>
    </row>
    <row r="180" spans="1:33" s="226" customFormat="1" ht="272.45" customHeight="1" x14ac:dyDescent="0.35">
      <c r="A180" s="715">
        <v>152</v>
      </c>
      <c r="B180" s="633" t="s">
        <v>401</v>
      </c>
      <c r="C180" s="642" t="s">
        <v>282</v>
      </c>
      <c r="D180" s="640">
        <v>80101706</v>
      </c>
      <c r="E180" s="641" t="s">
        <v>561</v>
      </c>
      <c r="F180" s="640" t="s">
        <v>61</v>
      </c>
      <c r="G180" s="634">
        <v>1</v>
      </c>
      <c r="H180" s="634" t="s">
        <v>91</v>
      </c>
      <c r="I180" s="637">
        <v>11</v>
      </c>
      <c r="J180" s="638" t="s">
        <v>92</v>
      </c>
      <c r="K180" s="634" t="s">
        <v>100</v>
      </c>
      <c r="L180" s="634" t="s">
        <v>362</v>
      </c>
      <c r="M180" s="758">
        <v>67370146</v>
      </c>
      <c r="N180" s="759">
        <v>67370146</v>
      </c>
      <c r="O180" s="634" t="s">
        <v>65</v>
      </c>
      <c r="P180" s="634" t="s">
        <v>66</v>
      </c>
      <c r="Q180" s="781" t="s">
        <v>363</v>
      </c>
      <c r="R180" s="24"/>
      <c r="S180" s="644" t="s">
        <v>1374</v>
      </c>
      <c r="T180" s="645" t="s">
        <v>1375</v>
      </c>
      <c r="U180" s="646">
        <v>44218</v>
      </c>
      <c r="V180" s="645" t="s">
        <v>1372</v>
      </c>
      <c r="W180" s="647" t="s">
        <v>714</v>
      </c>
      <c r="X180" s="770">
        <v>66755824</v>
      </c>
      <c r="Y180" s="772">
        <v>0</v>
      </c>
      <c r="Z180" s="770">
        <v>66755824</v>
      </c>
      <c r="AA180" s="645" t="s">
        <v>1373</v>
      </c>
      <c r="AB180" s="647">
        <v>9521</v>
      </c>
      <c r="AC180" s="645" t="s">
        <v>708</v>
      </c>
      <c r="AD180" s="648">
        <v>44219</v>
      </c>
      <c r="AE180" s="648">
        <v>44550</v>
      </c>
      <c r="AF180" s="645" t="s">
        <v>836</v>
      </c>
      <c r="AG180" s="645" t="s">
        <v>282</v>
      </c>
    </row>
    <row r="181" spans="1:33" s="226" customFormat="1" ht="272.45" customHeight="1" x14ac:dyDescent="0.35">
      <c r="A181" s="715">
        <v>153</v>
      </c>
      <c r="B181" s="633" t="s">
        <v>401</v>
      </c>
      <c r="C181" s="642" t="s">
        <v>282</v>
      </c>
      <c r="D181" s="640">
        <v>80101706</v>
      </c>
      <c r="E181" s="641" t="s">
        <v>562</v>
      </c>
      <c r="F181" s="640" t="s">
        <v>61</v>
      </c>
      <c r="G181" s="634">
        <v>1</v>
      </c>
      <c r="H181" s="634" t="s">
        <v>91</v>
      </c>
      <c r="I181" s="637">
        <v>11</v>
      </c>
      <c r="J181" s="638" t="s">
        <v>92</v>
      </c>
      <c r="K181" s="634" t="s">
        <v>100</v>
      </c>
      <c r="L181" s="634" t="s">
        <v>362</v>
      </c>
      <c r="M181" s="758">
        <v>67370146</v>
      </c>
      <c r="N181" s="759">
        <v>67370146</v>
      </c>
      <c r="O181" s="634" t="s">
        <v>65</v>
      </c>
      <c r="P181" s="634" t="s">
        <v>66</v>
      </c>
      <c r="Q181" s="781" t="s">
        <v>363</v>
      </c>
      <c r="R181" s="24"/>
      <c r="S181" s="644" t="s">
        <v>1376</v>
      </c>
      <c r="T181" s="645" t="s">
        <v>1377</v>
      </c>
      <c r="U181" s="646">
        <v>44218</v>
      </c>
      <c r="V181" s="645" t="s">
        <v>1372</v>
      </c>
      <c r="W181" s="647" t="s">
        <v>714</v>
      </c>
      <c r="X181" s="770">
        <v>66755824</v>
      </c>
      <c r="Y181" s="772">
        <v>0</v>
      </c>
      <c r="Z181" s="770">
        <v>66755824</v>
      </c>
      <c r="AA181" s="645" t="s">
        <v>1373</v>
      </c>
      <c r="AB181" s="647">
        <v>9621</v>
      </c>
      <c r="AC181" s="645" t="s">
        <v>708</v>
      </c>
      <c r="AD181" s="648">
        <v>44219</v>
      </c>
      <c r="AE181" s="648">
        <v>44550</v>
      </c>
      <c r="AF181" s="645" t="s">
        <v>836</v>
      </c>
      <c r="AG181" s="645" t="s">
        <v>282</v>
      </c>
    </row>
    <row r="182" spans="1:33" s="226" customFormat="1" ht="272.45" customHeight="1" x14ac:dyDescent="0.35">
      <c r="A182" s="715">
        <v>154</v>
      </c>
      <c r="B182" s="633" t="s">
        <v>401</v>
      </c>
      <c r="C182" s="642" t="s">
        <v>282</v>
      </c>
      <c r="D182" s="640">
        <v>80101706</v>
      </c>
      <c r="E182" s="641" t="s">
        <v>563</v>
      </c>
      <c r="F182" s="640" t="s">
        <v>61</v>
      </c>
      <c r="G182" s="634">
        <v>1</v>
      </c>
      <c r="H182" s="634" t="s">
        <v>91</v>
      </c>
      <c r="I182" s="637">
        <v>11</v>
      </c>
      <c r="J182" s="638" t="s">
        <v>92</v>
      </c>
      <c r="K182" s="634" t="s">
        <v>100</v>
      </c>
      <c r="L182" s="634" t="s">
        <v>362</v>
      </c>
      <c r="M182" s="758">
        <v>67370146</v>
      </c>
      <c r="N182" s="759">
        <v>67370146</v>
      </c>
      <c r="O182" s="634" t="s">
        <v>65</v>
      </c>
      <c r="P182" s="634" t="s">
        <v>66</v>
      </c>
      <c r="Q182" s="781" t="s">
        <v>363</v>
      </c>
      <c r="R182" s="24"/>
      <c r="S182" s="644" t="s">
        <v>1378</v>
      </c>
      <c r="T182" s="645" t="s">
        <v>1379</v>
      </c>
      <c r="U182" s="646">
        <v>44218</v>
      </c>
      <c r="V182" s="645" t="s">
        <v>1372</v>
      </c>
      <c r="W182" s="647" t="s">
        <v>714</v>
      </c>
      <c r="X182" s="770">
        <v>66755824</v>
      </c>
      <c r="Y182" s="772">
        <v>0</v>
      </c>
      <c r="Z182" s="770">
        <v>66755824</v>
      </c>
      <c r="AA182" s="645" t="s">
        <v>1373</v>
      </c>
      <c r="AB182" s="647">
        <v>9721</v>
      </c>
      <c r="AC182" s="645" t="s">
        <v>708</v>
      </c>
      <c r="AD182" s="648">
        <v>44219</v>
      </c>
      <c r="AE182" s="648">
        <v>44550</v>
      </c>
      <c r="AF182" s="645" t="s">
        <v>836</v>
      </c>
      <c r="AG182" s="645" t="s">
        <v>282</v>
      </c>
    </row>
    <row r="183" spans="1:33" s="226" customFormat="1" ht="272.45" customHeight="1" x14ac:dyDescent="0.35">
      <c r="A183" s="715">
        <v>155</v>
      </c>
      <c r="B183" s="633" t="s">
        <v>401</v>
      </c>
      <c r="C183" s="642" t="s">
        <v>282</v>
      </c>
      <c r="D183" s="640">
        <v>80101706</v>
      </c>
      <c r="E183" s="641" t="s">
        <v>564</v>
      </c>
      <c r="F183" s="640" t="s">
        <v>61</v>
      </c>
      <c r="G183" s="634">
        <v>1</v>
      </c>
      <c r="H183" s="634" t="s">
        <v>91</v>
      </c>
      <c r="I183" s="637">
        <v>11</v>
      </c>
      <c r="J183" s="638" t="s">
        <v>92</v>
      </c>
      <c r="K183" s="634" t="s">
        <v>100</v>
      </c>
      <c r="L183" s="634" t="s">
        <v>362</v>
      </c>
      <c r="M183" s="758">
        <v>67370146</v>
      </c>
      <c r="N183" s="759">
        <v>67370146</v>
      </c>
      <c r="O183" s="634" t="s">
        <v>65</v>
      </c>
      <c r="P183" s="634" t="s">
        <v>66</v>
      </c>
      <c r="Q183" s="781" t="s">
        <v>363</v>
      </c>
      <c r="R183" s="24"/>
      <c r="S183" s="644" t="s">
        <v>1380</v>
      </c>
      <c r="T183" s="645" t="s">
        <v>1381</v>
      </c>
      <c r="U183" s="646">
        <v>44217</v>
      </c>
      <c r="V183" s="645" t="s">
        <v>1382</v>
      </c>
      <c r="W183" s="647" t="s">
        <v>714</v>
      </c>
      <c r="X183" s="770">
        <v>67370146</v>
      </c>
      <c r="Y183" s="772">
        <v>0</v>
      </c>
      <c r="Z183" s="770">
        <v>67370146</v>
      </c>
      <c r="AA183" s="645" t="s">
        <v>1383</v>
      </c>
      <c r="AB183" s="647">
        <v>9821</v>
      </c>
      <c r="AC183" s="645" t="s">
        <v>1384</v>
      </c>
      <c r="AD183" s="648">
        <v>44223</v>
      </c>
      <c r="AE183" s="648">
        <v>44555</v>
      </c>
      <c r="AF183" s="645" t="s">
        <v>836</v>
      </c>
      <c r="AG183" s="645" t="s">
        <v>282</v>
      </c>
    </row>
    <row r="184" spans="1:33" s="226" customFormat="1" ht="193.5" customHeight="1" x14ac:dyDescent="0.35">
      <c r="A184" s="715">
        <v>156</v>
      </c>
      <c r="B184" s="633" t="s">
        <v>401</v>
      </c>
      <c r="C184" s="642" t="s">
        <v>282</v>
      </c>
      <c r="D184" s="640">
        <v>80101706</v>
      </c>
      <c r="E184" s="641" t="s">
        <v>565</v>
      </c>
      <c r="F184" s="640" t="s">
        <v>61</v>
      </c>
      <c r="G184" s="634">
        <v>1</v>
      </c>
      <c r="H184" s="634" t="s">
        <v>91</v>
      </c>
      <c r="I184" s="637">
        <v>11</v>
      </c>
      <c r="J184" s="638" t="s">
        <v>92</v>
      </c>
      <c r="K184" s="634" t="s">
        <v>100</v>
      </c>
      <c r="L184" s="634" t="s">
        <v>362</v>
      </c>
      <c r="M184" s="758">
        <v>67370146</v>
      </c>
      <c r="N184" s="759">
        <v>67370146</v>
      </c>
      <c r="O184" s="634" t="s">
        <v>65</v>
      </c>
      <c r="P184" s="634" t="s">
        <v>66</v>
      </c>
      <c r="Q184" s="781" t="s">
        <v>363</v>
      </c>
      <c r="R184" s="24"/>
      <c r="S184" s="644" t="s">
        <v>1385</v>
      </c>
      <c r="T184" s="645" t="s">
        <v>1386</v>
      </c>
      <c r="U184" s="646">
        <v>44217</v>
      </c>
      <c r="V184" s="645" t="s">
        <v>1382</v>
      </c>
      <c r="W184" s="647" t="s">
        <v>714</v>
      </c>
      <c r="X184" s="770">
        <v>67370146</v>
      </c>
      <c r="Y184" s="772">
        <v>0</v>
      </c>
      <c r="Z184" s="770">
        <v>67370146</v>
      </c>
      <c r="AA184" s="645" t="s">
        <v>1387</v>
      </c>
      <c r="AB184" s="647">
        <v>9921</v>
      </c>
      <c r="AC184" s="645" t="s">
        <v>1388</v>
      </c>
      <c r="AD184" s="648">
        <v>44223</v>
      </c>
      <c r="AE184" s="648">
        <v>44555</v>
      </c>
      <c r="AF184" s="645" t="s">
        <v>836</v>
      </c>
      <c r="AG184" s="645" t="s">
        <v>282</v>
      </c>
    </row>
    <row r="185" spans="1:33" s="226" customFormat="1" ht="165.95" customHeight="1" x14ac:dyDescent="0.35">
      <c r="A185" s="715">
        <v>157</v>
      </c>
      <c r="B185" s="633" t="s">
        <v>401</v>
      </c>
      <c r="C185" s="642" t="s">
        <v>282</v>
      </c>
      <c r="D185" s="640">
        <v>80101706</v>
      </c>
      <c r="E185" s="641" t="s">
        <v>566</v>
      </c>
      <c r="F185" s="640" t="s">
        <v>61</v>
      </c>
      <c r="G185" s="634">
        <v>1</v>
      </c>
      <c r="H185" s="634" t="s">
        <v>91</v>
      </c>
      <c r="I185" s="637">
        <v>11</v>
      </c>
      <c r="J185" s="638" t="s">
        <v>92</v>
      </c>
      <c r="K185" s="634" t="s">
        <v>100</v>
      </c>
      <c r="L185" s="634" t="s">
        <v>362</v>
      </c>
      <c r="M185" s="758">
        <v>67370146</v>
      </c>
      <c r="N185" s="759">
        <v>67370146</v>
      </c>
      <c r="O185" s="634" t="s">
        <v>65</v>
      </c>
      <c r="P185" s="634" t="s">
        <v>66</v>
      </c>
      <c r="Q185" s="781" t="s">
        <v>363</v>
      </c>
      <c r="R185" s="24"/>
      <c r="S185" s="644" t="s">
        <v>1389</v>
      </c>
      <c r="T185" s="645" t="s">
        <v>1390</v>
      </c>
      <c r="U185" s="646">
        <v>44217</v>
      </c>
      <c r="V185" s="645" t="s">
        <v>1382</v>
      </c>
      <c r="W185" s="647" t="s">
        <v>714</v>
      </c>
      <c r="X185" s="770">
        <v>67370146</v>
      </c>
      <c r="Y185" s="772">
        <v>0</v>
      </c>
      <c r="Z185" s="770">
        <v>67370146</v>
      </c>
      <c r="AA185" s="645" t="s">
        <v>1383</v>
      </c>
      <c r="AB185" s="647">
        <v>10021</v>
      </c>
      <c r="AC185" s="645" t="s">
        <v>1388</v>
      </c>
      <c r="AD185" s="648">
        <v>44223</v>
      </c>
      <c r="AE185" s="648">
        <v>44555</v>
      </c>
      <c r="AF185" s="645" t="s">
        <v>836</v>
      </c>
      <c r="AG185" s="645" t="s">
        <v>282</v>
      </c>
    </row>
    <row r="186" spans="1:33" s="226" customFormat="1" ht="165.95" customHeight="1" x14ac:dyDescent="0.35">
      <c r="A186" s="715">
        <v>158</v>
      </c>
      <c r="B186" s="633" t="s">
        <v>401</v>
      </c>
      <c r="C186" s="642" t="s">
        <v>282</v>
      </c>
      <c r="D186" s="640">
        <v>80101706</v>
      </c>
      <c r="E186" s="641" t="s">
        <v>567</v>
      </c>
      <c r="F186" s="640" t="s">
        <v>61</v>
      </c>
      <c r="G186" s="634">
        <v>1</v>
      </c>
      <c r="H186" s="634" t="s">
        <v>98</v>
      </c>
      <c r="I186" s="637">
        <v>10</v>
      </c>
      <c r="J186" s="638" t="s">
        <v>92</v>
      </c>
      <c r="K186" s="634" t="s">
        <v>100</v>
      </c>
      <c r="L186" s="634" t="s">
        <v>362</v>
      </c>
      <c r="M186" s="758">
        <v>67370146</v>
      </c>
      <c r="N186" s="759">
        <v>67370146</v>
      </c>
      <c r="O186" s="634" t="s">
        <v>65</v>
      </c>
      <c r="P186" s="634" t="s">
        <v>66</v>
      </c>
      <c r="Q186" s="781" t="s">
        <v>363</v>
      </c>
      <c r="R186" s="24"/>
      <c r="S186" s="644" t="s">
        <v>1509</v>
      </c>
      <c r="T186" s="645" t="s">
        <v>1510</v>
      </c>
      <c r="U186" s="646">
        <v>44251</v>
      </c>
      <c r="V186" s="645" t="s">
        <v>1511</v>
      </c>
      <c r="W186" s="647" t="s">
        <v>714</v>
      </c>
      <c r="X186" s="770">
        <v>67163712</v>
      </c>
      <c r="Y186" s="772">
        <v>-45232704</v>
      </c>
      <c r="Z186" s="770">
        <v>21931008</v>
      </c>
      <c r="AA186" s="645" t="s">
        <v>1512</v>
      </c>
      <c r="AB186" s="647">
        <v>10121</v>
      </c>
      <c r="AC186" s="645" t="s">
        <v>708</v>
      </c>
      <c r="AD186" s="648">
        <v>44252</v>
      </c>
      <c r="AE186" s="648">
        <v>44550</v>
      </c>
      <c r="AF186" s="645" t="s">
        <v>836</v>
      </c>
      <c r="AG186" s="645" t="s">
        <v>282</v>
      </c>
    </row>
    <row r="187" spans="1:33" s="226" customFormat="1" ht="141" customHeight="1" x14ac:dyDescent="0.35">
      <c r="A187" s="715">
        <v>159</v>
      </c>
      <c r="B187" s="633" t="s">
        <v>401</v>
      </c>
      <c r="C187" s="642" t="s">
        <v>282</v>
      </c>
      <c r="D187" s="640">
        <v>80101706</v>
      </c>
      <c r="E187" s="641" t="s">
        <v>568</v>
      </c>
      <c r="F187" s="640" t="s">
        <v>61</v>
      </c>
      <c r="G187" s="634">
        <v>1</v>
      </c>
      <c r="H187" s="634" t="s">
        <v>91</v>
      </c>
      <c r="I187" s="637">
        <v>11</v>
      </c>
      <c r="J187" s="638" t="s">
        <v>92</v>
      </c>
      <c r="K187" s="634" t="s">
        <v>100</v>
      </c>
      <c r="L187" s="634" t="s">
        <v>362</v>
      </c>
      <c r="M187" s="758">
        <v>67370146</v>
      </c>
      <c r="N187" s="759">
        <v>67370146</v>
      </c>
      <c r="O187" s="634" t="s">
        <v>65</v>
      </c>
      <c r="P187" s="634" t="s">
        <v>66</v>
      </c>
      <c r="Q187" s="781" t="s">
        <v>363</v>
      </c>
      <c r="R187" s="24"/>
      <c r="S187" s="644" t="s">
        <v>1391</v>
      </c>
      <c r="T187" s="645" t="s">
        <v>1392</v>
      </c>
      <c r="U187" s="646">
        <v>44217</v>
      </c>
      <c r="V187" s="645" t="s">
        <v>1382</v>
      </c>
      <c r="W187" s="647" t="s">
        <v>714</v>
      </c>
      <c r="X187" s="770">
        <v>67370146</v>
      </c>
      <c r="Y187" s="772">
        <v>0</v>
      </c>
      <c r="Z187" s="770">
        <v>67370146</v>
      </c>
      <c r="AA187" s="645" t="s">
        <v>1383</v>
      </c>
      <c r="AB187" s="647">
        <v>10221</v>
      </c>
      <c r="AC187" s="645" t="s">
        <v>1388</v>
      </c>
      <c r="AD187" s="648">
        <v>44223</v>
      </c>
      <c r="AE187" s="648">
        <v>44555</v>
      </c>
      <c r="AF187" s="645" t="s">
        <v>836</v>
      </c>
      <c r="AG187" s="645" t="s">
        <v>282</v>
      </c>
    </row>
    <row r="188" spans="1:33" s="226" customFormat="1" ht="141" customHeight="1" x14ac:dyDescent="0.35">
      <c r="A188" s="715">
        <v>160</v>
      </c>
      <c r="B188" s="633" t="s">
        <v>403</v>
      </c>
      <c r="C188" s="642" t="s">
        <v>404</v>
      </c>
      <c r="D188" s="640">
        <v>80101706</v>
      </c>
      <c r="E188" s="641" t="s">
        <v>569</v>
      </c>
      <c r="F188" s="640" t="s">
        <v>61</v>
      </c>
      <c r="G188" s="634">
        <v>1</v>
      </c>
      <c r="H188" s="634" t="s">
        <v>91</v>
      </c>
      <c r="I188" s="637">
        <v>11.4</v>
      </c>
      <c r="J188" s="638" t="s">
        <v>92</v>
      </c>
      <c r="K188" s="634" t="s">
        <v>100</v>
      </c>
      <c r="L188" s="634" t="s">
        <v>378</v>
      </c>
      <c r="M188" s="758">
        <v>30274552</v>
      </c>
      <c r="N188" s="759">
        <v>30274552</v>
      </c>
      <c r="O188" s="634" t="s">
        <v>65</v>
      </c>
      <c r="P188" s="634" t="s">
        <v>66</v>
      </c>
      <c r="Q188" s="781" t="s">
        <v>405</v>
      </c>
      <c r="R188" s="24"/>
      <c r="S188" s="644" t="s">
        <v>915</v>
      </c>
      <c r="T188" s="645" t="s">
        <v>916</v>
      </c>
      <c r="U188" s="646">
        <v>44203</v>
      </c>
      <c r="V188" s="645" t="s">
        <v>917</v>
      </c>
      <c r="W188" s="647" t="s">
        <v>714</v>
      </c>
      <c r="X188" s="770">
        <v>30274552</v>
      </c>
      <c r="Y188" s="772">
        <v>0</v>
      </c>
      <c r="Z188" s="770">
        <v>30274552</v>
      </c>
      <c r="AA188" s="645" t="s">
        <v>918</v>
      </c>
      <c r="AB188" s="647">
        <v>7221</v>
      </c>
      <c r="AC188" s="645" t="s">
        <v>708</v>
      </c>
      <c r="AD188" s="648">
        <v>44204</v>
      </c>
      <c r="AE188" s="648">
        <v>44550</v>
      </c>
      <c r="AF188" s="645" t="s">
        <v>919</v>
      </c>
      <c r="AG188" s="645" t="s">
        <v>920</v>
      </c>
    </row>
    <row r="189" spans="1:33" s="254" customFormat="1" ht="171.6" customHeight="1" x14ac:dyDescent="0.35">
      <c r="A189" s="715">
        <v>161</v>
      </c>
      <c r="B189" s="633" t="s">
        <v>403</v>
      </c>
      <c r="C189" s="642" t="s">
        <v>404</v>
      </c>
      <c r="D189" s="640">
        <v>80101706</v>
      </c>
      <c r="E189" s="641" t="s">
        <v>570</v>
      </c>
      <c r="F189" s="640" t="s">
        <v>61</v>
      </c>
      <c r="G189" s="634">
        <v>1</v>
      </c>
      <c r="H189" s="634" t="s">
        <v>91</v>
      </c>
      <c r="I189" s="637">
        <v>11.4</v>
      </c>
      <c r="J189" s="638" t="s">
        <v>92</v>
      </c>
      <c r="K189" s="634" t="s">
        <v>100</v>
      </c>
      <c r="L189" s="634" t="s">
        <v>378</v>
      </c>
      <c r="M189" s="758">
        <v>30274552</v>
      </c>
      <c r="N189" s="759">
        <v>30274552</v>
      </c>
      <c r="O189" s="634" t="s">
        <v>65</v>
      </c>
      <c r="P189" s="634" t="s">
        <v>66</v>
      </c>
      <c r="Q189" s="781" t="s">
        <v>405</v>
      </c>
      <c r="R189" s="26"/>
      <c r="S189" s="644" t="s">
        <v>921</v>
      </c>
      <c r="T189" s="645" t="s">
        <v>922</v>
      </c>
      <c r="U189" s="646">
        <v>44204</v>
      </c>
      <c r="V189" s="645" t="s">
        <v>923</v>
      </c>
      <c r="W189" s="647" t="s">
        <v>714</v>
      </c>
      <c r="X189" s="770">
        <v>30274552</v>
      </c>
      <c r="Y189" s="772">
        <v>0</v>
      </c>
      <c r="Z189" s="770">
        <v>30274552</v>
      </c>
      <c r="AA189" s="645" t="s">
        <v>924</v>
      </c>
      <c r="AB189" s="647">
        <v>7321</v>
      </c>
      <c r="AC189" s="645" t="s">
        <v>708</v>
      </c>
      <c r="AD189" s="648">
        <v>44205</v>
      </c>
      <c r="AE189" s="648">
        <v>44550</v>
      </c>
      <c r="AF189" s="645" t="s">
        <v>919</v>
      </c>
      <c r="AG189" s="645" t="s">
        <v>920</v>
      </c>
    </row>
    <row r="190" spans="1:33" s="254" customFormat="1" ht="171.6" customHeight="1" x14ac:dyDescent="0.35">
      <c r="A190" s="715">
        <v>162</v>
      </c>
      <c r="B190" s="633" t="s">
        <v>403</v>
      </c>
      <c r="C190" s="642" t="s">
        <v>404</v>
      </c>
      <c r="D190" s="640">
        <v>80101706</v>
      </c>
      <c r="E190" s="641" t="s">
        <v>571</v>
      </c>
      <c r="F190" s="640" t="s">
        <v>61</v>
      </c>
      <c r="G190" s="634">
        <v>1</v>
      </c>
      <c r="H190" s="634" t="s">
        <v>91</v>
      </c>
      <c r="I190" s="637">
        <v>11.4</v>
      </c>
      <c r="J190" s="638" t="s">
        <v>92</v>
      </c>
      <c r="K190" s="634" t="s">
        <v>100</v>
      </c>
      <c r="L190" s="634" t="s">
        <v>378</v>
      </c>
      <c r="M190" s="758">
        <v>30274552</v>
      </c>
      <c r="N190" s="759">
        <v>30274552</v>
      </c>
      <c r="O190" s="634" t="s">
        <v>65</v>
      </c>
      <c r="P190" s="634" t="s">
        <v>66</v>
      </c>
      <c r="Q190" s="781" t="s">
        <v>405</v>
      </c>
      <c r="R190" s="26"/>
      <c r="S190" s="644" t="s">
        <v>925</v>
      </c>
      <c r="T190" s="645" t="s">
        <v>926</v>
      </c>
      <c r="U190" s="646">
        <v>44215</v>
      </c>
      <c r="V190" s="645" t="s">
        <v>927</v>
      </c>
      <c r="W190" s="647" t="s">
        <v>714</v>
      </c>
      <c r="X190" s="770">
        <v>29215384</v>
      </c>
      <c r="Y190" s="772">
        <v>0</v>
      </c>
      <c r="Z190" s="770">
        <v>29215384</v>
      </c>
      <c r="AA190" s="645" t="s">
        <v>928</v>
      </c>
      <c r="AB190" s="647">
        <v>7421</v>
      </c>
      <c r="AC190" s="645" t="s">
        <v>708</v>
      </c>
      <c r="AD190" s="648">
        <v>44216</v>
      </c>
      <c r="AE190" s="648">
        <v>44550</v>
      </c>
      <c r="AF190" s="645" t="s">
        <v>919</v>
      </c>
      <c r="AG190" s="645" t="s">
        <v>920</v>
      </c>
    </row>
    <row r="191" spans="1:33" s="226" customFormat="1" ht="171.6" customHeight="1" x14ac:dyDescent="0.35">
      <c r="A191" s="715">
        <v>163</v>
      </c>
      <c r="B191" s="633" t="s">
        <v>403</v>
      </c>
      <c r="C191" s="642" t="s">
        <v>404</v>
      </c>
      <c r="D191" s="640">
        <v>80101706</v>
      </c>
      <c r="E191" s="641" t="s">
        <v>572</v>
      </c>
      <c r="F191" s="640" t="s">
        <v>61</v>
      </c>
      <c r="G191" s="634">
        <v>1</v>
      </c>
      <c r="H191" s="634" t="s">
        <v>91</v>
      </c>
      <c r="I191" s="637">
        <v>11.2</v>
      </c>
      <c r="J191" s="638" t="s">
        <v>92</v>
      </c>
      <c r="K191" s="634" t="s">
        <v>100</v>
      </c>
      <c r="L191" s="634" t="s">
        <v>378</v>
      </c>
      <c r="M191" s="758">
        <v>72549764</v>
      </c>
      <c r="N191" s="759">
        <v>72549764</v>
      </c>
      <c r="O191" s="634" t="s">
        <v>65</v>
      </c>
      <c r="P191" s="634" t="s">
        <v>66</v>
      </c>
      <c r="Q191" s="781" t="s">
        <v>405</v>
      </c>
      <c r="R191" s="24"/>
      <c r="S191" s="644" t="s">
        <v>929</v>
      </c>
      <c r="T191" s="645" t="s">
        <v>930</v>
      </c>
      <c r="U191" s="646">
        <v>44211</v>
      </c>
      <c r="V191" s="645" t="s">
        <v>931</v>
      </c>
      <c r="W191" s="647" t="s">
        <v>714</v>
      </c>
      <c r="X191" s="770">
        <v>72119202</v>
      </c>
      <c r="Y191" s="772">
        <v>0</v>
      </c>
      <c r="Z191" s="770">
        <v>72119202</v>
      </c>
      <c r="AA191" s="645" t="s">
        <v>932</v>
      </c>
      <c r="AB191" s="647">
        <v>14721</v>
      </c>
      <c r="AC191" s="645" t="s">
        <v>708</v>
      </c>
      <c r="AD191" s="648">
        <v>44212</v>
      </c>
      <c r="AE191" s="648">
        <v>44550</v>
      </c>
      <c r="AF191" s="645" t="s">
        <v>919</v>
      </c>
      <c r="AG191" s="645" t="s">
        <v>920</v>
      </c>
    </row>
    <row r="192" spans="1:33" ht="302.45" customHeight="1" x14ac:dyDescent="0.35">
      <c r="A192" s="715">
        <v>164</v>
      </c>
      <c r="B192" s="633" t="s">
        <v>403</v>
      </c>
      <c r="C192" s="642" t="s">
        <v>404</v>
      </c>
      <c r="D192" s="640">
        <v>80101706</v>
      </c>
      <c r="E192" s="641" t="s">
        <v>573</v>
      </c>
      <c r="F192" s="640" t="s">
        <v>61</v>
      </c>
      <c r="G192" s="634">
        <v>1</v>
      </c>
      <c r="H192" s="634" t="s">
        <v>91</v>
      </c>
      <c r="I192" s="637">
        <v>11.2</v>
      </c>
      <c r="J192" s="638" t="s">
        <v>92</v>
      </c>
      <c r="K192" s="634" t="s">
        <v>100</v>
      </c>
      <c r="L192" s="634" t="s">
        <v>378</v>
      </c>
      <c r="M192" s="758">
        <v>37811400</v>
      </c>
      <c r="N192" s="759">
        <v>37811400</v>
      </c>
      <c r="O192" s="634" t="s">
        <v>65</v>
      </c>
      <c r="P192" s="634" t="s">
        <v>66</v>
      </c>
      <c r="Q192" s="781" t="s">
        <v>405</v>
      </c>
      <c r="S192" s="644" t="s">
        <v>933</v>
      </c>
      <c r="T192" s="645" t="s">
        <v>934</v>
      </c>
      <c r="U192" s="646">
        <v>44211</v>
      </c>
      <c r="V192" s="645" t="s">
        <v>935</v>
      </c>
      <c r="W192" s="647" t="s">
        <v>714</v>
      </c>
      <c r="X192" s="770">
        <v>37587000</v>
      </c>
      <c r="Y192" s="772">
        <v>-112200</v>
      </c>
      <c r="Z192" s="770">
        <v>37474800</v>
      </c>
      <c r="AA192" s="645" t="s">
        <v>936</v>
      </c>
      <c r="AB192" s="647">
        <v>14821</v>
      </c>
      <c r="AC192" s="645" t="s">
        <v>708</v>
      </c>
      <c r="AD192" s="648">
        <v>44214</v>
      </c>
      <c r="AE192" s="648">
        <v>44550</v>
      </c>
      <c r="AF192" s="645" t="s">
        <v>919</v>
      </c>
      <c r="AG192" s="645" t="s">
        <v>920</v>
      </c>
    </row>
    <row r="193" spans="1:34" ht="294.39999999999998" customHeight="1" x14ac:dyDescent="0.35">
      <c r="A193" s="715">
        <v>165</v>
      </c>
      <c r="B193" s="790" t="s">
        <v>403</v>
      </c>
      <c r="C193" s="795" t="s">
        <v>404</v>
      </c>
      <c r="D193" s="796">
        <v>80101706</v>
      </c>
      <c r="E193" s="797" t="s">
        <v>574</v>
      </c>
      <c r="F193" s="796" t="s">
        <v>61</v>
      </c>
      <c r="G193" s="791">
        <v>1</v>
      </c>
      <c r="H193" s="791" t="s">
        <v>91</v>
      </c>
      <c r="I193" s="792">
        <v>11.5</v>
      </c>
      <c r="J193" s="798" t="s">
        <v>92</v>
      </c>
      <c r="K193" s="791" t="s">
        <v>100</v>
      </c>
      <c r="L193" s="791" t="s">
        <v>378</v>
      </c>
      <c r="M193" s="793"/>
      <c r="N193" s="794"/>
      <c r="O193" s="791" t="s">
        <v>65</v>
      </c>
      <c r="P193" s="791" t="s">
        <v>66</v>
      </c>
      <c r="Q193" s="823" t="s">
        <v>405</v>
      </c>
      <c r="S193" s="673" t="s">
        <v>937</v>
      </c>
      <c r="T193" s="674" t="s">
        <v>938</v>
      </c>
      <c r="U193" s="959">
        <v>44202</v>
      </c>
      <c r="V193" s="674" t="s">
        <v>939</v>
      </c>
      <c r="W193" s="675" t="s">
        <v>706</v>
      </c>
      <c r="X193" s="799">
        <v>22468484</v>
      </c>
      <c r="Y193" s="801">
        <v>-22468484</v>
      </c>
      <c r="Z193" s="799"/>
      <c r="AA193" s="674" t="s">
        <v>940</v>
      </c>
      <c r="AB193" s="675">
        <v>2721</v>
      </c>
      <c r="AC193" s="674" t="s">
        <v>708</v>
      </c>
      <c r="AD193" s="676">
        <v>44203</v>
      </c>
      <c r="AE193" s="676">
        <v>44550</v>
      </c>
      <c r="AF193" s="674" t="s">
        <v>919</v>
      </c>
      <c r="AG193" s="674" t="s">
        <v>920</v>
      </c>
    </row>
    <row r="194" spans="1:34" s="226" customFormat="1" ht="157.35" customHeight="1" x14ac:dyDescent="0.35">
      <c r="A194" s="715">
        <v>166</v>
      </c>
      <c r="B194" s="633" t="s">
        <v>403</v>
      </c>
      <c r="C194" s="642" t="s">
        <v>404</v>
      </c>
      <c r="D194" s="640">
        <v>80101706</v>
      </c>
      <c r="E194" s="641" t="s">
        <v>575</v>
      </c>
      <c r="F194" s="640" t="s">
        <v>61</v>
      </c>
      <c r="G194" s="634">
        <v>1</v>
      </c>
      <c r="H194" s="634" t="s">
        <v>91</v>
      </c>
      <c r="I194" s="637">
        <v>11.5</v>
      </c>
      <c r="J194" s="638" t="s">
        <v>92</v>
      </c>
      <c r="K194" s="634" t="s">
        <v>100</v>
      </c>
      <c r="L194" s="634" t="s">
        <v>378</v>
      </c>
      <c r="M194" s="758">
        <v>113085817</v>
      </c>
      <c r="N194" s="759">
        <v>113085817</v>
      </c>
      <c r="O194" s="634" t="s">
        <v>65</v>
      </c>
      <c r="P194" s="634" t="s">
        <v>66</v>
      </c>
      <c r="Q194" s="781" t="s">
        <v>405</v>
      </c>
      <c r="R194" s="24"/>
      <c r="S194" s="644" t="s">
        <v>941</v>
      </c>
      <c r="T194" s="645" t="s">
        <v>942</v>
      </c>
      <c r="U194" s="646">
        <v>44202</v>
      </c>
      <c r="V194" s="645" t="s">
        <v>943</v>
      </c>
      <c r="W194" s="647" t="s">
        <v>714</v>
      </c>
      <c r="X194" s="770">
        <v>113085815</v>
      </c>
      <c r="Y194" s="772">
        <v>0</v>
      </c>
      <c r="Z194" s="770">
        <v>113085815</v>
      </c>
      <c r="AA194" s="645" t="s">
        <v>944</v>
      </c>
      <c r="AB194" s="647">
        <v>2821</v>
      </c>
      <c r="AC194" s="645" t="s">
        <v>708</v>
      </c>
      <c r="AD194" s="648">
        <v>44203</v>
      </c>
      <c r="AE194" s="648">
        <v>44550</v>
      </c>
      <c r="AF194" s="645" t="s">
        <v>919</v>
      </c>
      <c r="AG194" s="645" t="s">
        <v>920</v>
      </c>
    </row>
    <row r="195" spans="1:34" s="226" customFormat="1" ht="157.35" customHeight="1" x14ac:dyDescent="0.35">
      <c r="A195" s="715">
        <v>167</v>
      </c>
      <c r="B195" s="633" t="s">
        <v>403</v>
      </c>
      <c r="C195" s="642" t="s">
        <v>404</v>
      </c>
      <c r="D195" s="640">
        <v>80101706</v>
      </c>
      <c r="E195" s="641" t="s">
        <v>576</v>
      </c>
      <c r="F195" s="640" t="s">
        <v>61</v>
      </c>
      <c r="G195" s="634">
        <v>1</v>
      </c>
      <c r="H195" s="634" t="s">
        <v>91</v>
      </c>
      <c r="I195" s="637">
        <v>11.3</v>
      </c>
      <c r="J195" s="638" t="s">
        <v>92</v>
      </c>
      <c r="K195" s="634" t="s">
        <v>100</v>
      </c>
      <c r="L195" s="634" t="s">
        <v>378</v>
      </c>
      <c r="M195" s="758">
        <v>72765046</v>
      </c>
      <c r="N195" s="759">
        <v>72765046</v>
      </c>
      <c r="O195" s="634" t="s">
        <v>65</v>
      </c>
      <c r="P195" s="634" t="s">
        <v>66</v>
      </c>
      <c r="Q195" s="781" t="s">
        <v>405</v>
      </c>
      <c r="R195" s="24"/>
      <c r="S195" s="644" t="s">
        <v>945</v>
      </c>
      <c r="T195" s="645" t="s">
        <v>946</v>
      </c>
      <c r="U195" s="646">
        <v>44210</v>
      </c>
      <c r="V195" s="645" t="s">
        <v>947</v>
      </c>
      <c r="W195" s="647" t="s">
        <v>714</v>
      </c>
      <c r="X195" s="770">
        <v>72549764</v>
      </c>
      <c r="Y195" s="772">
        <v>0</v>
      </c>
      <c r="Z195" s="770">
        <v>72549764</v>
      </c>
      <c r="AA195" s="645" t="s">
        <v>948</v>
      </c>
      <c r="AB195" s="647">
        <v>13321</v>
      </c>
      <c r="AC195" s="645" t="s">
        <v>708</v>
      </c>
      <c r="AD195" s="648">
        <v>44211</v>
      </c>
      <c r="AE195" s="648">
        <v>44550</v>
      </c>
      <c r="AF195" s="645" t="s">
        <v>919</v>
      </c>
      <c r="AG195" s="645" t="s">
        <v>920</v>
      </c>
    </row>
    <row r="196" spans="1:34" s="226" customFormat="1" ht="157.35" customHeight="1" x14ac:dyDescent="0.35">
      <c r="A196" s="715">
        <v>168</v>
      </c>
      <c r="B196" s="633" t="s">
        <v>403</v>
      </c>
      <c r="C196" s="642" t="s">
        <v>404</v>
      </c>
      <c r="D196" s="640">
        <v>80101706</v>
      </c>
      <c r="E196" s="641" t="s">
        <v>577</v>
      </c>
      <c r="F196" s="640" t="s">
        <v>61</v>
      </c>
      <c r="G196" s="634">
        <v>1</v>
      </c>
      <c r="H196" s="634" t="s">
        <v>91</v>
      </c>
      <c r="I196" s="637">
        <v>11.5</v>
      </c>
      <c r="J196" s="638" t="s">
        <v>92</v>
      </c>
      <c r="K196" s="634" t="s">
        <v>100</v>
      </c>
      <c r="L196" s="634" t="s">
        <v>378</v>
      </c>
      <c r="M196" s="758">
        <v>59488195</v>
      </c>
      <c r="N196" s="759">
        <v>59488195</v>
      </c>
      <c r="O196" s="634" t="s">
        <v>65</v>
      </c>
      <c r="P196" s="634" t="s">
        <v>66</v>
      </c>
      <c r="Q196" s="781" t="s">
        <v>405</v>
      </c>
      <c r="R196" s="24"/>
      <c r="S196" s="644" t="s">
        <v>949</v>
      </c>
      <c r="T196" s="645" t="s">
        <v>950</v>
      </c>
      <c r="U196" s="646">
        <v>44204</v>
      </c>
      <c r="V196" s="645" t="s">
        <v>951</v>
      </c>
      <c r="W196" s="647" t="s">
        <v>714</v>
      </c>
      <c r="X196" s="770">
        <v>59315264</v>
      </c>
      <c r="Y196" s="772">
        <v>0</v>
      </c>
      <c r="Z196" s="770">
        <v>59315264</v>
      </c>
      <c r="AA196" s="645" t="s">
        <v>952</v>
      </c>
      <c r="AB196" s="647">
        <v>2921</v>
      </c>
      <c r="AC196" s="645" t="s">
        <v>708</v>
      </c>
      <c r="AD196" s="648">
        <v>44204</v>
      </c>
      <c r="AE196" s="648">
        <v>44550</v>
      </c>
      <c r="AF196" s="645" t="s">
        <v>919</v>
      </c>
      <c r="AG196" s="645" t="s">
        <v>920</v>
      </c>
    </row>
    <row r="197" spans="1:34" s="226" customFormat="1" ht="157.35" customHeight="1" x14ac:dyDescent="0.35">
      <c r="A197" s="715">
        <v>169</v>
      </c>
      <c r="B197" s="633" t="s">
        <v>403</v>
      </c>
      <c r="C197" s="642" t="s">
        <v>404</v>
      </c>
      <c r="D197" s="640">
        <v>80101706</v>
      </c>
      <c r="E197" s="641" t="s">
        <v>578</v>
      </c>
      <c r="F197" s="640" t="s">
        <v>61</v>
      </c>
      <c r="G197" s="634">
        <v>1</v>
      </c>
      <c r="H197" s="634" t="s">
        <v>91</v>
      </c>
      <c r="I197" s="637">
        <v>11.3</v>
      </c>
      <c r="J197" s="638" t="s">
        <v>92</v>
      </c>
      <c r="K197" s="634" t="s">
        <v>100</v>
      </c>
      <c r="L197" s="634" t="s">
        <v>378</v>
      </c>
      <c r="M197" s="758">
        <v>72765046</v>
      </c>
      <c r="N197" s="759">
        <v>72765046</v>
      </c>
      <c r="O197" s="634" t="s">
        <v>65</v>
      </c>
      <c r="P197" s="634" t="s">
        <v>66</v>
      </c>
      <c r="Q197" s="781" t="s">
        <v>405</v>
      </c>
      <c r="R197" s="24"/>
      <c r="S197" s="644" t="s">
        <v>953</v>
      </c>
      <c r="T197" s="645" t="s">
        <v>954</v>
      </c>
      <c r="U197" s="646">
        <v>44210</v>
      </c>
      <c r="V197" s="645" t="s">
        <v>955</v>
      </c>
      <c r="W197" s="647" t="s">
        <v>714</v>
      </c>
      <c r="X197" s="770">
        <v>72549764</v>
      </c>
      <c r="Y197" s="772">
        <v>0</v>
      </c>
      <c r="Z197" s="770">
        <v>72549764</v>
      </c>
      <c r="AA197" s="645" t="s">
        <v>956</v>
      </c>
      <c r="AB197" s="647">
        <v>14121</v>
      </c>
      <c r="AC197" s="645" t="s">
        <v>708</v>
      </c>
      <c r="AD197" s="648">
        <v>44211</v>
      </c>
      <c r="AE197" s="648">
        <v>44550</v>
      </c>
      <c r="AF197" s="645" t="s">
        <v>919</v>
      </c>
      <c r="AG197" s="645" t="s">
        <v>920</v>
      </c>
    </row>
    <row r="198" spans="1:34" s="226" customFormat="1" ht="157.35" customHeight="1" x14ac:dyDescent="0.35">
      <c r="A198" s="715">
        <v>170</v>
      </c>
      <c r="B198" s="633" t="s">
        <v>403</v>
      </c>
      <c r="C198" s="642" t="s">
        <v>404</v>
      </c>
      <c r="D198" s="640">
        <v>80101706</v>
      </c>
      <c r="E198" s="641" t="s">
        <v>579</v>
      </c>
      <c r="F198" s="640" t="s">
        <v>61</v>
      </c>
      <c r="G198" s="634">
        <v>1</v>
      </c>
      <c r="H198" s="634" t="s">
        <v>91</v>
      </c>
      <c r="I198" s="637">
        <v>11.3</v>
      </c>
      <c r="J198" s="638" t="s">
        <v>92</v>
      </c>
      <c r="K198" s="634" t="s">
        <v>100</v>
      </c>
      <c r="L198" s="634" t="s">
        <v>378</v>
      </c>
      <c r="M198" s="758">
        <v>59069799</v>
      </c>
      <c r="N198" s="759">
        <v>59069799</v>
      </c>
      <c r="O198" s="634" t="s">
        <v>65</v>
      </c>
      <c r="P198" s="634" t="s">
        <v>66</v>
      </c>
      <c r="Q198" s="781" t="s">
        <v>405</v>
      </c>
      <c r="R198" s="24"/>
      <c r="S198" s="644" t="s">
        <v>1393</v>
      </c>
      <c r="T198" s="645" t="s">
        <v>1394</v>
      </c>
      <c r="U198" s="646">
        <v>44232</v>
      </c>
      <c r="V198" s="645" t="s">
        <v>1395</v>
      </c>
      <c r="W198" s="647" t="s">
        <v>714</v>
      </c>
      <c r="X198" s="770">
        <v>54351210</v>
      </c>
      <c r="Y198" s="772">
        <v>0</v>
      </c>
      <c r="Z198" s="770">
        <v>54351210</v>
      </c>
      <c r="AA198" s="645" t="s">
        <v>1396</v>
      </c>
      <c r="AB198" s="647">
        <v>14021</v>
      </c>
      <c r="AC198" s="645" t="s">
        <v>708</v>
      </c>
      <c r="AD198" s="648">
        <v>44235</v>
      </c>
      <c r="AE198" s="648">
        <v>44550</v>
      </c>
      <c r="AF198" s="645" t="s">
        <v>919</v>
      </c>
      <c r="AG198" s="645" t="s">
        <v>920</v>
      </c>
    </row>
    <row r="199" spans="1:34" s="226" customFormat="1" ht="157.35" customHeight="1" x14ac:dyDescent="0.35">
      <c r="A199" s="715">
        <v>171</v>
      </c>
      <c r="B199" s="633" t="s">
        <v>403</v>
      </c>
      <c r="C199" s="642" t="s">
        <v>404</v>
      </c>
      <c r="D199" s="640">
        <v>80101706</v>
      </c>
      <c r="E199" s="641" t="s">
        <v>580</v>
      </c>
      <c r="F199" s="640" t="s">
        <v>61</v>
      </c>
      <c r="G199" s="634">
        <v>1</v>
      </c>
      <c r="H199" s="634" t="s">
        <v>91</v>
      </c>
      <c r="I199" s="637">
        <v>11.2</v>
      </c>
      <c r="J199" s="638" t="s">
        <v>92</v>
      </c>
      <c r="K199" s="634" t="s">
        <v>100</v>
      </c>
      <c r="L199" s="634" t="s">
        <v>378</v>
      </c>
      <c r="M199" s="758">
        <v>22011276</v>
      </c>
      <c r="N199" s="759">
        <v>22011276</v>
      </c>
      <c r="O199" s="634" t="s">
        <v>65</v>
      </c>
      <c r="P199" s="634" t="s">
        <v>66</v>
      </c>
      <c r="Q199" s="781" t="s">
        <v>405</v>
      </c>
      <c r="R199" s="24"/>
      <c r="S199" s="644" t="s">
        <v>957</v>
      </c>
      <c r="T199" s="645" t="s">
        <v>958</v>
      </c>
      <c r="U199" s="646">
        <v>44210</v>
      </c>
      <c r="V199" s="645" t="s">
        <v>959</v>
      </c>
      <c r="W199" s="647" t="s">
        <v>706</v>
      </c>
      <c r="X199" s="770">
        <v>21945963</v>
      </c>
      <c r="Y199" s="772">
        <v>0</v>
      </c>
      <c r="Z199" s="770">
        <v>21945963</v>
      </c>
      <c r="AA199" s="645" t="s">
        <v>960</v>
      </c>
      <c r="AB199" s="647">
        <v>14921</v>
      </c>
      <c r="AC199" s="645" t="s">
        <v>708</v>
      </c>
      <c r="AD199" s="648">
        <v>44211</v>
      </c>
      <c r="AE199" s="648">
        <v>44550</v>
      </c>
      <c r="AF199" s="645" t="s">
        <v>919</v>
      </c>
      <c r="AG199" s="645" t="s">
        <v>920</v>
      </c>
    </row>
    <row r="200" spans="1:34" s="226" customFormat="1" ht="157.35" customHeight="1" x14ac:dyDescent="0.35">
      <c r="A200" s="715">
        <v>172</v>
      </c>
      <c r="B200" s="633" t="s">
        <v>403</v>
      </c>
      <c r="C200" s="642" t="s">
        <v>404</v>
      </c>
      <c r="D200" s="640">
        <v>80101706</v>
      </c>
      <c r="E200" s="641" t="s">
        <v>581</v>
      </c>
      <c r="F200" s="640" t="s">
        <v>61</v>
      </c>
      <c r="G200" s="634">
        <v>1</v>
      </c>
      <c r="H200" s="634" t="s">
        <v>91</v>
      </c>
      <c r="I200" s="637">
        <v>11.2</v>
      </c>
      <c r="J200" s="638" t="s">
        <v>92</v>
      </c>
      <c r="K200" s="634" t="s">
        <v>100</v>
      </c>
      <c r="L200" s="634" t="s">
        <v>378</v>
      </c>
      <c r="M200" s="758">
        <v>21579683</v>
      </c>
      <c r="N200" s="759">
        <v>21579683</v>
      </c>
      <c r="O200" s="634" t="s">
        <v>65</v>
      </c>
      <c r="P200" s="634" t="s">
        <v>66</v>
      </c>
      <c r="Q200" s="781" t="s">
        <v>405</v>
      </c>
      <c r="R200" s="24"/>
      <c r="S200" s="644" t="s">
        <v>961</v>
      </c>
      <c r="T200" s="645" t="s">
        <v>962</v>
      </c>
      <c r="U200" s="646">
        <v>44211</v>
      </c>
      <c r="V200" s="645" t="s">
        <v>959</v>
      </c>
      <c r="W200" s="647" t="s">
        <v>706</v>
      </c>
      <c r="X200" s="770">
        <v>21554071</v>
      </c>
      <c r="Y200" s="772">
        <v>0</v>
      </c>
      <c r="Z200" s="770">
        <v>21554071</v>
      </c>
      <c r="AA200" s="645" t="s">
        <v>963</v>
      </c>
      <c r="AB200" s="647">
        <v>15021</v>
      </c>
      <c r="AC200" s="645" t="s">
        <v>964</v>
      </c>
      <c r="AD200" s="648">
        <v>44212</v>
      </c>
      <c r="AE200" s="648">
        <v>44545</v>
      </c>
      <c r="AF200" s="645" t="s">
        <v>919</v>
      </c>
      <c r="AG200" s="645" t="s">
        <v>920</v>
      </c>
    </row>
    <row r="201" spans="1:34" s="226" customFormat="1" ht="157.35" customHeight="1" x14ac:dyDescent="0.35">
      <c r="A201" s="715">
        <v>173</v>
      </c>
      <c r="B201" s="633" t="s">
        <v>380</v>
      </c>
      <c r="C201" s="642" t="s">
        <v>406</v>
      </c>
      <c r="D201" s="640">
        <v>80101706</v>
      </c>
      <c r="E201" s="641" t="s">
        <v>582</v>
      </c>
      <c r="F201" s="640" t="s">
        <v>61</v>
      </c>
      <c r="G201" s="634">
        <v>1</v>
      </c>
      <c r="H201" s="634" t="s">
        <v>91</v>
      </c>
      <c r="I201" s="637">
        <v>11.2</v>
      </c>
      <c r="J201" s="638" t="s">
        <v>92</v>
      </c>
      <c r="K201" s="634" t="s">
        <v>100</v>
      </c>
      <c r="L201" s="634" t="s">
        <v>362</v>
      </c>
      <c r="M201" s="758">
        <v>29833232</v>
      </c>
      <c r="N201" s="759">
        <v>29833232</v>
      </c>
      <c r="O201" s="634" t="s">
        <v>65</v>
      </c>
      <c r="P201" s="634" t="s">
        <v>66</v>
      </c>
      <c r="Q201" s="781" t="s">
        <v>407</v>
      </c>
      <c r="R201" s="24"/>
      <c r="S201" s="644" t="s">
        <v>965</v>
      </c>
      <c r="T201" s="645" t="s">
        <v>966</v>
      </c>
      <c r="U201" s="646">
        <v>44209</v>
      </c>
      <c r="V201" s="645" t="s">
        <v>967</v>
      </c>
      <c r="W201" s="647" t="s">
        <v>714</v>
      </c>
      <c r="X201" s="770">
        <v>29833232</v>
      </c>
      <c r="Y201" s="772">
        <v>-22330792</v>
      </c>
      <c r="Z201" s="770">
        <v>7502440</v>
      </c>
      <c r="AA201" s="645" t="s">
        <v>968</v>
      </c>
      <c r="AB201" s="647">
        <v>16321</v>
      </c>
      <c r="AC201" s="645" t="s">
        <v>720</v>
      </c>
      <c r="AD201" s="648">
        <v>44210</v>
      </c>
      <c r="AE201" s="648">
        <v>44551</v>
      </c>
      <c r="AF201" s="645" t="s">
        <v>969</v>
      </c>
      <c r="AG201" s="645" t="s">
        <v>970</v>
      </c>
    </row>
    <row r="202" spans="1:34" s="226" customFormat="1" ht="157.35" customHeight="1" x14ac:dyDescent="0.35">
      <c r="A202" s="715">
        <v>174</v>
      </c>
      <c r="B202" s="633" t="s">
        <v>380</v>
      </c>
      <c r="C202" s="642" t="s">
        <v>387</v>
      </c>
      <c r="D202" s="640">
        <v>80101706</v>
      </c>
      <c r="E202" s="641" t="s">
        <v>686</v>
      </c>
      <c r="F202" s="640" t="s">
        <v>61</v>
      </c>
      <c r="G202" s="634">
        <v>1</v>
      </c>
      <c r="H202" s="634" t="s">
        <v>91</v>
      </c>
      <c r="I202" s="637">
        <v>11</v>
      </c>
      <c r="J202" s="638" t="s">
        <v>92</v>
      </c>
      <c r="K202" s="634" t="s">
        <v>100</v>
      </c>
      <c r="L202" s="634" t="s">
        <v>362</v>
      </c>
      <c r="M202" s="758">
        <v>24568544</v>
      </c>
      <c r="N202" s="759">
        <v>24568544</v>
      </c>
      <c r="O202" s="634" t="s">
        <v>65</v>
      </c>
      <c r="P202" s="634" t="s">
        <v>66</v>
      </c>
      <c r="Q202" s="781" t="s">
        <v>407</v>
      </c>
      <c r="R202" s="24"/>
      <c r="S202" s="644" t="s">
        <v>1397</v>
      </c>
      <c r="T202" s="645" t="s">
        <v>1398</v>
      </c>
      <c r="U202" s="646">
        <v>44221</v>
      </c>
      <c r="V202" s="645" t="s">
        <v>1399</v>
      </c>
      <c r="W202" s="647" t="s">
        <v>714</v>
      </c>
      <c r="X202" s="770">
        <v>24488934</v>
      </c>
      <c r="Y202" s="772">
        <v>0</v>
      </c>
      <c r="Z202" s="770">
        <v>24488934</v>
      </c>
      <c r="AA202" s="645" t="s">
        <v>1295</v>
      </c>
      <c r="AB202" s="647">
        <v>23821</v>
      </c>
      <c r="AC202" s="645" t="s">
        <v>1400</v>
      </c>
      <c r="AD202" s="648">
        <v>44222</v>
      </c>
      <c r="AE202" s="648">
        <v>44508</v>
      </c>
      <c r="AF202" s="645" t="s">
        <v>777</v>
      </c>
      <c r="AG202" s="645" t="s">
        <v>778</v>
      </c>
    </row>
    <row r="203" spans="1:34" s="226" customFormat="1" ht="157.35" customHeight="1" x14ac:dyDescent="0.35">
      <c r="A203" s="715">
        <v>175</v>
      </c>
      <c r="B203" s="633" t="s">
        <v>384</v>
      </c>
      <c r="C203" s="642" t="s">
        <v>119</v>
      </c>
      <c r="D203" s="640">
        <v>80101706</v>
      </c>
      <c r="E203" s="641" t="s">
        <v>583</v>
      </c>
      <c r="F203" s="640" t="s">
        <v>61</v>
      </c>
      <c r="G203" s="634">
        <v>1</v>
      </c>
      <c r="H203" s="634" t="s">
        <v>91</v>
      </c>
      <c r="I203" s="637">
        <v>11.4</v>
      </c>
      <c r="J203" s="638" t="s">
        <v>92</v>
      </c>
      <c r="K203" s="634" t="s">
        <v>100</v>
      </c>
      <c r="L203" s="634" t="s">
        <v>378</v>
      </c>
      <c r="M203" s="758">
        <v>65393032</v>
      </c>
      <c r="N203" s="759">
        <v>65393032</v>
      </c>
      <c r="O203" s="634" t="s">
        <v>65</v>
      </c>
      <c r="P203" s="634" t="s">
        <v>66</v>
      </c>
      <c r="Q203" s="781" t="s">
        <v>408</v>
      </c>
      <c r="R203" s="24"/>
      <c r="S203" s="644" t="s">
        <v>971</v>
      </c>
      <c r="T203" s="645" t="s">
        <v>972</v>
      </c>
      <c r="U203" s="646">
        <v>44203</v>
      </c>
      <c r="V203" s="645" t="s">
        <v>973</v>
      </c>
      <c r="W203" s="647" t="s">
        <v>714</v>
      </c>
      <c r="X203" s="770">
        <v>65393032</v>
      </c>
      <c r="Y203" s="772">
        <v>0</v>
      </c>
      <c r="Z203" s="770">
        <v>65393032</v>
      </c>
      <c r="AA203" s="645" t="s">
        <v>974</v>
      </c>
      <c r="AB203" s="647">
        <v>5221</v>
      </c>
      <c r="AC203" s="645" t="s">
        <v>708</v>
      </c>
      <c r="AD203" s="648">
        <v>44204</v>
      </c>
      <c r="AE203" s="648">
        <v>44550</v>
      </c>
      <c r="AF203" s="645" t="s">
        <v>975</v>
      </c>
      <c r="AG203" s="645" t="s">
        <v>119</v>
      </c>
      <c r="AH203"/>
    </row>
    <row r="204" spans="1:34" ht="243.95" customHeight="1" x14ac:dyDescent="0.35">
      <c r="A204" s="715">
        <v>176</v>
      </c>
      <c r="B204" s="633" t="s">
        <v>384</v>
      </c>
      <c r="C204" s="642" t="s">
        <v>300</v>
      </c>
      <c r="D204" s="640">
        <v>80101706</v>
      </c>
      <c r="E204" s="641" t="s">
        <v>584</v>
      </c>
      <c r="F204" s="640" t="s">
        <v>61</v>
      </c>
      <c r="G204" s="634">
        <v>1</v>
      </c>
      <c r="H204" s="634" t="s">
        <v>91</v>
      </c>
      <c r="I204" s="637">
        <v>11.4</v>
      </c>
      <c r="J204" s="638" t="s">
        <v>92</v>
      </c>
      <c r="K204" s="634" t="s">
        <v>100</v>
      </c>
      <c r="L204" s="634" t="s">
        <v>378</v>
      </c>
      <c r="M204" s="758">
        <v>58174629</v>
      </c>
      <c r="N204" s="759">
        <v>58174629</v>
      </c>
      <c r="O204" s="634" t="s">
        <v>65</v>
      </c>
      <c r="P204" s="634" t="s">
        <v>66</v>
      </c>
      <c r="Q204" s="781" t="s">
        <v>399</v>
      </c>
      <c r="S204" s="644" t="s">
        <v>976</v>
      </c>
      <c r="T204" s="645" t="s">
        <v>977</v>
      </c>
      <c r="U204" s="646">
        <v>44204</v>
      </c>
      <c r="V204" s="645" t="s">
        <v>978</v>
      </c>
      <c r="W204" s="647" t="s">
        <v>714</v>
      </c>
      <c r="X204" s="770">
        <v>58174629</v>
      </c>
      <c r="Y204" s="772">
        <v>0</v>
      </c>
      <c r="Z204" s="770">
        <v>58174629</v>
      </c>
      <c r="AA204" s="645" t="s">
        <v>979</v>
      </c>
      <c r="AB204" s="647">
        <v>5321</v>
      </c>
      <c r="AC204" s="645" t="s">
        <v>708</v>
      </c>
      <c r="AD204" s="648">
        <v>44205</v>
      </c>
      <c r="AE204" s="648">
        <v>44550</v>
      </c>
      <c r="AF204" s="645" t="s">
        <v>827</v>
      </c>
      <c r="AG204" s="645" t="s">
        <v>828</v>
      </c>
    </row>
    <row r="205" spans="1:34" ht="243.95" customHeight="1" x14ac:dyDescent="0.35">
      <c r="A205" s="715">
        <v>177</v>
      </c>
      <c r="B205" s="633" t="s">
        <v>384</v>
      </c>
      <c r="C205" s="642" t="s">
        <v>300</v>
      </c>
      <c r="D205" s="640">
        <v>80101706</v>
      </c>
      <c r="E205" s="641" t="s">
        <v>585</v>
      </c>
      <c r="F205" s="640" t="s">
        <v>61</v>
      </c>
      <c r="G205" s="634">
        <v>1</v>
      </c>
      <c r="H205" s="634" t="s">
        <v>91</v>
      </c>
      <c r="I205" s="637">
        <v>11.2</v>
      </c>
      <c r="J205" s="638" t="s">
        <v>92</v>
      </c>
      <c r="K205" s="634" t="s">
        <v>100</v>
      </c>
      <c r="L205" s="634" t="s">
        <v>378</v>
      </c>
      <c r="M205" s="758">
        <v>46520320</v>
      </c>
      <c r="N205" s="759">
        <v>46520320</v>
      </c>
      <c r="O205" s="634" t="s">
        <v>65</v>
      </c>
      <c r="P205" s="634" t="s">
        <v>66</v>
      </c>
      <c r="Q205" s="781" t="s">
        <v>399</v>
      </c>
      <c r="S205" s="644" t="s">
        <v>980</v>
      </c>
      <c r="T205" s="645" t="s">
        <v>981</v>
      </c>
      <c r="U205" s="646">
        <v>44210</v>
      </c>
      <c r="V205" s="645" t="s">
        <v>982</v>
      </c>
      <c r="W205" s="647" t="s">
        <v>714</v>
      </c>
      <c r="X205" s="770">
        <v>46520320</v>
      </c>
      <c r="Y205" s="772">
        <v>0</v>
      </c>
      <c r="Z205" s="770">
        <v>46520320</v>
      </c>
      <c r="AA205" s="645" t="s">
        <v>983</v>
      </c>
      <c r="AB205" s="647">
        <v>18421</v>
      </c>
      <c r="AC205" s="645" t="s">
        <v>708</v>
      </c>
      <c r="AD205" s="648">
        <v>44211</v>
      </c>
      <c r="AE205" s="648">
        <v>44550</v>
      </c>
      <c r="AF205" s="645" t="s">
        <v>827</v>
      </c>
      <c r="AG205" s="645" t="s">
        <v>828</v>
      </c>
    </row>
    <row r="206" spans="1:34" ht="243.95" customHeight="1" x14ac:dyDescent="0.35">
      <c r="A206" s="715">
        <v>178</v>
      </c>
      <c r="B206" s="633" t="s">
        <v>384</v>
      </c>
      <c r="C206" s="642" t="s">
        <v>300</v>
      </c>
      <c r="D206" s="640">
        <v>80101706</v>
      </c>
      <c r="E206" s="641" t="s">
        <v>586</v>
      </c>
      <c r="F206" s="640" t="s">
        <v>61</v>
      </c>
      <c r="G206" s="634">
        <v>1</v>
      </c>
      <c r="H206" s="634" t="s">
        <v>91</v>
      </c>
      <c r="I206" s="637">
        <v>11.2</v>
      </c>
      <c r="J206" s="638" t="s">
        <v>92</v>
      </c>
      <c r="K206" s="634" t="s">
        <v>100</v>
      </c>
      <c r="L206" s="634" t="s">
        <v>378</v>
      </c>
      <c r="M206" s="758">
        <v>49823263</v>
      </c>
      <c r="N206" s="759">
        <v>49823263</v>
      </c>
      <c r="O206" s="634" t="s">
        <v>65</v>
      </c>
      <c r="P206" s="634" t="s">
        <v>66</v>
      </c>
      <c r="Q206" s="781" t="s">
        <v>399</v>
      </c>
      <c r="S206" s="644" t="s">
        <v>1401</v>
      </c>
      <c r="T206" s="645" t="s">
        <v>1402</v>
      </c>
      <c r="U206" s="646">
        <v>44222</v>
      </c>
      <c r="V206" s="645" t="s">
        <v>1403</v>
      </c>
      <c r="W206" s="647" t="s">
        <v>714</v>
      </c>
      <c r="X206" s="770">
        <v>48192148</v>
      </c>
      <c r="Y206" s="772">
        <v>-36774316</v>
      </c>
      <c r="Z206" s="770">
        <v>11417832</v>
      </c>
      <c r="AA206" s="645" t="s">
        <v>1404</v>
      </c>
      <c r="AB206" s="647">
        <v>18521</v>
      </c>
      <c r="AC206" s="645" t="s">
        <v>720</v>
      </c>
      <c r="AD206" s="648">
        <v>44224</v>
      </c>
      <c r="AE206" s="648">
        <v>44551</v>
      </c>
      <c r="AF206" s="645" t="s">
        <v>827</v>
      </c>
      <c r="AG206" s="645" t="s">
        <v>828</v>
      </c>
    </row>
    <row r="207" spans="1:34" ht="243.95" customHeight="1" x14ac:dyDescent="0.35">
      <c r="A207" s="715">
        <v>179</v>
      </c>
      <c r="B207" s="633" t="s">
        <v>384</v>
      </c>
      <c r="C207" s="642" t="s">
        <v>300</v>
      </c>
      <c r="D207" s="640">
        <v>80101706</v>
      </c>
      <c r="E207" s="641" t="s">
        <v>587</v>
      </c>
      <c r="F207" s="640" t="s">
        <v>61</v>
      </c>
      <c r="G207" s="634">
        <v>1</v>
      </c>
      <c r="H207" s="634" t="s">
        <v>91</v>
      </c>
      <c r="I207" s="637">
        <v>11.4</v>
      </c>
      <c r="J207" s="638" t="s">
        <v>92</v>
      </c>
      <c r="K207" s="634" t="s">
        <v>100</v>
      </c>
      <c r="L207" s="634" t="s">
        <v>378</v>
      </c>
      <c r="M207" s="758">
        <v>70236961</v>
      </c>
      <c r="N207" s="759">
        <v>70236961</v>
      </c>
      <c r="O207" s="634" t="s">
        <v>65</v>
      </c>
      <c r="P207" s="634" t="s">
        <v>66</v>
      </c>
      <c r="Q207" s="781" t="s">
        <v>399</v>
      </c>
      <c r="S207" s="644" t="s">
        <v>984</v>
      </c>
      <c r="T207" s="645" t="s">
        <v>985</v>
      </c>
      <c r="U207" s="646">
        <v>44203</v>
      </c>
      <c r="V207" s="645" t="s">
        <v>986</v>
      </c>
      <c r="W207" s="647" t="s">
        <v>714</v>
      </c>
      <c r="X207" s="770">
        <v>70236961</v>
      </c>
      <c r="Y207" s="772">
        <v>0</v>
      </c>
      <c r="Z207" s="770">
        <v>70236961</v>
      </c>
      <c r="AA207" s="645" t="s">
        <v>987</v>
      </c>
      <c r="AB207" s="647">
        <v>5621</v>
      </c>
      <c r="AC207" s="645" t="s">
        <v>708</v>
      </c>
      <c r="AD207" s="648">
        <v>44205</v>
      </c>
      <c r="AE207" s="648">
        <v>44550</v>
      </c>
      <c r="AF207" s="645" t="s">
        <v>827</v>
      </c>
      <c r="AG207" s="645" t="s">
        <v>828</v>
      </c>
    </row>
    <row r="208" spans="1:34" ht="243.95" customHeight="1" x14ac:dyDescent="0.35">
      <c r="A208" s="715">
        <v>180</v>
      </c>
      <c r="B208" s="633" t="s">
        <v>384</v>
      </c>
      <c r="C208" s="642" t="s">
        <v>300</v>
      </c>
      <c r="D208" s="640">
        <v>80101706</v>
      </c>
      <c r="E208" s="641" t="s">
        <v>588</v>
      </c>
      <c r="F208" s="640" t="s">
        <v>61</v>
      </c>
      <c r="G208" s="634">
        <v>1</v>
      </c>
      <c r="H208" s="634" t="s">
        <v>91</v>
      </c>
      <c r="I208" s="637">
        <v>11.4</v>
      </c>
      <c r="J208" s="638" t="s">
        <v>92</v>
      </c>
      <c r="K208" s="634" t="s">
        <v>100</v>
      </c>
      <c r="L208" s="634" t="s">
        <v>378</v>
      </c>
      <c r="M208" s="758">
        <v>41553307</v>
      </c>
      <c r="N208" s="759">
        <v>41553307</v>
      </c>
      <c r="O208" s="634" t="s">
        <v>65</v>
      </c>
      <c r="P208" s="634" t="s">
        <v>66</v>
      </c>
      <c r="Q208" s="781" t="s">
        <v>399</v>
      </c>
      <c r="S208" s="644" t="s">
        <v>988</v>
      </c>
      <c r="T208" s="645" t="s">
        <v>989</v>
      </c>
      <c r="U208" s="646">
        <v>44204</v>
      </c>
      <c r="V208" s="645" t="s">
        <v>990</v>
      </c>
      <c r="W208" s="647" t="s">
        <v>714</v>
      </c>
      <c r="X208" s="770">
        <v>41553307</v>
      </c>
      <c r="Y208" s="772">
        <v>0</v>
      </c>
      <c r="Z208" s="770">
        <v>41553307</v>
      </c>
      <c r="AA208" s="645" t="s">
        <v>991</v>
      </c>
      <c r="AB208" s="647">
        <v>6021</v>
      </c>
      <c r="AC208" s="645" t="s">
        <v>708</v>
      </c>
      <c r="AD208" s="648">
        <v>44205</v>
      </c>
      <c r="AE208" s="648">
        <v>44550</v>
      </c>
      <c r="AF208" s="645" t="s">
        <v>827</v>
      </c>
      <c r="AG208" s="645" t="s">
        <v>828</v>
      </c>
    </row>
    <row r="209" spans="1:34" ht="243.95" customHeight="1" x14ac:dyDescent="0.35">
      <c r="A209" s="715">
        <v>181</v>
      </c>
      <c r="B209" s="633" t="s">
        <v>384</v>
      </c>
      <c r="C209" s="642" t="s">
        <v>300</v>
      </c>
      <c r="D209" s="640">
        <v>80101706</v>
      </c>
      <c r="E209" s="641" t="s">
        <v>589</v>
      </c>
      <c r="F209" s="640" t="s">
        <v>61</v>
      </c>
      <c r="G209" s="634">
        <v>1</v>
      </c>
      <c r="H209" s="634" t="s">
        <v>91</v>
      </c>
      <c r="I209" s="637">
        <v>11.4</v>
      </c>
      <c r="J209" s="638" t="s">
        <v>92</v>
      </c>
      <c r="K209" s="634" t="s">
        <v>100</v>
      </c>
      <c r="L209" s="634" t="s">
        <v>378</v>
      </c>
      <c r="M209" s="758">
        <v>76969200</v>
      </c>
      <c r="N209" s="759">
        <v>76969200</v>
      </c>
      <c r="O209" s="634" t="s">
        <v>65</v>
      </c>
      <c r="P209" s="634" t="s">
        <v>66</v>
      </c>
      <c r="Q209" s="781" t="s">
        <v>399</v>
      </c>
      <c r="S209" s="644" t="s">
        <v>992</v>
      </c>
      <c r="T209" s="645" t="s">
        <v>993</v>
      </c>
      <c r="U209" s="646">
        <v>44203</v>
      </c>
      <c r="V209" s="645" t="s">
        <v>994</v>
      </c>
      <c r="W209" s="647" t="s">
        <v>714</v>
      </c>
      <c r="X209" s="770">
        <v>76969200</v>
      </c>
      <c r="Y209" s="772">
        <v>0</v>
      </c>
      <c r="Z209" s="770">
        <v>76969200</v>
      </c>
      <c r="AA209" s="645" t="s">
        <v>995</v>
      </c>
      <c r="AB209" s="647">
        <v>6321</v>
      </c>
      <c r="AC209" s="645" t="s">
        <v>708</v>
      </c>
      <c r="AD209" s="648">
        <v>44205</v>
      </c>
      <c r="AE209" s="648">
        <v>44550</v>
      </c>
      <c r="AF209" s="645" t="s">
        <v>827</v>
      </c>
      <c r="AG209" s="645" t="s">
        <v>828</v>
      </c>
    </row>
    <row r="210" spans="1:34" ht="178.5" customHeight="1" x14ac:dyDescent="0.35">
      <c r="A210" s="715">
        <v>182</v>
      </c>
      <c r="B210" s="633" t="s">
        <v>384</v>
      </c>
      <c r="C210" s="642" t="s">
        <v>300</v>
      </c>
      <c r="D210" s="640">
        <v>80101706</v>
      </c>
      <c r="E210" s="641" t="s">
        <v>590</v>
      </c>
      <c r="F210" s="640" t="s">
        <v>61</v>
      </c>
      <c r="G210" s="634">
        <v>1</v>
      </c>
      <c r="H210" s="634" t="s">
        <v>91</v>
      </c>
      <c r="I210" s="637">
        <v>11.4</v>
      </c>
      <c r="J210" s="638" t="s">
        <v>92</v>
      </c>
      <c r="K210" s="634" t="s">
        <v>100</v>
      </c>
      <c r="L210" s="634" t="s">
        <v>378</v>
      </c>
      <c r="M210" s="758">
        <v>53425680</v>
      </c>
      <c r="N210" s="759">
        <v>53425680</v>
      </c>
      <c r="O210" s="634" t="s">
        <v>65</v>
      </c>
      <c r="P210" s="634" t="s">
        <v>66</v>
      </c>
      <c r="Q210" s="781" t="s">
        <v>399</v>
      </c>
      <c r="S210" s="644" t="s">
        <v>996</v>
      </c>
      <c r="T210" s="645" t="s">
        <v>997</v>
      </c>
      <c r="U210" s="646">
        <v>44204</v>
      </c>
      <c r="V210" s="645" t="s">
        <v>998</v>
      </c>
      <c r="W210" s="647" t="s">
        <v>714</v>
      </c>
      <c r="X210" s="770">
        <v>53425680</v>
      </c>
      <c r="Y210" s="772">
        <v>0</v>
      </c>
      <c r="Z210" s="770">
        <v>53425680</v>
      </c>
      <c r="AA210" s="645" t="s">
        <v>999</v>
      </c>
      <c r="AB210" s="647">
        <v>6621</v>
      </c>
      <c r="AC210" s="645" t="s">
        <v>708</v>
      </c>
      <c r="AD210" s="648">
        <v>44205</v>
      </c>
      <c r="AE210" s="648">
        <v>44550</v>
      </c>
      <c r="AF210" s="645" t="s">
        <v>827</v>
      </c>
      <c r="AG210" s="645" t="s">
        <v>828</v>
      </c>
    </row>
    <row r="211" spans="1:34" ht="178.5" customHeight="1" x14ac:dyDescent="0.35">
      <c r="A211" s="715">
        <v>183</v>
      </c>
      <c r="B211" s="633" t="s">
        <v>384</v>
      </c>
      <c r="C211" s="642" t="s">
        <v>300</v>
      </c>
      <c r="D211" s="640">
        <v>80101706</v>
      </c>
      <c r="E211" s="641" t="s">
        <v>591</v>
      </c>
      <c r="F211" s="640" t="s">
        <v>61</v>
      </c>
      <c r="G211" s="634">
        <v>1</v>
      </c>
      <c r="H211" s="634" t="s">
        <v>91</v>
      </c>
      <c r="I211" s="637">
        <v>11.2</v>
      </c>
      <c r="J211" s="638" t="s">
        <v>92</v>
      </c>
      <c r="K211" s="634" t="s">
        <v>100</v>
      </c>
      <c r="L211" s="634" t="s">
        <v>378</v>
      </c>
      <c r="M211" s="758">
        <v>64058481</v>
      </c>
      <c r="N211" s="759">
        <v>64058481</v>
      </c>
      <c r="O211" s="634" t="s">
        <v>65</v>
      </c>
      <c r="P211" s="634" t="s">
        <v>66</v>
      </c>
      <c r="Q211" s="781" t="s">
        <v>399</v>
      </c>
      <c r="S211" s="644" t="s">
        <v>1405</v>
      </c>
      <c r="T211" s="645" t="s">
        <v>1406</v>
      </c>
      <c r="U211" s="646">
        <v>44236</v>
      </c>
      <c r="V211" s="645" t="s">
        <v>1407</v>
      </c>
      <c r="W211" s="647" t="s">
        <v>714</v>
      </c>
      <c r="X211" s="770">
        <v>59101572</v>
      </c>
      <c r="Y211" s="772">
        <v>0</v>
      </c>
      <c r="Z211" s="770">
        <v>59101572</v>
      </c>
      <c r="AA211" s="645" t="s">
        <v>1408</v>
      </c>
      <c r="AB211" s="647">
        <v>18621</v>
      </c>
      <c r="AC211" s="645" t="s">
        <v>1409</v>
      </c>
      <c r="AD211" s="648">
        <v>44237</v>
      </c>
      <c r="AE211" s="648">
        <v>44551</v>
      </c>
      <c r="AF211" s="645" t="s">
        <v>827</v>
      </c>
      <c r="AG211" s="645" t="s">
        <v>828</v>
      </c>
    </row>
    <row r="212" spans="1:34" ht="178.5" customHeight="1" x14ac:dyDescent="0.35">
      <c r="A212" s="715">
        <v>184</v>
      </c>
      <c r="B212" s="633" t="s">
        <v>384</v>
      </c>
      <c r="C212" s="642" t="s">
        <v>300</v>
      </c>
      <c r="D212" s="640">
        <v>80101706</v>
      </c>
      <c r="E212" s="641" t="s">
        <v>592</v>
      </c>
      <c r="F212" s="640" t="s">
        <v>61</v>
      </c>
      <c r="G212" s="634">
        <v>1</v>
      </c>
      <c r="H212" s="634" t="s">
        <v>91</v>
      </c>
      <c r="I212" s="637">
        <v>11.1</v>
      </c>
      <c r="J212" s="638" t="s">
        <v>92</v>
      </c>
      <c r="K212" s="634" t="s">
        <v>100</v>
      </c>
      <c r="L212" s="634" t="s">
        <v>378</v>
      </c>
      <c r="M212" s="758">
        <v>66651435</v>
      </c>
      <c r="N212" s="759">
        <v>66651435</v>
      </c>
      <c r="O212" s="634" t="s">
        <v>65</v>
      </c>
      <c r="P212" s="634" t="s">
        <v>66</v>
      </c>
      <c r="Q212" s="781" t="s">
        <v>399</v>
      </c>
      <c r="S212" s="644" t="s">
        <v>1000</v>
      </c>
      <c r="T212" s="645" t="s">
        <v>1001</v>
      </c>
      <c r="U212" s="646">
        <v>44215</v>
      </c>
      <c r="V212" s="645" t="s">
        <v>1002</v>
      </c>
      <c r="W212" s="647" t="s">
        <v>714</v>
      </c>
      <c r="X212" s="770">
        <v>66651435</v>
      </c>
      <c r="Y212" s="772">
        <v>0</v>
      </c>
      <c r="Z212" s="770">
        <v>66651435</v>
      </c>
      <c r="AA212" s="645" t="s">
        <v>1003</v>
      </c>
      <c r="AB212" s="647">
        <v>16821</v>
      </c>
      <c r="AC212" s="645" t="s">
        <v>720</v>
      </c>
      <c r="AD212" s="648">
        <v>44216</v>
      </c>
      <c r="AE212" s="648">
        <v>44551</v>
      </c>
      <c r="AF212" s="645" t="s">
        <v>827</v>
      </c>
      <c r="AG212" s="645" t="s">
        <v>828</v>
      </c>
    </row>
    <row r="213" spans="1:34" ht="178.5" customHeight="1" x14ac:dyDescent="0.35">
      <c r="A213" s="715">
        <v>185</v>
      </c>
      <c r="B213" s="633" t="s">
        <v>384</v>
      </c>
      <c r="C213" s="642" t="s">
        <v>118</v>
      </c>
      <c r="D213" s="640">
        <v>80101706</v>
      </c>
      <c r="E213" s="641" t="s">
        <v>593</v>
      </c>
      <c r="F213" s="640" t="s">
        <v>61</v>
      </c>
      <c r="G213" s="634">
        <v>1</v>
      </c>
      <c r="H213" s="634" t="s">
        <v>91</v>
      </c>
      <c r="I213" s="637">
        <v>11.4</v>
      </c>
      <c r="J213" s="638" t="s">
        <v>92</v>
      </c>
      <c r="K213" s="634" t="s">
        <v>100</v>
      </c>
      <c r="L213" s="634" t="s">
        <v>378</v>
      </c>
      <c r="M213" s="758">
        <v>66313333</v>
      </c>
      <c r="N213" s="759">
        <v>66313333</v>
      </c>
      <c r="O213" s="634" t="s">
        <v>65</v>
      </c>
      <c r="P213" s="634" t="s">
        <v>66</v>
      </c>
      <c r="Q213" s="781" t="s">
        <v>399</v>
      </c>
      <c r="S213" s="644" t="s">
        <v>1004</v>
      </c>
      <c r="T213" s="645" t="s">
        <v>1005</v>
      </c>
      <c r="U213" s="646">
        <v>44204</v>
      </c>
      <c r="V213" s="645" t="s">
        <v>1006</v>
      </c>
      <c r="W213" s="647" t="s">
        <v>714</v>
      </c>
      <c r="X213" s="770">
        <v>66313333</v>
      </c>
      <c r="Y213" s="772">
        <v>0</v>
      </c>
      <c r="Z213" s="770">
        <v>66313333</v>
      </c>
      <c r="AA213" s="645" t="s">
        <v>1007</v>
      </c>
      <c r="AB213" s="647">
        <v>6721</v>
      </c>
      <c r="AC213" s="645" t="s">
        <v>708</v>
      </c>
      <c r="AD213" s="648">
        <v>44205</v>
      </c>
      <c r="AE213" s="648">
        <v>44550</v>
      </c>
      <c r="AF213" s="645" t="s">
        <v>1008</v>
      </c>
      <c r="AG213" s="645" t="s">
        <v>118</v>
      </c>
      <c r="AH213" s="504"/>
    </row>
    <row r="214" spans="1:34" ht="178.5" customHeight="1" x14ac:dyDescent="0.35">
      <c r="A214" s="715">
        <v>186</v>
      </c>
      <c r="B214" s="633" t="s">
        <v>384</v>
      </c>
      <c r="C214" s="642" t="s">
        <v>118</v>
      </c>
      <c r="D214" s="640">
        <v>80101706</v>
      </c>
      <c r="E214" s="641" t="s">
        <v>594</v>
      </c>
      <c r="F214" s="640" t="s">
        <v>61</v>
      </c>
      <c r="G214" s="634">
        <v>1</v>
      </c>
      <c r="H214" s="634" t="s">
        <v>91</v>
      </c>
      <c r="I214" s="637">
        <v>11.4</v>
      </c>
      <c r="J214" s="638" t="s">
        <v>92</v>
      </c>
      <c r="K214" s="634" t="s">
        <v>100</v>
      </c>
      <c r="L214" s="634" t="s">
        <v>378</v>
      </c>
      <c r="M214" s="758">
        <v>34986000</v>
      </c>
      <c r="N214" s="759">
        <v>34986000</v>
      </c>
      <c r="O214" s="634" t="s">
        <v>65</v>
      </c>
      <c r="P214" s="634" t="s">
        <v>66</v>
      </c>
      <c r="Q214" s="781" t="s">
        <v>409</v>
      </c>
      <c r="S214" s="644" t="s">
        <v>1009</v>
      </c>
      <c r="T214" s="645" t="s">
        <v>1010</v>
      </c>
      <c r="U214" s="646">
        <v>44204</v>
      </c>
      <c r="V214" s="645" t="s">
        <v>1011</v>
      </c>
      <c r="W214" s="647" t="s">
        <v>706</v>
      </c>
      <c r="X214" s="770">
        <v>34986000</v>
      </c>
      <c r="Y214" s="772">
        <v>0</v>
      </c>
      <c r="Z214" s="770">
        <v>34986000</v>
      </c>
      <c r="AA214" s="645" t="s">
        <v>1012</v>
      </c>
      <c r="AB214" s="647">
        <v>6821</v>
      </c>
      <c r="AC214" s="645" t="s">
        <v>708</v>
      </c>
      <c r="AD214" s="648">
        <v>44205</v>
      </c>
      <c r="AE214" s="648">
        <v>44550</v>
      </c>
      <c r="AF214" s="645" t="s">
        <v>1008</v>
      </c>
      <c r="AG214" s="645" t="s">
        <v>118</v>
      </c>
      <c r="AH214" s="504"/>
    </row>
    <row r="215" spans="1:34" ht="178.5" customHeight="1" x14ac:dyDescent="0.35">
      <c r="A215" s="715">
        <v>187</v>
      </c>
      <c r="B215" s="633" t="s">
        <v>384</v>
      </c>
      <c r="C215" s="642" t="s">
        <v>118</v>
      </c>
      <c r="D215" s="640">
        <v>80101706</v>
      </c>
      <c r="E215" s="641" t="s">
        <v>595</v>
      </c>
      <c r="F215" s="640" t="s">
        <v>61</v>
      </c>
      <c r="G215" s="634">
        <v>1</v>
      </c>
      <c r="H215" s="634" t="s">
        <v>91</v>
      </c>
      <c r="I215" s="637">
        <v>11.4</v>
      </c>
      <c r="J215" s="638" t="s">
        <v>92</v>
      </c>
      <c r="K215" s="634" t="s">
        <v>100</v>
      </c>
      <c r="L215" s="634" t="s">
        <v>378</v>
      </c>
      <c r="M215" s="758">
        <v>75460000</v>
      </c>
      <c r="N215" s="759">
        <v>75460000</v>
      </c>
      <c r="O215" s="634" t="s">
        <v>65</v>
      </c>
      <c r="P215" s="634" t="s">
        <v>66</v>
      </c>
      <c r="Q215" s="781" t="s">
        <v>409</v>
      </c>
      <c r="S215" s="644" t="s">
        <v>1013</v>
      </c>
      <c r="T215" s="645" t="s">
        <v>1014</v>
      </c>
      <c r="U215" s="646">
        <v>44204</v>
      </c>
      <c r="V215" s="645" t="s">
        <v>1015</v>
      </c>
      <c r="W215" s="647" t="s">
        <v>714</v>
      </c>
      <c r="X215" s="770">
        <v>75460000</v>
      </c>
      <c r="Y215" s="772">
        <v>0</v>
      </c>
      <c r="Z215" s="770">
        <v>75460000</v>
      </c>
      <c r="AA215" s="645" t="s">
        <v>1016</v>
      </c>
      <c r="AB215" s="647">
        <v>6921</v>
      </c>
      <c r="AC215" s="645" t="s">
        <v>708</v>
      </c>
      <c r="AD215" s="648">
        <v>44204</v>
      </c>
      <c r="AE215" s="648">
        <v>44550</v>
      </c>
      <c r="AF215" s="645" t="s">
        <v>1008</v>
      </c>
      <c r="AG215" s="645" t="s">
        <v>118</v>
      </c>
      <c r="AH215" s="504"/>
    </row>
    <row r="216" spans="1:34" ht="120" customHeight="1" x14ac:dyDescent="0.35">
      <c r="A216" s="715">
        <v>188</v>
      </c>
      <c r="B216" s="633" t="s">
        <v>384</v>
      </c>
      <c r="C216" s="642" t="s">
        <v>118</v>
      </c>
      <c r="D216" s="640">
        <v>80101706</v>
      </c>
      <c r="E216" s="641" t="s">
        <v>596</v>
      </c>
      <c r="F216" s="640" t="s">
        <v>61</v>
      </c>
      <c r="G216" s="634">
        <v>1</v>
      </c>
      <c r="H216" s="634" t="s">
        <v>91</v>
      </c>
      <c r="I216" s="637">
        <v>11.4</v>
      </c>
      <c r="J216" s="638" t="s">
        <v>92</v>
      </c>
      <c r="K216" s="634" t="s">
        <v>100</v>
      </c>
      <c r="L216" s="634" t="s">
        <v>378</v>
      </c>
      <c r="M216" s="758">
        <v>72566320</v>
      </c>
      <c r="N216" s="759">
        <v>72566320</v>
      </c>
      <c r="O216" s="634" t="s">
        <v>65</v>
      </c>
      <c r="P216" s="634" t="s">
        <v>66</v>
      </c>
      <c r="Q216" s="781" t="s">
        <v>409</v>
      </c>
      <c r="S216" s="644" t="s">
        <v>1017</v>
      </c>
      <c r="T216" s="645" t="s">
        <v>1018</v>
      </c>
      <c r="U216" s="646">
        <v>44204</v>
      </c>
      <c r="V216" s="645" t="s">
        <v>1019</v>
      </c>
      <c r="W216" s="647" t="s">
        <v>714</v>
      </c>
      <c r="X216" s="770">
        <v>72566320</v>
      </c>
      <c r="Y216" s="772">
        <v>0</v>
      </c>
      <c r="Z216" s="770">
        <v>72566320</v>
      </c>
      <c r="AA216" s="645" t="s">
        <v>1020</v>
      </c>
      <c r="AB216" s="647">
        <v>7021</v>
      </c>
      <c r="AC216" s="645" t="s">
        <v>708</v>
      </c>
      <c r="AD216" s="648">
        <v>44204</v>
      </c>
      <c r="AE216" s="648">
        <v>44550</v>
      </c>
      <c r="AF216" s="645" t="s">
        <v>1008</v>
      </c>
      <c r="AG216" s="645" t="s">
        <v>118</v>
      </c>
    </row>
    <row r="217" spans="1:34" ht="120" customHeight="1" x14ac:dyDescent="0.35">
      <c r="A217" s="715">
        <v>189</v>
      </c>
      <c r="B217" s="633" t="s">
        <v>402</v>
      </c>
      <c r="C217" s="642" t="s">
        <v>118</v>
      </c>
      <c r="D217" s="640">
        <v>80101706</v>
      </c>
      <c r="E217" s="641" t="s">
        <v>1021</v>
      </c>
      <c r="F217" s="640" t="s">
        <v>61</v>
      </c>
      <c r="G217" s="634">
        <v>1</v>
      </c>
      <c r="H217" s="634" t="s">
        <v>91</v>
      </c>
      <c r="I217" s="637">
        <v>11</v>
      </c>
      <c r="J217" s="638" t="s">
        <v>92</v>
      </c>
      <c r="K217" s="634" t="s">
        <v>100</v>
      </c>
      <c r="L217" s="634" t="s">
        <v>362</v>
      </c>
      <c r="M217" s="758">
        <v>56139365</v>
      </c>
      <c r="N217" s="759">
        <v>56139365</v>
      </c>
      <c r="O217" s="634" t="s">
        <v>65</v>
      </c>
      <c r="P217" s="634" t="s">
        <v>66</v>
      </c>
      <c r="Q217" s="781" t="s">
        <v>409</v>
      </c>
      <c r="S217" s="644" t="s">
        <v>1410</v>
      </c>
      <c r="T217" s="645" t="s">
        <v>1411</v>
      </c>
      <c r="U217" s="646">
        <v>44221</v>
      </c>
      <c r="V217" s="645" t="s">
        <v>1412</v>
      </c>
      <c r="W217" s="647" t="s">
        <v>714</v>
      </c>
      <c r="X217" s="770">
        <v>55121734</v>
      </c>
      <c r="Y217" s="772">
        <v>0</v>
      </c>
      <c r="Z217" s="770">
        <v>55121734</v>
      </c>
      <c r="AA217" s="645" t="s">
        <v>1413</v>
      </c>
      <c r="AB217" s="647">
        <v>16421</v>
      </c>
      <c r="AC217" s="645" t="s">
        <v>708</v>
      </c>
      <c r="AD217" s="648">
        <v>44222</v>
      </c>
      <c r="AE217" s="648">
        <v>44550</v>
      </c>
      <c r="AF217" s="645" t="s">
        <v>1008</v>
      </c>
      <c r="AG217" s="645" t="s">
        <v>118</v>
      </c>
    </row>
    <row r="218" spans="1:34" ht="120" customHeight="1" x14ac:dyDescent="0.35">
      <c r="A218" s="715">
        <v>190</v>
      </c>
      <c r="B218" s="633" t="s">
        <v>384</v>
      </c>
      <c r="C218" s="642" t="s">
        <v>118</v>
      </c>
      <c r="D218" s="640">
        <v>80101706</v>
      </c>
      <c r="E218" s="641" t="s">
        <v>597</v>
      </c>
      <c r="F218" s="640" t="s">
        <v>61</v>
      </c>
      <c r="G218" s="634">
        <v>1</v>
      </c>
      <c r="H218" s="634" t="s">
        <v>91</v>
      </c>
      <c r="I218" s="637">
        <v>11.1</v>
      </c>
      <c r="J218" s="638" t="s">
        <v>92</v>
      </c>
      <c r="K218" s="634" t="s">
        <v>100</v>
      </c>
      <c r="L218" s="634" t="s">
        <v>378</v>
      </c>
      <c r="M218" s="758">
        <v>51712320</v>
      </c>
      <c r="N218" s="759">
        <v>51712320</v>
      </c>
      <c r="O218" s="634" t="s">
        <v>65</v>
      </c>
      <c r="P218" s="634" t="s">
        <v>66</v>
      </c>
      <c r="Q218" s="781" t="s">
        <v>409</v>
      </c>
      <c r="S218" s="644" t="s">
        <v>1022</v>
      </c>
      <c r="T218" s="645" t="s">
        <v>1023</v>
      </c>
      <c r="U218" s="646">
        <v>44214</v>
      </c>
      <c r="V218" s="645" t="s">
        <v>1024</v>
      </c>
      <c r="W218" s="647" t="s">
        <v>714</v>
      </c>
      <c r="X218" s="770">
        <v>51712320</v>
      </c>
      <c r="Y218" s="772">
        <v>0</v>
      </c>
      <c r="Z218" s="770">
        <v>51712320</v>
      </c>
      <c r="AA218" s="645" t="s">
        <v>1025</v>
      </c>
      <c r="AB218" s="647">
        <v>16921</v>
      </c>
      <c r="AC218" s="645" t="s">
        <v>708</v>
      </c>
      <c r="AD218" s="648">
        <v>44215</v>
      </c>
      <c r="AE218" s="648">
        <v>44550</v>
      </c>
      <c r="AF218" s="645" t="s">
        <v>1008</v>
      </c>
      <c r="AG218" s="645" t="s">
        <v>118</v>
      </c>
    </row>
    <row r="219" spans="1:34" ht="120" customHeight="1" x14ac:dyDescent="0.35">
      <c r="A219" s="715">
        <v>191</v>
      </c>
      <c r="B219" s="633" t="s">
        <v>410</v>
      </c>
      <c r="C219" s="642" t="s">
        <v>118</v>
      </c>
      <c r="D219" s="640">
        <v>80101706</v>
      </c>
      <c r="E219" s="641" t="s">
        <v>598</v>
      </c>
      <c r="F219" s="640" t="s">
        <v>61</v>
      </c>
      <c r="G219" s="634">
        <v>1</v>
      </c>
      <c r="H219" s="634" t="s">
        <v>91</v>
      </c>
      <c r="I219" s="637">
        <v>11.3</v>
      </c>
      <c r="J219" s="638" t="s">
        <v>92</v>
      </c>
      <c r="K219" s="634" t="s">
        <v>100</v>
      </c>
      <c r="L219" s="634" t="s">
        <v>378</v>
      </c>
      <c r="M219" s="758">
        <v>74360000</v>
      </c>
      <c r="N219" s="759">
        <v>74360000</v>
      </c>
      <c r="O219" s="634" t="s">
        <v>65</v>
      </c>
      <c r="P219" s="634" t="s">
        <v>66</v>
      </c>
      <c r="Q219" s="781" t="s">
        <v>409</v>
      </c>
      <c r="S219" s="644" t="s">
        <v>1026</v>
      </c>
      <c r="T219" s="645" t="s">
        <v>1027</v>
      </c>
      <c r="U219" s="646">
        <v>44209</v>
      </c>
      <c r="V219" s="645" t="s">
        <v>1028</v>
      </c>
      <c r="W219" s="647" t="s">
        <v>714</v>
      </c>
      <c r="X219" s="770">
        <v>74140000</v>
      </c>
      <c r="Y219" s="772">
        <v>0</v>
      </c>
      <c r="Z219" s="770">
        <v>74140000</v>
      </c>
      <c r="AA219" s="645" t="s">
        <v>1029</v>
      </c>
      <c r="AB219" s="647">
        <v>13721</v>
      </c>
      <c r="AC219" s="645" t="s">
        <v>708</v>
      </c>
      <c r="AD219" s="648">
        <v>44210</v>
      </c>
      <c r="AE219" s="648">
        <v>44550</v>
      </c>
      <c r="AF219" s="645" t="s">
        <v>1008</v>
      </c>
      <c r="AG219" s="645" t="s">
        <v>118</v>
      </c>
    </row>
    <row r="220" spans="1:34" ht="157.5" customHeight="1" x14ac:dyDescent="0.35">
      <c r="A220" s="715">
        <v>192</v>
      </c>
      <c r="B220" s="633" t="s">
        <v>376</v>
      </c>
      <c r="C220" s="642" t="s">
        <v>118</v>
      </c>
      <c r="D220" s="640">
        <v>80101706</v>
      </c>
      <c r="E220" s="641" t="s">
        <v>599</v>
      </c>
      <c r="F220" s="640" t="s">
        <v>61</v>
      </c>
      <c r="G220" s="634">
        <v>1</v>
      </c>
      <c r="H220" s="634" t="s">
        <v>91</v>
      </c>
      <c r="I220" s="637">
        <v>11.3</v>
      </c>
      <c r="J220" s="638" t="s">
        <v>92</v>
      </c>
      <c r="K220" s="634" t="s">
        <v>100</v>
      </c>
      <c r="L220" s="634" t="s">
        <v>378</v>
      </c>
      <c r="M220" s="758">
        <v>57441256</v>
      </c>
      <c r="N220" s="759">
        <v>57441256</v>
      </c>
      <c r="O220" s="634" t="s">
        <v>65</v>
      </c>
      <c r="P220" s="634" t="s">
        <v>66</v>
      </c>
      <c r="Q220" s="781" t="s">
        <v>409</v>
      </c>
      <c r="S220" s="644" t="s">
        <v>1030</v>
      </c>
      <c r="T220" s="645" t="s">
        <v>1031</v>
      </c>
      <c r="U220" s="646">
        <v>44209</v>
      </c>
      <c r="V220" s="645" t="s">
        <v>1032</v>
      </c>
      <c r="W220" s="647" t="s">
        <v>714</v>
      </c>
      <c r="X220" s="770">
        <v>57271308</v>
      </c>
      <c r="Y220" s="772">
        <v>0</v>
      </c>
      <c r="Z220" s="770">
        <v>57271308</v>
      </c>
      <c r="AA220" s="645" t="s">
        <v>1033</v>
      </c>
      <c r="AB220" s="647">
        <v>14521</v>
      </c>
      <c r="AC220" s="645" t="s">
        <v>708</v>
      </c>
      <c r="AD220" s="648">
        <v>44210</v>
      </c>
      <c r="AE220" s="648">
        <v>44550</v>
      </c>
      <c r="AF220" s="645" t="s">
        <v>1008</v>
      </c>
      <c r="AG220" s="645" t="s">
        <v>118</v>
      </c>
    </row>
    <row r="221" spans="1:34" ht="191.45" customHeight="1" x14ac:dyDescent="0.35">
      <c r="A221" s="715">
        <v>193</v>
      </c>
      <c r="B221" s="633" t="s">
        <v>376</v>
      </c>
      <c r="C221" s="642" t="s">
        <v>118</v>
      </c>
      <c r="D221" s="640">
        <v>80101706</v>
      </c>
      <c r="E221" s="641" t="s">
        <v>600</v>
      </c>
      <c r="F221" s="640" t="s">
        <v>61</v>
      </c>
      <c r="G221" s="634">
        <v>1</v>
      </c>
      <c r="H221" s="634" t="s">
        <v>91</v>
      </c>
      <c r="I221" s="637">
        <v>11.3</v>
      </c>
      <c r="J221" s="638" t="s">
        <v>92</v>
      </c>
      <c r="K221" s="634" t="s">
        <v>100</v>
      </c>
      <c r="L221" s="634" t="s">
        <v>378</v>
      </c>
      <c r="M221" s="758">
        <v>63302609</v>
      </c>
      <c r="N221" s="759">
        <v>63302609</v>
      </c>
      <c r="O221" s="634" t="s">
        <v>65</v>
      </c>
      <c r="P221" s="634" t="s">
        <v>66</v>
      </c>
      <c r="Q221" s="781" t="s">
        <v>409</v>
      </c>
      <c r="S221" s="644" t="s">
        <v>1034</v>
      </c>
      <c r="T221" s="645" t="s">
        <v>1035</v>
      </c>
      <c r="U221" s="646">
        <v>44209</v>
      </c>
      <c r="V221" s="645" t="s">
        <v>1036</v>
      </c>
      <c r="W221" s="647" t="s">
        <v>714</v>
      </c>
      <c r="X221" s="770">
        <v>63115326</v>
      </c>
      <c r="Y221" s="772">
        <v>0</v>
      </c>
      <c r="Z221" s="770">
        <v>63115326</v>
      </c>
      <c r="AA221" s="645" t="s">
        <v>1037</v>
      </c>
      <c r="AB221" s="647">
        <v>14421</v>
      </c>
      <c r="AC221" s="645" t="s">
        <v>708</v>
      </c>
      <c r="AD221" s="648">
        <v>44210</v>
      </c>
      <c r="AE221" s="648">
        <v>44550</v>
      </c>
      <c r="AF221" s="645" t="s">
        <v>1008</v>
      </c>
      <c r="AG221" s="645" t="s">
        <v>118</v>
      </c>
    </row>
    <row r="222" spans="1:34" ht="222.95" customHeight="1" x14ac:dyDescent="0.35">
      <c r="A222" s="715">
        <v>194</v>
      </c>
      <c r="B222" s="633" t="s">
        <v>384</v>
      </c>
      <c r="C222" s="642" t="s">
        <v>118</v>
      </c>
      <c r="D222" s="640">
        <v>80101706</v>
      </c>
      <c r="E222" s="641" t="s">
        <v>601</v>
      </c>
      <c r="F222" s="640" t="s">
        <v>61</v>
      </c>
      <c r="G222" s="634">
        <v>1</v>
      </c>
      <c r="H222" s="634" t="s">
        <v>91</v>
      </c>
      <c r="I222" s="637">
        <v>11.3</v>
      </c>
      <c r="J222" s="638" t="s">
        <v>92</v>
      </c>
      <c r="K222" s="634" t="s">
        <v>100</v>
      </c>
      <c r="L222" s="634" t="s">
        <v>378</v>
      </c>
      <c r="M222" s="758">
        <v>63302609</v>
      </c>
      <c r="N222" s="759">
        <v>63302609</v>
      </c>
      <c r="O222" s="634" t="s">
        <v>65</v>
      </c>
      <c r="P222" s="634" t="s">
        <v>66</v>
      </c>
      <c r="Q222" s="781" t="s">
        <v>409</v>
      </c>
      <c r="S222" s="644" t="s">
        <v>1038</v>
      </c>
      <c r="T222" s="645" t="s">
        <v>1039</v>
      </c>
      <c r="U222" s="646">
        <v>44209</v>
      </c>
      <c r="V222" s="645" t="s">
        <v>1040</v>
      </c>
      <c r="W222" s="647" t="s">
        <v>714</v>
      </c>
      <c r="X222" s="770">
        <v>63115326</v>
      </c>
      <c r="Y222" s="772">
        <v>0</v>
      </c>
      <c r="Z222" s="770">
        <v>63115326</v>
      </c>
      <c r="AA222" s="645" t="s">
        <v>1041</v>
      </c>
      <c r="AB222" s="647">
        <v>14321</v>
      </c>
      <c r="AC222" s="645" t="s">
        <v>708</v>
      </c>
      <c r="AD222" s="648">
        <v>44210</v>
      </c>
      <c r="AE222" s="648">
        <v>44550</v>
      </c>
      <c r="AF222" s="645" t="s">
        <v>1008</v>
      </c>
      <c r="AG222" s="645" t="s">
        <v>118</v>
      </c>
    </row>
    <row r="223" spans="1:34" ht="207" customHeight="1" x14ac:dyDescent="0.35">
      <c r="A223" s="715">
        <v>195</v>
      </c>
      <c r="B223" s="633" t="s">
        <v>384</v>
      </c>
      <c r="C223" s="642" t="s">
        <v>118</v>
      </c>
      <c r="D223" s="640">
        <v>80101706</v>
      </c>
      <c r="E223" s="641" t="s">
        <v>602</v>
      </c>
      <c r="F223" s="640" t="s">
        <v>61</v>
      </c>
      <c r="G223" s="634">
        <v>1</v>
      </c>
      <c r="H223" s="634" t="s">
        <v>91</v>
      </c>
      <c r="I223" s="637">
        <v>11.1</v>
      </c>
      <c r="J223" s="638" t="s">
        <v>92</v>
      </c>
      <c r="K223" s="634" t="s">
        <v>100</v>
      </c>
      <c r="L223" s="634" t="s">
        <v>378</v>
      </c>
      <c r="M223" s="758">
        <v>23029220</v>
      </c>
      <c r="N223" s="759">
        <v>23029220</v>
      </c>
      <c r="O223" s="634" t="s">
        <v>65</v>
      </c>
      <c r="P223" s="634" t="s">
        <v>66</v>
      </c>
      <c r="Q223" s="781" t="s">
        <v>409</v>
      </c>
      <c r="S223" s="644" t="s">
        <v>1042</v>
      </c>
      <c r="T223" s="645" t="s">
        <v>1043</v>
      </c>
      <c r="U223" s="646">
        <v>44214</v>
      </c>
      <c r="V223" s="645" t="s">
        <v>1044</v>
      </c>
      <c r="W223" s="647" t="s">
        <v>706</v>
      </c>
      <c r="X223" s="770">
        <v>23029220</v>
      </c>
      <c r="Y223" s="772">
        <v>0</v>
      </c>
      <c r="Z223" s="770">
        <v>23029220</v>
      </c>
      <c r="AA223" s="645" t="s">
        <v>1045</v>
      </c>
      <c r="AB223" s="647">
        <v>20821</v>
      </c>
      <c r="AC223" s="645" t="s">
        <v>708</v>
      </c>
      <c r="AD223" s="648">
        <v>44215</v>
      </c>
      <c r="AE223" s="648">
        <v>44550</v>
      </c>
      <c r="AF223" s="645" t="s">
        <v>1008</v>
      </c>
      <c r="AG223" s="645" t="s">
        <v>118</v>
      </c>
    </row>
    <row r="224" spans="1:34" ht="157.5" customHeight="1" x14ac:dyDescent="0.35">
      <c r="A224" s="715">
        <v>196</v>
      </c>
      <c r="B224" s="633" t="s">
        <v>384</v>
      </c>
      <c r="C224" s="633" t="s">
        <v>374</v>
      </c>
      <c r="D224" s="640">
        <v>80101706</v>
      </c>
      <c r="E224" s="641" t="s">
        <v>603</v>
      </c>
      <c r="F224" s="640" t="s">
        <v>61</v>
      </c>
      <c r="G224" s="634">
        <v>1</v>
      </c>
      <c r="H224" s="634" t="s">
        <v>91</v>
      </c>
      <c r="I224" s="637">
        <v>11.5</v>
      </c>
      <c r="J224" s="638" t="s">
        <v>92</v>
      </c>
      <c r="K224" s="634" t="s">
        <v>100</v>
      </c>
      <c r="L224" s="634" t="s">
        <v>378</v>
      </c>
      <c r="M224" s="758">
        <v>82348000</v>
      </c>
      <c r="N224" s="759">
        <v>82348000</v>
      </c>
      <c r="O224" s="634" t="s">
        <v>65</v>
      </c>
      <c r="P224" s="634" t="s">
        <v>66</v>
      </c>
      <c r="Q224" s="781" t="s">
        <v>353</v>
      </c>
      <c r="S224" s="644" t="s">
        <v>1046</v>
      </c>
      <c r="T224" s="645" t="s">
        <v>1047</v>
      </c>
      <c r="U224" s="646">
        <v>44208</v>
      </c>
      <c r="V224" s="645" t="s">
        <v>1048</v>
      </c>
      <c r="W224" s="647" t="s">
        <v>714</v>
      </c>
      <c r="X224" s="770">
        <v>82348000</v>
      </c>
      <c r="Y224" s="772">
        <v>0</v>
      </c>
      <c r="Z224" s="770">
        <v>82348000</v>
      </c>
      <c r="AA224" s="645" t="s">
        <v>1049</v>
      </c>
      <c r="AB224" s="647">
        <v>14221</v>
      </c>
      <c r="AC224" s="645" t="s">
        <v>1050</v>
      </c>
      <c r="AD224" s="648">
        <v>44210</v>
      </c>
      <c r="AE224" s="648">
        <v>44558</v>
      </c>
      <c r="AF224" s="650" t="s">
        <v>747</v>
      </c>
      <c r="AG224" s="650" t="s">
        <v>748</v>
      </c>
    </row>
    <row r="225" spans="1:33" ht="157.5" customHeight="1" x14ac:dyDescent="0.35">
      <c r="A225" s="715">
        <v>197</v>
      </c>
      <c r="B225" s="633" t="s">
        <v>384</v>
      </c>
      <c r="C225" s="642" t="s">
        <v>317</v>
      </c>
      <c r="D225" s="640">
        <v>80101706</v>
      </c>
      <c r="E225" s="641" t="s">
        <v>604</v>
      </c>
      <c r="F225" s="640" t="s">
        <v>61</v>
      </c>
      <c r="G225" s="634">
        <v>1</v>
      </c>
      <c r="H225" s="634" t="s">
        <v>91</v>
      </c>
      <c r="I225" s="637">
        <v>11.8</v>
      </c>
      <c r="J225" s="638" t="s">
        <v>92</v>
      </c>
      <c r="K225" s="634" t="s">
        <v>100</v>
      </c>
      <c r="L225" s="634" t="s">
        <v>378</v>
      </c>
      <c r="M225" s="758">
        <v>70867339</v>
      </c>
      <c r="N225" s="759">
        <v>70867339</v>
      </c>
      <c r="O225" s="634" t="s">
        <v>65</v>
      </c>
      <c r="P225" s="634" t="s">
        <v>66</v>
      </c>
      <c r="Q225" s="781" t="s">
        <v>314</v>
      </c>
      <c r="S225" s="644" t="s">
        <v>1051</v>
      </c>
      <c r="T225" s="645" t="s">
        <v>1052</v>
      </c>
      <c r="U225" s="646">
        <v>44202</v>
      </c>
      <c r="V225" s="645" t="s">
        <v>831</v>
      </c>
      <c r="W225" s="647" t="s">
        <v>714</v>
      </c>
      <c r="X225" s="770">
        <v>70666581</v>
      </c>
      <c r="Y225" s="772">
        <v>0</v>
      </c>
      <c r="Z225" s="770">
        <v>70666581</v>
      </c>
      <c r="AA225" s="645" t="s">
        <v>742</v>
      </c>
      <c r="AB225" s="647">
        <v>1421</v>
      </c>
      <c r="AC225" s="645" t="s">
        <v>737</v>
      </c>
      <c r="AD225" s="648">
        <v>44203</v>
      </c>
      <c r="AE225" s="648">
        <v>44558</v>
      </c>
      <c r="AF225" s="645" t="s">
        <v>738</v>
      </c>
      <c r="AG225" s="645" t="s">
        <v>317</v>
      </c>
    </row>
    <row r="226" spans="1:33" ht="157.5" customHeight="1" x14ac:dyDescent="0.35">
      <c r="A226" s="715">
        <v>198</v>
      </c>
      <c r="B226" s="633" t="s">
        <v>361</v>
      </c>
      <c r="C226" s="642" t="s">
        <v>317</v>
      </c>
      <c r="D226" s="640">
        <v>80101706</v>
      </c>
      <c r="E226" s="641" t="s">
        <v>605</v>
      </c>
      <c r="F226" s="640" t="s">
        <v>61</v>
      </c>
      <c r="G226" s="634">
        <v>1</v>
      </c>
      <c r="H226" s="634" t="s">
        <v>91</v>
      </c>
      <c r="I226" s="637">
        <v>11.8</v>
      </c>
      <c r="J226" s="638" t="s">
        <v>92</v>
      </c>
      <c r="K226" s="634" t="s">
        <v>100</v>
      </c>
      <c r="L226" s="634" t="s">
        <v>362</v>
      </c>
      <c r="M226" s="758">
        <v>70867339</v>
      </c>
      <c r="N226" s="759">
        <v>70867339</v>
      </c>
      <c r="O226" s="634" t="s">
        <v>65</v>
      </c>
      <c r="P226" s="634" t="s">
        <v>66</v>
      </c>
      <c r="Q226" s="781" t="s">
        <v>314</v>
      </c>
      <c r="S226" s="644" t="s">
        <v>1053</v>
      </c>
      <c r="T226" s="645" t="s">
        <v>1054</v>
      </c>
      <c r="U226" s="646">
        <v>44202</v>
      </c>
      <c r="V226" s="645" t="s">
        <v>831</v>
      </c>
      <c r="W226" s="647" t="s">
        <v>714</v>
      </c>
      <c r="X226" s="770">
        <v>70666581</v>
      </c>
      <c r="Y226" s="772">
        <v>0</v>
      </c>
      <c r="Z226" s="770">
        <v>70666581</v>
      </c>
      <c r="AA226" s="645" t="s">
        <v>742</v>
      </c>
      <c r="AB226" s="647">
        <v>1821</v>
      </c>
      <c r="AC226" s="645" t="s">
        <v>737</v>
      </c>
      <c r="AD226" s="648">
        <v>44203</v>
      </c>
      <c r="AE226" s="648">
        <v>44558</v>
      </c>
      <c r="AF226" s="645" t="s">
        <v>738</v>
      </c>
      <c r="AG226" s="645" t="s">
        <v>317</v>
      </c>
    </row>
    <row r="227" spans="1:33" ht="157.5" customHeight="1" x14ac:dyDescent="0.35">
      <c r="A227" s="715">
        <v>199</v>
      </c>
      <c r="B227" s="633" t="s">
        <v>361</v>
      </c>
      <c r="C227" s="633" t="s">
        <v>352</v>
      </c>
      <c r="D227" s="640">
        <v>80101706</v>
      </c>
      <c r="E227" s="641" t="s">
        <v>606</v>
      </c>
      <c r="F227" s="640" t="s">
        <v>61</v>
      </c>
      <c r="G227" s="634">
        <v>1</v>
      </c>
      <c r="H227" s="634" t="s">
        <v>91</v>
      </c>
      <c r="I227" s="637">
        <v>11.3</v>
      </c>
      <c r="J227" s="638" t="s">
        <v>92</v>
      </c>
      <c r="K227" s="634" t="s">
        <v>100</v>
      </c>
      <c r="L227" s="634" t="s">
        <v>362</v>
      </c>
      <c r="M227" s="758">
        <v>64439781</v>
      </c>
      <c r="N227" s="759">
        <v>64439781</v>
      </c>
      <c r="O227" s="634" t="s">
        <v>65</v>
      </c>
      <c r="P227" s="634" t="s">
        <v>66</v>
      </c>
      <c r="Q227" s="781" t="s">
        <v>304</v>
      </c>
      <c r="S227" s="644" t="s">
        <v>1055</v>
      </c>
      <c r="T227" s="645" t="s">
        <v>1056</v>
      </c>
      <c r="U227" s="646">
        <v>44208</v>
      </c>
      <c r="V227" s="645" t="s">
        <v>1057</v>
      </c>
      <c r="W227" s="647" t="s">
        <v>714</v>
      </c>
      <c r="X227" s="770">
        <v>64439779</v>
      </c>
      <c r="Y227" s="772">
        <v>0</v>
      </c>
      <c r="Z227" s="770">
        <v>64439779</v>
      </c>
      <c r="AA227" s="645" t="s">
        <v>1058</v>
      </c>
      <c r="AB227" s="647">
        <v>12921</v>
      </c>
      <c r="AC227" s="645" t="s">
        <v>708</v>
      </c>
      <c r="AD227" s="648">
        <v>44210</v>
      </c>
      <c r="AE227" s="648">
        <v>44550</v>
      </c>
      <c r="AF227" s="645" t="s">
        <v>1059</v>
      </c>
      <c r="AG227" s="645" t="s">
        <v>1060</v>
      </c>
    </row>
    <row r="228" spans="1:33" ht="157.5" customHeight="1" x14ac:dyDescent="0.35">
      <c r="A228" s="715">
        <v>200</v>
      </c>
      <c r="B228" s="633" t="s">
        <v>361</v>
      </c>
      <c r="C228" s="633" t="s">
        <v>352</v>
      </c>
      <c r="D228" s="640">
        <v>80101706</v>
      </c>
      <c r="E228" s="641" t="s">
        <v>607</v>
      </c>
      <c r="F228" s="640" t="s">
        <v>61</v>
      </c>
      <c r="G228" s="634">
        <v>1</v>
      </c>
      <c r="H228" s="634" t="s">
        <v>91</v>
      </c>
      <c r="I228" s="637">
        <v>11.3</v>
      </c>
      <c r="J228" s="638" t="s">
        <v>92</v>
      </c>
      <c r="K228" s="634" t="s">
        <v>100</v>
      </c>
      <c r="L228" s="634" t="s">
        <v>362</v>
      </c>
      <c r="M228" s="758">
        <v>64439781</v>
      </c>
      <c r="N228" s="759">
        <v>64439781</v>
      </c>
      <c r="O228" s="634" t="s">
        <v>65</v>
      </c>
      <c r="P228" s="634" t="s">
        <v>66</v>
      </c>
      <c r="Q228" s="781" t="s">
        <v>304</v>
      </c>
      <c r="S228" s="644" t="s">
        <v>1061</v>
      </c>
      <c r="T228" s="645" t="s">
        <v>1062</v>
      </c>
      <c r="U228" s="646">
        <v>44208</v>
      </c>
      <c r="V228" s="645" t="s">
        <v>1063</v>
      </c>
      <c r="W228" s="647" t="s">
        <v>714</v>
      </c>
      <c r="X228" s="770">
        <v>64439779</v>
      </c>
      <c r="Y228" s="772">
        <v>0</v>
      </c>
      <c r="Z228" s="770">
        <v>64439779</v>
      </c>
      <c r="AA228" s="645" t="s">
        <v>852</v>
      </c>
      <c r="AB228" s="647">
        <v>13021</v>
      </c>
      <c r="AC228" s="645" t="s">
        <v>708</v>
      </c>
      <c r="AD228" s="648">
        <v>44210</v>
      </c>
      <c r="AE228" s="648">
        <v>44550</v>
      </c>
      <c r="AF228" s="645" t="s">
        <v>1059</v>
      </c>
      <c r="AG228" s="645" t="s">
        <v>1060</v>
      </c>
    </row>
    <row r="229" spans="1:33" ht="157.5" customHeight="1" x14ac:dyDescent="0.35">
      <c r="A229" s="715">
        <v>201</v>
      </c>
      <c r="B229" s="633" t="s">
        <v>361</v>
      </c>
      <c r="C229" s="633" t="s">
        <v>352</v>
      </c>
      <c r="D229" s="640">
        <v>80101706</v>
      </c>
      <c r="E229" s="641" t="s">
        <v>608</v>
      </c>
      <c r="F229" s="640" t="s">
        <v>61</v>
      </c>
      <c r="G229" s="634">
        <v>1</v>
      </c>
      <c r="H229" s="634" t="s">
        <v>91</v>
      </c>
      <c r="I229" s="637">
        <v>11.3</v>
      </c>
      <c r="J229" s="638" t="s">
        <v>92</v>
      </c>
      <c r="K229" s="634" t="s">
        <v>100</v>
      </c>
      <c r="L229" s="634" t="s">
        <v>362</v>
      </c>
      <c r="M229" s="758">
        <v>64439781</v>
      </c>
      <c r="N229" s="759">
        <v>64439781</v>
      </c>
      <c r="O229" s="634" t="s">
        <v>65</v>
      </c>
      <c r="P229" s="634" t="s">
        <v>66</v>
      </c>
      <c r="Q229" s="781" t="s">
        <v>304</v>
      </c>
      <c r="S229" s="644" t="s">
        <v>1064</v>
      </c>
      <c r="T229" s="645" t="s">
        <v>1065</v>
      </c>
      <c r="U229" s="646">
        <v>44208</v>
      </c>
      <c r="V229" s="645" t="s">
        <v>1057</v>
      </c>
      <c r="W229" s="647" t="s">
        <v>714</v>
      </c>
      <c r="X229" s="770">
        <v>64439779</v>
      </c>
      <c r="Y229" s="772">
        <v>-190650</v>
      </c>
      <c r="Z229" s="770">
        <v>64249129</v>
      </c>
      <c r="AA229" s="645" t="s">
        <v>852</v>
      </c>
      <c r="AB229" s="647">
        <v>13121</v>
      </c>
      <c r="AC229" s="645" t="s">
        <v>708</v>
      </c>
      <c r="AD229" s="648">
        <v>44211</v>
      </c>
      <c r="AE229" s="648">
        <v>44550</v>
      </c>
      <c r="AF229" s="645" t="s">
        <v>1059</v>
      </c>
      <c r="AG229" s="645" t="s">
        <v>1060</v>
      </c>
    </row>
    <row r="230" spans="1:33" ht="157.5" customHeight="1" x14ac:dyDescent="0.35">
      <c r="A230" s="715">
        <v>202</v>
      </c>
      <c r="B230" s="633" t="s">
        <v>361</v>
      </c>
      <c r="C230" s="633" t="s">
        <v>352</v>
      </c>
      <c r="D230" s="640">
        <v>80101706</v>
      </c>
      <c r="E230" s="641" t="s">
        <v>609</v>
      </c>
      <c r="F230" s="640" t="s">
        <v>61</v>
      </c>
      <c r="G230" s="634">
        <v>1</v>
      </c>
      <c r="H230" s="634" t="s">
        <v>91</v>
      </c>
      <c r="I230" s="637">
        <v>11.4</v>
      </c>
      <c r="J230" s="638" t="s">
        <v>92</v>
      </c>
      <c r="K230" s="634" t="s">
        <v>100</v>
      </c>
      <c r="L230" s="634" t="s">
        <v>362</v>
      </c>
      <c r="M230" s="758">
        <v>48439283</v>
      </c>
      <c r="N230" s="759">
        <v>48439283</v>
      </c>
      <c r="O230" s="634" t="s">
        <v>65</v>
      </c>
      <c r="P230" s="634" t="s">
        <v>66</v>
      </c>
      <c r="Q230" s="781" t="s">
        <v>304</v>
      </c>
      <c r="S230" s="644" t="s">
        <v>1066</v>
      </c>
      <c r="T230" s="645" t="s">
        <v>1067</v>
      </c>
      <c r="U230" s="646">
        <v>44204</v>
      </c>
      <c r="V230" s="645" t="s">
        <v>1068</v>
      </c>
      <c r="W230" s="647" t="s">
        <v>714</v>
      </c>
      <c r="X230" s="770">
        <v>48439283</v>
      </c>
      <c r="Y230" s="772">
        <v>0</v>
      </c>
      <c r="Z230" s="770">
        <v>48439283</v>
      </c>
      <c r="AA230" s="645" t="s">
        <v>1069</v>
      </c>
      <c r="AB230" s="647">
        <v>7721</v>
      </c>
      <c r="AC230" s="645" t="s">
        <v>708</v>
      </c>
      <c r="AD230" s="648">
        <v>44204</v>
      </c>
      <c r="AE230" s="648">
        <v>44550</v>
      </c>
      <c r="AF230" s="645" t="s">
        <v>1059</v>
      </c>
      <c r="AG230" s="645" t="s">
        <v>1060</v>
      </c>
    </row>
    <row r="231" spans="1:33" ht="157.5" customHeight="1" x14ac:dyDescent="0.35">
      <c r="A231" s="715">
        <v>203</v>
      </c>
      <c r="B231" s="633" t="s">
        <v>361</v>
      </c>
      <c r="C231" s="633" t="s">
        <v>352</v>
      </c>
      <c r="D231" s="640">
        <v>80101706</v>
      </c>
      <c r="E231" s="641" t="s">
        <v>610</v>
      </c>
      <c r="F231" s="640" t="s">
        <v>61</v>
      </c>
      <c r="G231" s="634">
        <v>1</v>
      </c>
      <c r="H231" s="634" t="s">
        <v>91</v>
      </c>
      <c r="I231" s="637">
        <v>11.4</v>
      </c>
      <c r="J231" s="638" t="s">
        <v>92</v>
      </c>
      <c r="K231" s="634" t="s">
        <v>100</v>
      </c>
      <c r="L231" s="634" t="s">
        <v>362</v>
      </c>
      <c r="M231" s="758">
        <v>64110816</v>
      </c>
      <c r="N231" s="759">
        <v>64110816</v>
      </c>
      <c r="O231" s="634" t="s">
        <v>65</v>
      </c>
      <c r="P231" s="634" t="s">
        <v>66</v>
      </c>
      <c r="Q231" s="781" t="s">
        <v>304</v>
      </c>
      <c r="S231" s="644" t="s">
        <v>1070</v>
      </c>
      <c r="T231" s="645" t="s">
        <v>1071</v>
      </c>
      <c r="U231" s="646">
        <v>44204</v>
      </c>
      <c r="V231" s="645" t="s">
        <v>1072</v>
      </c>
      <c r="W231" s="647" t="s">
        <v>714</v>
      </c>
      <c r="X231" s="770">
        <v>64110816</v>
      </c>
      <c r="Y231" s="772">
        <v>0</v>
      </c>
      <c r="Z231" s="770">
        <v>64110816</v>
      </c>
      <c r="AA231" s="645" t="s">
        <v>1073</v>
      </c>
      <c r="AB231" s="647">
        <v>8021</v>
      </c>
      <c r="AC231" s="645" t="s">
        <v>708</v>
      </c>
      <c r="AD231" s="648">
        <v>44205</v>
      </c>
      <c r="AE231" s="648">
        <v>44550</v>
      </c>
      <c r="AF231" s="645" t="s">
        <v>1059</v>
      </c>
      <c r="AG231" s="645" t="s">
        <v>1060</v>
      </c>
    </row>
    <row r="232" spans="1:33" ht="157.5" customHeight="1" x14ac:dyDescent="0.35">
      <c r="A232" s="715">
        <v>204</v>
      </c>
      <c r="B232" s="633" t="s">
        <v>361</v>
      </c>
      <c r="C232" s="633" t="s">
        <v>352</v>
      </c>
      <c r="D232" s="640">
        <v>80101706</v>
      </c>
      <c r="E232" s="641" t="s">
        <v>611</v>
      </c>
      <c r="F232" s="640" t="s">
        <v>61</v>
      </c>
      <c r="G232" s="634">
        <v>1</v>
      </c>
      <c r="H232" s="634" t="s">
        <v>91</v>
      </c>
      <c r="I232" s="637">
        <v>11.4</v>
      </c>
      <c r="J232" s="638" t="s">
        <v>92</v>
      </c>
      <c r="K232" s="634" t="s">
        <v>100</v>
      </c>
      <c r="L232" s="634" t="s">
        <v>362</v>
      </c>
      <c r="M232" s="758">
        <v>27456155</v>
      </c>
      <c r="N232" s="759">
        <v>27456155</v>
      </c>
      <c r="O232" s="634" t="s">
        <v>65</v>
      </c>
      <c r="P232" s="634" t="s">
        <v>66</v>
      </c>
      <c r="Q232" s="781" t="s">
        <v>304</v>
      </c>
      <c r="S232" s="644" t="s">
        <v>1074</v>
      </c>
      <c r="T232" s="645" t="s">
        <v>1075</v>
      </c>
      <c r="U232" s="646">
        <v>44204</v>
      </c>
      <c r="V232" s="645" t="s">
        <v>1076</v>
      </c>
      <c r="W232" s="647" t="s">
        <v>706</v>
      </c>
      <c r="X232" s="770">
        <v>27456155</v>
      </c>
      <c r="Y232" s="772">
        <v>0</v>
      </c>
      <c r="Z232" s="770">
        <v>27456155</v>
      </c>
      <c r="AA232" s="645" t="s">
        <v>1077</v>
      </c>
      <c r="AB232" s="647">
        <v>8321</v>
      </c>
      <c r="AC232" s="645" t="s">
        <v>708</v>
      </c>
      <c r="AD232" s="648">
        <v>44205</v>
      </c>
      <c r="AE232" s="648">
        <v>44550</v>
      </c>
      <c r="AF232" s="645" t="s">
        <v>1059</v>
      </c>
      <c r="AG232" s="645" t="s">
        <v>1060</v>
      </c>
    </row>
    <row r="233" spans="1:33" ht="157.5" customHeight="1" x14ac:dyDescent="0.35">
      <c r="A233" s="715">
        <v>205</v>
      </c>
      <c r="B233" s="633" t="s">
        <v>361</v>
      </c>
      <c r="C233" s="633" t="s">
        <v>352</v>
      </c>
      <c r="D233" s="640">
        <v>80101706</v>
      </c>
      <c r="E233" s="641" t="s">
        <v>612</v>
      </c>
      <c r="F233" s="640" t="s">
        <v>61</v>
      </c>
      <c r="G233" s="634">
        <v>1</v>
      </c>
      <c r="H233" s="634" t="s">
        <v>91</v>
      </c>
      <c r="I233" s="637">
        <v>11.4</v>
      </c>
      <c r="J233" s="638" t="s">
        <v>92</v>
      </c>
      <c r="K233" s="634" t="s">
        <v>100</v>
      </c>
      <c r="L233" s="634" t="s">
        <v>362</v>
      </c>
      <c r="M233" s="758">
        <v>27456155</v>
      </c>
      <c r="N233" s="759">
        <v>27456155</v>
      </c>
      <c r="O233" s="634" t="s">
        <v>65</v>
      </c>
      <c r="P233" s="634" t="s">
        <v>66</v>
      </c>
      <c r="Q233" s="781" t="s">
        <v>304</v>
      </c>
      <c r="S233" s="644" t="s">
        <v>1078</v>
      </c>
      <c r="T233" s="645" t="s">
        <v>1079</v>
      </c>
      <c r="U233" s="646">
        <v>44204</v>
      </c>
      <c r="V233" s="645" t="s">
        <v>1080</v>
      </c>
      <c r="W233" s="647" t="s">
        <v>706</v>
      </c>
      <c r="X233" s="770">
        <v>27456155</v>
      </c>
      <c r="Y233" s="772">
        <v>0</v>
      </c>
      <c r="Z233" s="770">
        <v>27456155</v>
      </c>
      <c r="AA233" s="645" t="s">
        <v>1081</v>
      </c>
      <c r="AB233" s="647">
        <v>8521</v>
      </c>
      <c r="AC233" s="645" t="s">
        <v>708</v>
      </c>
      <c r="AD233" s="648">
        <v>44204</v>
      </c>
      <c r="AE233" s="648">
        <v>44550</v>
      </c>
      <c r="AF233" s="645" t="s">
        <v>1059</v>
      </c>
      <c r="AG233" s="645" t="s">
        <v>1060</v>
      </c>
    </row>
    <row r="234" spans="1:33" ht="157.5" customHeight="1" x14ac:dyDescent="0.35">
      <c r="A234" s="715">
        <v>206</v>
      </c>
      <c r="B234" s="633" t="s">
        <v>361</v>
      </c>
      <c r="C234" s="633" t="s">
        <v>352</v>
      </c>
      <c r="D234" s="640">
        <v>80101706</v>
      </c>
      <c r="E234" s="641" t="s">
        <v>613</v>
      </c>
      <c r="F234" s="640" t="s">
        <v>61</v>
      </c>
      <c r="G234" s="634">
        <v>1</v>
      </c>
      <c r="H234" s="634" t="s">
        <v>91</v>
      </c>
      <c r="I234" s="637">
        <v>11.4</v>
      </c>
      <c r="J234" s="638" t="s">
        <v>92</v>
      </c>
      <c r="K234" s="634" t="s">
        <v>100</v>
      </c>
      <c r="L234" s="634" t="s">
        <v>362</v>
      </c>
      <c r="M234" s="758">
        <v>27456155</v>
      </c>
      <c r="N234" s="759">
        <v>27456155</v>
      </c>
      <c r="O234" s="634" t="s">
        <v>65</v>
      </c>
      <c r="P234" s="634" t="s">
        <v>66</v>
      </c>
      <c r="Q234" s="781" t="s">
        <v>304</v>
      </c>
      <c r="S234" s="644" t="s">
        <v>1082</v>
      </c>
      <c r="T234" s="645" t="s">
        <v>1083</v>
      </c>
      <c r="U234" s="646">
        <v>44204</v>
      </c>
      <c r="V234" s="645" t="s">
        <v>1080</v>
      </c>
      <c r="W234" s="647" t="s">
        <v>706</v>
      </c>
      <c r="X234" s="770">
        <v>27456155</v>
      </c>
      <c r="Y234" s="772">
        <v>0</v>
      </c>
      <c r="Z234" s="770">
        <v>27456155</v>
      </c>
      <c r="AA234" s="645" t="s">
        <v>1077</v>
      </c>
      <c r="AB234" s="647">
        <v>8621</v>
      </c>
      <c r="AC234" s="645" t="s">
        <v>708</v>
      </c>
      <c r="AD234" s="648">
        <v>44205</v>
      </c>
      <c r="AE234" s="648">
        <v>44550</v>
      </c>
      <c r="AF234" s="645" t="s">
        <v>1059</v>
      </c>
      <c r="AG234" s="645" t="s">
        <v>1060</v>
      </c>
    </row>
    <row r="235" spans="1:33" ht="157.5" customHeight="1" x14ac:dyDescent="0.35">
      <c r="A235" s="715">
        <v>207</v>
      </c>
      <c r="B235" s="633" t="s">
        <v>361</v>
      </c>
      <c r="C235" s="633" t="s">
        <v>352</v>
      </c>
      <c r="D235" s="640">
        <v>80101706</v>
      </c>
      <c r="E235" s="641" t="s">
        <v>614</v>
      </c>
      <c r="F235" s="640" t="s">
        <v>61</v>
      </c>
      <c r="G235" s="634">
        <v>1</v>
      </c>
      <c r="H235" s="634" t="s">
        <v>91</v>
      </c>
      <c r="I235" s="637">
        <v>11.4</v>
      </c>
      <c r="J235" s="638" t="s">
        <v>92</v>
      </c>
      <c r="K235" s="634" t="s">
        <v>100</v>
      </c>
      <c r="L235" s="634" t="s">
        <v>362</v>
      </c>
      <c r="M235" s="758">
        <v>27456155</v>
      </c>
      <c r="N235" s="759">
        <v>27456155</v>
      </c>
      <c r="O235" s="634" t="s">
        <v>65</v>
      </c>
      <c r="P235" s="634" t="s">
        <v>66</v>
      </c>
      <c r="Q235" s="781" t="s">
        <v>304</v>
      </c>
      <c r="S235" s="644" t="s">
        <v>1084</v>
      </c>
      <c r="T235" s="645" t="s">
        <v>1085</v>
      </c>
      <c r="U235" s="646">
        <v>44204</v>
      </c>
      <c r="V235" s="645" t="s">
        <v>1080</v>
      </c>
      <c r="W235" s="647" t="s">
        <v>706</v>
      </c>
      <c r="X235" s="770">
        <v>27456155</v>
      </c>
      <c r="Y235" s="772">
        <v>0</v>
      </c>
      <c r="Z235" s="770">
        <v>27456155</v>
      </c>
      <c r="AA235" s="645" t="s">
        <v>1077</v>
      </c>
      <c r="AB235" s="647">
        <v>8721</v>
      </c>
      <c r="AC235" s="645" t="s">
        <v>708</v>
      </c>
      <c r="AD235" s="648">
        <v>44205</v>
      </c>
      <c r="AE235" s="648">
        <v>44550</v>
      </c>
      <c r="AF235" s="645" t="s">
        <v>1059</v>
      </c>
      <c r="AG235" s="645" t="s">
        <v>1060</v>
      </c>
    </row>
    <row r="236" spans="1:33" ht="157.5" customHeight="1" x14ac:dyDescent="0.35">
      <c r="A236" s="715">
        <v>208</v>
      </c>
      <c r="B236" s="633" t="s">
        <v>361</v>
      </c>
      <c r="C236" s="633" t="s">
        <v>352</v>
      </c>
      <c r="D236" s="640">
        <v>80101706</v>
      </c>
      <c r="E236" s="641" t="s">
        <v>615</v>
      </c>
      <c r="F236" s="640" t="s">
        <v>61</v>
      </c>
      <c r="G236" s="634">
        <v>1</v>
      </c>
      <c r="H236" s="634" t="s">
        <v>91</v>
      </c>
      <c r="I236" s="637">
        <v>11.4</v>
      </c>
      <c r="J236" s="638" t="s">
        <v>92</v>
      </c>
      <c r="K236" s="634" t="s">
        <v>100</v>
      </c>
      <c r="L236" s="634" t="s">
        <v>362</v>
      </c>
      <c r="M236" s="758">
        <v>27456155</v>
      </c>
      <c r="N236" s="759">
        <v>27456155</v>
      </c>
      <c r="O236" s="634" t="s">
        <v>65</v>
      </c>
      <c r="P236" s="634" t="s">
        <v>66</v>
      </c>
      <c r="Q236" s="781" t="s">
        <v>304</v>
      </c>
      <c r="S236" s="644" t="s">
        <v>1086</v>
      </c>
      <c r="T236" s="645" t="s">
        <v>1087</v>
      </c>
      <c r="U236" s="646">
        <v>44204</v>
      </c>
      <c r="V236" s="645" t="s">
        <v>1088</v>
      </c>
      <c r="W236" s="647" t="s">
        <v>706</v>
      </c>
      <c r="X236" s="770">
        <v>27456155</v>
      </c>
      <c r="Y236" s="772">
        <v>0</v>
      </c>
      <c r="Z236" s="770">
        <v>27456155</v>
      </c>
      <c r="AA236" s="645" t="s">
        <v>1077</v>
      </c>
      <c r="AB236" s="647">
        <v>8821</v>
      </c>
      <c r="AC236" s="645" t="s">
        <v>708</v>
      </c>
      <c r="AD236" s="648">
        <v>44205</v>
      </c>
      <c r="AE236" s="648">
        <v>44550</v>
      </c>
      <c r="AF236" s="645" t="s">
        <v>1059</v>
      </c>
      <c r="AG236" s="645" t="s">
        <v>1060</v>
      </c>
    </row>
    <row r="237" spans="1:33" ht="157.5" customHeight="1" x14ac:dyDescent="0.35">
      <c r="A237" s="715">
        <v>209</v>
      </c>
      <c r="B237" s="633" t="s">
        <v>361</v>
      </c>
      <c r="C237" s="633" t="s">
        <v>352</v>
      </c>
      <c r="D237" s="640">
        <v>80101706</v>
      </c>
      <c r="E237" s="641" t="s">
        <v>616</v>
      </c>
      <c r="F237" s="640" t="s">
        <v>61</v>
      </c>
      <c r="G237" s="634">
        <v>1</v>
      </c>
      <c r="H237" s="634" t="s">
        <v>91</v>
      </c>
      <c r="I237" s="637">
        <v>11.4</v>
      </c>
      <c r="J237" s="638" t="s">
        <v>92</v>
      </c>
      <c r="K237" s="634" t="s">
        <v>100</v>
      </c>
      <c r="L237" s="634" t="s">
        <v>362</v>
      </c>
      <c r="M237" s="758">
        <v>27456155</v>
      </c>
      <c r="N237" s="759">
        <v>27456155</v>
      </c>
      <c r="O237" s="634" t="s">
        <v>65</v>
      </c>
      <c r="P237" s="634" t="s">
        <v>66</v>
      </c>
      <c r="Q237" s="781" t="s">
        <v>304</v>
      </c>
      <c r="S237" s="644" t="s">
        <v>1089</v>
      </c>
      <c r="T237" s="645" t="s">
        <v>1090</v>
      </c>
      <c r="U237" s="646">
        <v>44204</v>
      </c>
      <c r="V237" s="645" t="s">
        <v>1080</v>
      </c>
      <c r="W237" s="647" t="s">
        <v>706</v>
      </c>
      <c r="X237" s="770">
        <v>27456155</v>
      </c>
      <c r="Y237" s="772">
        <v>0</v>
      </c>
      <c r="Z237" s="770">
        <v>27456155</v>
      </c>
      <c r="AA237" s="645" t="s">
        <v>1077</v>
      </c>
      <c r="AB237" s="647">
        <v>9221</v>
      </c>
      <c r="AC237" s="645" t="s">
        <v>708</v>
      </c>
      <c r="AD237" s="648">
        <v>44205</v>
      </c>
      <c r="AE237" s="648">
        <v>44550</v>
      </c>
      <c r="AF237" s="645" t="s">
        <v>1059</v>
      </c>
      <c r="AG237" s="645" t="s">
        <v>1060</v>
      </c>
    </row>
    <row r="238" spans="1:33" ht="157.5" customHeight="1" x14ac:dyDescent="0.35">
      <c r="A238" s="715">
        <v>210</v>
      </c>
      <c r="B238" s="633" t="s">
        <v>376</v>
      </c>
      <c r="C238" s="642" t="s">
        <v>120</v>
      </c>
      <c r="D238" s="640">
        <v>80101706</v>
      </c>
      <c r="E238" s="641" t="s">
        <v>617</v>
      </c>
      <c r="F238" s="640" t="s">
        <v>61</v>
      </c>
      <c r="G238" s="634">
        <v>1</v>
      </c>
      <c r="H238" s="634" t="s">
        <v>91</v>
      </c>
      <c r="I238" s="637">
        <v>11.5</v>
      </c>
      <c r="J238" s="638" t="s">
        <v>92</v>
      </c>
      <c r="K238" s="634" t="s">
        <v>100</v>
      </c>
      <c r="L238" s="634" t="s">
        <v>378</v>
      </c>
      <c r="M238" s="758">
        <v>101200000</v>
      </c>
      <c r="N238" s="759">
        <v>101200000</v>
      </c>
      <c r="O238" s="634" t="s">
        <v>65</v>
      </c>
      <c r="P238" s="634" t="s">
        <v>66</v>
      </c>
      <c r="Q238" s="781" t="s">
        <v>411</v>
      </c>
      <c r="S238" s="644" t="s">
        <v>1091</v>
      </c>
      <c r="T238" s="645" t="s">
        <v>1092</v>
      </c>
      <c r="U238" s="646">
        <v>44202</v>
      </c>
      <c r="V238" s="645" t="s">
        <v>1093</v>
      </c>
      <c r="W238" s="647" t="s">
        <v>714</v>
      </c>
      <c r="X238" s="770">
        <v>101200000</v>
      </c>
      <c r="Y238" s="772">
        <v>-58960000</v>
      </c>
      <c r="Z238" s="770">
        <v>42240000</v>
      </c>
      <c r="AA238" s="645" t="s">
        <v>1094</v>
      </c>
      <c r="AB238" s="647">
        <v>1521</v>
      </c>
      <c r="AC238" s="645" t="s">
        <v>1095</v>
      </c>
      <c r="AD238" s="648">
        <v>44203</v>
      </c>
      <c r="AE238" s="648">
        <v>44551</v>
      </c>
      <c r="AF238" s="645" t="s">
        <v>1096</v>
      </c>
      <c r="AG238" s="645" t="s">
        <v>120</v>
      </c>
    </row>
    <row r="239" spans="1:33" ht="272.45" customHeight="1" x14ac:dyDescent="0.35">
      <c r="A239" s="715">
        <v>211</v>
      </c>
      <c r="B239" s="633" t="s">
        <v>410</v>
      </c>
      <c r="C239" s="642" t="s">
        <v>120</v>
      </c>
      <c r="D239" s="640">
        <v>80101706</v>
      </c>
      <c r="E239" s="641" t="s">
        <v>618</v>
      </c>
      <c r="F239" s="640" t="s">
        <v>61</v>
      </c>
      <c r="G239" s="634">
        <v>1</v>
      </c>
      <c r="H239" s="634" t="s">
        <v>91</v>
      </c>
      <c r="I239" s="637">
        <v>11.3</v>
      </c>
      <c r="J239" s="638" t="s">
        <v>92</v>
      </c>
      <c r="K239" s="634" t="s">
        <v>100</v>
      </c>
      <c r="L239" s="634" t="s">
        <v>378</v>
      </c>
      <c r="M239" s="758">
        <v>93594453</v>
      </c>
      <c r="N239" s="759">
        <v>93594453</v>
      </c>
      <c r="O239" s="634" t="s">
        <v>65</v>
      </c>
      <c r="P239" s="634" t="s">
        <v>66</v>
      </c>
      <c r="Q239" s="781" t="s">
        <v>411</v>
      </c>
      <c r="S239" s="644" t="s">
        <v>1097</v>
      </c>
      <c r="T239" s="645" t="s">
        <v>1098</v>
      </c>
      <c r="U239" s="646">
        <v>44208</v>
      </c>
      <c r="V239" s="645" t="s">
        <v>1099</v>
      </c>
      <c r="W239" s="647" t="s">
        <v>714</v>
      </c>
      <c r="X239" s="770">
        <v>93594453</v>
      </c>
      <c r="Y239" s="772">
        <v>-63688533</v>
      </c>
      <c r="Z239" s="770">
        <v>29905920</v>
      </c>
      <c r="AA239" s="645" t="s">
        <v>1100</v>
      </c>
      <c r="AB239" s="647">
        <v>13621</v>
      </c>
      <c r="AC239" s="645" t="s">
        <v>708</v>
      </c>
      <c r="AD239" s="648">
        <v>44210</v>
      </c>
      <c r="AE239" s="648">
        <v>44550</v>
      </c>
      <c r="AF239" s="650" t="s">
        <v>1096</v>
      </c>
      <c r="AG239" s="650" t="s">
        <v>120</v>
      </c>
    </row>
    <row r="240" spans="1:33" ht="272.45" customHeight="1" x14ac:dyDescent="0.35">
      <c r="A240" s="715">
        <v>212</v>
      </c>
      <c r="B240" s="633" t="s">
        <v>403</v>
      </c>
      <c r="C240" s="642" t="s">
        <v>1464</v>
      </c>
      <c r="D240" s="640">
        <v>80101706</v>
      </c>
      <c r="E240" s="641" t="s">
        <v>619</v>
      </c>
      <c r="F240" s="640" t="s">
        <v>61</v>
      </c>
      <c r="G240" s="634">
        <v>1</v>
      </c>
      <c r="H240" s="634" t="s">
        <v>98</v>
      </c>
      <c r="I240" s="637">
        <v>9</v>
      </c>
      <c r="J240" s="638" t="s">
        <v>92</v>
      </c>
      <c r="K240" s="634" t="s">
        <v>100</v>
      </c>
      <c r="L240" s="634" t="s">
        <v>378</v>
      </c>
      <c r="M240" s="758">
        <v>102322690</v>
      </c>
      <c r="N240" s="759">
        <v>102322690</v>
      </c>
      <c r="O240" s="634" t="s">
        <v>65</v>
      </c>
      <c r="P240" s="634" t="s">
        <v>66</v>
      </c>
      <c r="Q240" s="781" t="s">
        <v>411</v>
      </c>
      <c r="S240" s="644" t="s">
        <v>1513</v>
      </c>
      <c r="T240" s="645" t="s">
        <v>1514</v>
      </c>
      <c r="U240" s="646">
        <v>44253</v>
      </c>
      <c r="V240" s="645" t="s">
        <v>1515</v>
      </c>
      <c r="W240" s="647" t="s">
        <v>714</v>
      </c>
      <c r="X240" s="770">
        <v>102076666</v>
      </c>
      <c r="Y240" s="772">
        <v>0</v>
      </c>
      <c r="Z240" s="770">
        <v>102076666</v>
      </c>
      <c r="AA240" s="645" t="s">
        <v>1516</v>
      </c>
      <c r="AB240" s="647">
        <v>26121</v>
      </c>
      <c r="AC240" s="645" t="s">
        <v>1517</v>
      </c>
      <c r="AD240" s="648">
        <v>44254</v>
      </c>
      <c r="AE240" s="648">
        <v>44529</v>
      </c>
      <c r="AF240" s="645" t="s">
        <v>762</v>
      </c>
      <c r="AG240" s="645" t="s">
        <v>286</v>
      </c>
    </row>
    <row r="241" spans="1:33" ht="272.45" customHeight="1" x14ac:dyDescent="0.35">
      <c r="A241" s="715">
        <v>213</v>
      </c>
      <c r="B241" s="633" t="s">
        <v>403</v>
      </c>
      <c r="C241" s="642" t="s">
        <v>120</v>
      </c>
      <c r="D241" s="640">
        <v>80101706</v>
      </c>
      <c r="E241" s="641" t="s">
        <v>620</v>
      </c>
      <c r="F241" s="640" t="s">
        <v>61</v>
      </c>
      <c r="G241" s="634">
        <v>1</v>
      </c>
      <c r="H241" s="634" t="s">
        <v>91</v>
      </c>
      <c r="I241" s="637">
        <v>11.2</v>
      </c>
      <c r="J241" s="638" t="s">
        <v>92</v>
      </c>
      <c r="K241" s="634" t="s">
        <v>100</v>
      </c>
      <c r="L241" s="634" t="s">
        <v>378</v>
      </c>
      <c r="M241" s="758">
        <v>67655221</v>
      </c>
      <c r="N241" s="759">
        <v>67655221</v>
      </c>
      <c r="O241" s="634" t="s">
        <v>65</v>
      </c>
      <c r="P241" s="634" t="s">
        <v>66</v>
      </c>
      <c r="Q241" s="781" t="s">
        <v>411</v>
      </c>
      <c r="S241" s="644" t="s">
        <v>1101</v>
      </c>
      <c r="T241" s="645" t="s">
        <v>1102</v>
      </c>
      <c r="U241" s="646">
        <v>44211</v>
      </c>
      <c r="V241" s="645" t="s">
        <v>1103</v>
      </c>
      <c r="W241" s="647" t="s">
        <v>714</v>
      </c>
      <c r="X241" s="770">
        <v>67655221</v>
      </c>
      <c r="Y241" s="772">
        <v>0</v>
      </c>
      <c r="Z241" s="770">
        <v>67655221</v>
      </c>
      <c r="AA241" s="645" t="s">
        <v>826</v>
      </c>
      <c r="AB241" s="647">
        <v>13821</v>
      </c>
      <c r="AC241" s="645" t="s">
        <v>720</v>
      </c>
      <c r="AD241" s="648">
        <v>44211</v>
      </c>
      <c r="AE241" s="648">
        <v>44551</v>
      </c>
      <c r="AF241" s="645" t="s">
        <v>1096</v>
      </c>
      <c r="AG241" s="645" t="s">
        <v>120</v>
      </c>
    </row>
    <row r="242" spans="1:33" ht="272.45" customHeight="1" x14ac:dyDescent="0.35">
      <c r="A242" s="715">
        <v>214</v>
      </c>
      <c r="B242" s="633" t="s">
        <v>401</v>
      </c>
      <c r="C242" s="642" t="s">
        <v>120</v>
      </c>
      <c r="D242" s="640">
        <v>80101706</v>
      </c>
      <c r="E242" s="641" t="s">
        <v>621</v>
      </c>
      <c r="F242" s="640" t="s">
        <v>61</v>
      </c>
      <c r="G242" s="634">
        <v>1</v>
      </c>
      <c r="H242" s="634" t="s">
        <v>91</v>
      </c>
      <c r="I242" s="637">
        <v>11.2</v>
      </c>
      <c r="J242" s="638" t="s">
        <v>92</v>
      </c>
      <c r="K242" s="634" t="s">
        <v>100</v>
      </c>
      <c r="L242" s="634" t="s">
        <v>362</v>
      </c>
      <c r="M242" s="758">
        <v>142352179</v>
      </c>
      <c r="N242" s="759">
        <v>142352179</v>
      </c>
      <c r="O242" s="634" t="s">
        <v>65</v>
      </c>
      <c r="P242" s="634" t="s">
        <v>66</v>
      </c>
      <c r="Q242" s="781" t="s">
        <v>411</v>
      </c>
      <c r="S242" s="644" t="s">
        <v>1414</v>
      </c>
      <c r="T242" s="645" t="s">
        <v>1415</v>
      </c>
      <c r="U242" s="646">
        <v>44222</v>
      </c>
      <c r="V242" s="645" t="s">
        <v>1416</v>
      </c>
      <c r="W242" s="647" t="s">
        <v>714</v>
      </c>
      <c r="X242" s="770">
        <v>140833334</v>
      </c>
      <c r="Y242" s="772">
        <v>0</v>
      </c>
      <c r="Z242" s="770">
        <v>140833334</v>
      </c>
      <c r="AA242" s="645" t="s">
        <v>1417</v>
      </c>
      <c r="AB242" s="647">
        <v>21721</v>
      </c>
      <c r="AC242" s="645" t="s">
        <v>708</v>
      </c>
      <c r="AD242" s="648">
        <v>44222</v>
      </c>
      <c r="AE242" s="648">
        <v>44550</v>
      </c>
      <c r="AF242" s="645" t="s">
        <v>1418</v>
      </c>
      <c r="AG242" s="645" t="s">
        <v>120</v>
      </c>
    </row>
    <row r="243" spans="1:33" ht="272.45" customHeight="1" x14ac:dyDescent="0.35">
      <c r="A243" s="715">
        <v>215</v>
      </c>
      <c r="B243" s="633" t="s">
        <v>403</v>
      </c>
      <c r="C243" s="642" t="s">
        <v>120</v>
      </c>
      <c r="D243" s="640">
        <v>80101706</v>
      </c>
      <c r="E243" s="641" t="s">
        <v>622</v>
      </c>
      <c r="F243" s="640" t="s">
        <v>61</v>
      </c>
      <c r="G243" s="634">
        <v>1</v>
      </c>
      <c r="H243" s="634" t="s">
        <v>91</v>
      </c>
      <c r="I243" s="637">
        <v>11</v>
      </c>
      <c r="J243" s="638" t="s">
        <v>92</v>
      </c>
      <c r="K243" s="634" t="s">
        <v>100</v>
      </c>
      <c r="L243" s="634" t="s">
        <v>378</v>
      </c>
      <c r="M243" s="758">
        <v>88557867</v>
      </c>
      <c r="N243" s="759">
        <v>88557867</v>
      </c>
      <c r="O243" s="634" t="s">
        <v>65</v>
      </c>
      <c r="P243" s="634" t="s">
        <v>66</v>
      </c>
      <c r="Q243" s="781" t="s">
        <v>411</v>
      </c>
      <c r="S243" s="644" t="s">
        <v>1419</v>
      </c>
      <c r="T243" s="645" t="s">
        <v>1420</v>
      </c>
      <c r="U243" s="646">
        <v>44221</v>
      </c>
      <c r="V243" s="645" t="s">
        <v>1421</v>
      </c>
      <c r="W243" s="647" t="s">
        <v>714</v>
      </c>
      <c r="X243" s="770">
        <v>88557084</v>
      </c>
      <c r="Y243" s="772">
        <v>-60890417</v>
      </c>
      <c r="Z243" s="770">
        <f>SUM(X243+Y243)</f>
        <v>27666667</v>
      </c>
      <c r="AA243" s="645" t="s">
        <v>1422</v>
      </c>
      <c r="AB243" s="647">
        <v>18721</v>
      </c>
      <c r="AC243" s="645" t="s">
        <v>708</v>
      </c>
      <c r="AD243" s="648">
        <v>44222</v>
      </c>
      <c r="AE243" s="648">
        <v>44550</v>
      </c>
      <c r="AF243" s="645" t="s">
        <v>1423</v>
      </c>
      <c r="AG243" s="645" t="s">
        <v>120</v>
      </c>
    </row>
    <row r="244" spans="1:33" ht="272.45" customHeight="1" x14ac:dyDescent="0.35">
      <c r="A244" s="715">
        <v>216</v>
      </c>
      <c r="B244" s="633" t="s">
        <v>403</v>
      </c>
      <c r="C244" s="642" t="s">
        <v>120</v>
      </c>
      <c r="D244" s="640">
        <v>80101706</v>
      </c>
      <c r="E244" s="641" t="s">
        <v>623</v>
      </c>
      <c r="F244" s="640" t="s">
        <v>61</v>
      </c>
      <c r="G244" s="634">
        <v>1</v>
      </c>
      <c r="H244" s="634" t="s">
        <v>91</v>
      </c>
      <c r="I244" s="637">
        <v>10.6</v>
      </c>
      <c r="J244" s="638" t="s">
        <v>92</v>
      </c>
      <c r="K244" s="634" t="s">
        <v>100</v>
      </c>
      <c r="L244" s="634" t="s">
        <v>378</v>
      </c>
      <c r="M244" s="758">
        <v>93573333</v>
      </c>
      <c r="N244" s="759">
        <v>93573333</v>
      </c>
      <c r="O244" s="634" t="s">
        <v>65</v>
      </c>
      <c r="P244" s="634" t="s">
        <v>66</v>
      </c>
      <c r="Q244" s="781" t="s">
        <v>411</v>
      </c>
      <c r="S244" s="644" t="s">
        <v>1424</v>
      </c>
      <c r="T244" s="645" t="s">
        <v>1425</v>
      </c>
      <c r="U244" s="646">
        <v>44245</v>
      </c>
      <c r="V244" s="645" t="s">
        <v>1426</v>
      </c>
      <c r="W244" s="647" t="s">
        <v>714</v>
      </c>
      <c r="X244" s="773">
        <v>83276667</v>
      </c>
      <c r="Y244" s="775">
        <v>-55610000</v>
      </c>
      <c r="Z244" s="770">
        <f>SUM(X244+Y244)</f>
        <v>27666667</v>
      </c>
      <c r="AA244" s="645" t="s">
        <v>1427</v>
      </c>
      <c r="AB244" s="647">
        <v>22621</v>
      </c>
      <c r="AC244" s="645" t="s">
        <v>1409</v>
      </c>
      <c r="AD244" s="648">
        <v>44246</v>
      </c>
      <c r="AE244" s="648">
        <v>44551</v>
      </c>
      <c r="AF244" s="645" t="s">
        <v>1428</v>
      </c>
      <c r="AG244" s="645" t="s">
        <v>120</v>
      </c>
    </row>
    <row r="245" spans="1:33" ht="272.45" customHeight="1" x14ac:dyDescent="0.35">
      <c r="A245" s="715">
        <v>217</v>
      </c>
      <c r="B245" s="633" t="s">
        <v>403</v>
      </c>
      <c r="C245" s="642" t="s">
        <v>120</v>
      </c>
      <c r="D245" s="640">
        <v>80101706</v>
      </c>
      <c r="E245" s="641" t="s">
        <v>624</v>
      </c>
      <c r="F245" s="640" t="s">
        <v>61</v>
      </c>
      <c r="G245" s="634">
        <v>1</v>
      </c>
      <c r="H245" s="634" t="s">
        <v>91</v>
      </c>
      <c r="I245" s="637">
        <v>9</v>
      </c>
      <c r="J245" s="638" t="s">
        <v>92</v>
      </c>
      <c r="K245" s="634" t="s">
        <v>100</v>
      </c>
      <c r="L245" s="634" t="s">
        <v>378</v>
      </c>
      <c r="M245" s="758">
        <v>133642080</v>
      </c>
      <c r="N245" s="759">
        <v>133642080</v>
      </c>
      <c r="O245" s="634" t="s">
        <v>65</v>
      </c>
      <c r="P245" s="634" t="s">
        <v>66</v>
      </c>
      <c r="Q245" s="781" t="s">
        <v>411</v>
      </c>
      <c r="R245" s="527"/>
      <c r="S245" s="644" t="s">
        <v>1429</v>
      </c>
      <c r="T245" s="645" t="s">
        <v>1430</v>
      </c>
      <c r="U245" s="646">
        <v>44229</v>
      </c>
      <c r="V245" s="645" t="s">
        <v>1431</v>
      </c>
      <c r="W245" s="647" t="s">
        <v>714</v>
      </c>
      <c r="X245" s="770">
        <v>133642080</v>
      </c>
      <c r="Y245" s="772">
        <v>0</v>
      </c>
      <c r="Z245" s="770">
        <v>133642080</v>
      </c>
      <c r="AA245" s="645" t="s">
        <v>1432</v>
      </c>
      <c r="AB245" s="647">
        <v>15221</v>
      </c>
      <c r="AC245" s="645" t="s">
        <v>1433</v>
      </c>
      <c r="AD245" s="648">
        <v>44229</v>
      </c>
      <c r="AE245" s="648">
        <v>44503</v>
      </c>
      <c r="AF245" s="645" t="s">
        <v>1428</v>
      </c>
      <c r="AG245" s="645" t="s">
        <v>120</v>
      </c>
    </row>
    <row r="246" spans="1:33" ht="272.45" customHeight="1" x14ac:dyDescent="0.35">
      <c r="A246" s="715">
        <v>218</v>
      </c>
      <c r="B246" s="633" t="s">
        <v>361</v>
      </c>
      <c r="C246" s="642" t="s">
        <v>301</v>
      </c>
      <c r="D246" s="640">
        <v>80101706</v>
      </c>
      <c r="E246" s="641" t="s">
        <v>625</v>
      </c>
      <c r="F246" s="640" t="s">
        <v>61</v>
      </c>
      <c r="G246" s="634">
        <v>1</v>
      </c>
      <c r="H246" s="634" t="s">
        <v>91</v>
      </c>
      <c r="I246" s="637">
        <v>11.3</v>
      </c>
      <c r="J246" s="638" t="s">
        <v>92</v>
      </c>
      <c r="K246" s="634" t="s">
        <v>100</v>
      </c>
      <c r="L246" s="634" t="s">
        <v>362</v>
      </c>
      <c r="M246" s="758">
        <v>77215424</v>
      </c>
      <c r="N246" s="759">
        <v>77215424</v>
      </c>
      <c r="O246" s="634" t="s">
        <v>65</v>
      </c>
      <c r="P246" s="634" t="s">
        <v>66</v>
      </c>
      <c r="Q246" s="781" t="s">
        <v>412</v>
      </c>
      <c r="R246" s="527"/>
      <c r="S246" s="644" t="s">
        <v>1104</v>
      </c>
      <c r="T246" s="645" t="s">
        <v>1105</v>
      </c>
      <c r="U246" s="646">
        <v>44209</v>
      </c>
      <c r="V246" s="645" t="s">
        <v>1106</v>
      </c>
      <c r="W246" s="647" t="s">
        <v>714</v>
      </c>
      <c r="X246" s="770">
        <v>77215424</v>
      </c>
      <c r="Y246" s="772">
        <v>0</v>
      </c>
      <c r="Z246" s="770">
        <v>77215424</v>
      </c>
      <c r="AA246" s="645" t="s">
        <v>1107</v>
      </c>
      <c r="AB246" s="647">
        <v>13221</v>
      </c>
      <c r="AC246" s="645" t="s">
        <v>708</v>
      </c>
      <c r="AD246" s="648">
        <v>44211</v>
      </c>
      <c r="AE246" s="648">
        <v>44550</v>
      </c>
      <c r="AF246" s="645" t="s">
        <v>1108</v>
      </c>
      <c r="AG246" s="645" t="s">
        <v>301</v>
      </c>
    </row>
    <row r="247" spans="1:33" ht="272.45" customHeight="1" x14ac:dyDescent="0.35">
      <c r="A247" s="715">
        <v>219</v>
      </c>
      <c r="B247" s="633" t="s">
        <v>361</v>
      </c>
      <c r="C247" s="642" t="s">
        <v>301</v>
      </c>
      <c r="D247" s="640">
        <v>80101706</v>
      </c>
      <c r="E247" s="641" t="s">
        <v>626</v>
      </c>
      <c r="F247" s="640" t="s">
        <v>61</v>
      </c>
      <c r="G247" s="634">
        <v>1</v>
      </c>
      <c r="H247" s="634" t="s">
        <v>91</v>
      </c>
      <c r="I247" s="637">
        <v>11.4</v>
      </c>
      <c r="J247" s="638" t="s">
        <v>92</v>
      </c>
      <c r="K247" s="634" t="s">
        <v>100</v>
      </c>
      <c r="L247" s="634" t="s">
        <v>362</v>
      </c>
      <c r="M247" s="758">
        <v>39178832</v>
      </c>
      <c r="N247" s="759">
        <v>39178832</v>
      </c>
      <c r="O247" s="634" t="s">
        <v>65</v>
      </c>
      <c r="P247" s="634" t="s">
        <v>66</v>
      </c>
      <c r="Q247" s="781" t="s">
        <v>412</v>
      </c>
      <c r="R247" s="527"/>
      <c r="S247" s="644" t="s">
        <v>1109</v>
      </c>
      <c r="T247" s="645" t="s">
        <v>1110</v>
      </c>
      <c r="U247" s="646">
        <v>44209</v>
      </c>
      <c r="V247" s="645" t="s">
        <v>1111</v>
      </c>
      <c r="W247" s="647" t="s">
        <v>714</v>
      </c>
      <c r="X247" s="770">
        <v>38720379</v>
      </c>
      <c r="Y247" s="772">
        <v>-114557</v>
      </c>
      <c r="Z247" s="770">
        <v>38605822</v>
      </c>
      <c r="AA247" s="645" t="s">
        <v>1112</v>
      </c>
      <c r="AB247" s="647">
        <v>8921</v>
      </c>
      <c r="AC247" s="645" t="s">
        <v>708</v>
      </c>
      <c r="AD247" s="648">
        <v>44211</v>
      </c>
      <c r="AE247" s="648">
        <v>44550</v>
      </c>
      <c r="AF247" s="645" t="s">
        <v>1108</v>
      </c>
      <c r="AG247" s="645" t="s">
        <v>301</v>
      </c>
    </row>
    <row r="248" spans="1:33" ht="272.45" customHeight="1" x14ac:dyDescent="0.35">
      <c r="A248" s="715">
        <v>220</v>
      </c>
      <c r="B248" s="633" t="s">
        <v>384</v>
      </c>
      <c r="C248" s="642" t="s">
        <v>301</v>
      </c>
      <c r="D248" s="640">
        <v>80101706</v>
      </c>
      <c r="E248" s="641" t="s">
        <v>627</v>
      </c>
      <c r="F248" s="640" t="s">
        <v>61</v>
      </c>
      <c r="G248" s="634">
        <v>1</v>
      </c>
      <c r="H248" s="634" t="s">
        <v>91</v>
      </c>
      <c r="I248" s="637">
        <v>4.8</v>
      </c>
      <c r="J248" s="638" t="s">
        <v>92</v>
      </c>
      <c r="K248" s="634" t="s">
        <v>100</v>
      </c>
      <c r="L248" s="634" t="s">
        <v>378</v>
      </c>
      <c r="M248" s="758">
        <v>10037867</v>
      </c>
      <c r="N248" s="759">
        <v>10037867</v>
      </c>
      <c r="O248" s="634" t="s">
        <v>65</v>
      </c>
      <c r="P248" s="634" t="s">
        <v>66</v>
      </c>
      <c r="Q248" s="781" t="s">
        <v>412</v>
      </c>
      <c r="R248" s="527"/>
      <c r="S248" s="644" t="s">
        <v>1113</v>
      </c>
      <c r="T248" s="645" t="s">
        <v>1114</v>
      </c>
      <c r="U248" s="646">
        <v>44202</v>
      </c>
      <c r="V248" s="645" t="s">
        <v>1115</v>
      </c>
      <c r="W248" s="647" t="s">
        <v>706</v>
      </c>
      <c r="X248" s="770">
        <v>9968640</v>
      </c>
      <c r="Y248" s="772">
        <v>0</v>
      </c>
      <c r="Z248" s="770">
        <v>9968640</v>
      </c>
      <c r="AA248" s="645" t="s">
        <v>1116</v>
      </c>
      <c r="AB248" s="647">
        <v>1621</v>
      </c>
      <c r="AC248" s="645" t="s">
        <v>1117</v>
      </c>
      <c r="AD248" s="648">
        <v>44203</v>
      </c>
      <c r="AE248" s="648">
        <v>44347</v>
      </c>
      <c r="AF248" s="645" t="s">
        <v>1118</v>
      </c>
      <c r="AG248" s="645" t="s">
        <v>301</v>
      </c>
    </row>
    <row r="249" spans="1:33" ht="272.45" customHeight="1" x14ac:dyDescent="0.35">
      <c r="A249" s="715">
        <v>221</v>
      </c>
      <c r="B249" s="633" t="s">
        <v>384</v>
      </c>
      <c r="C249" s="642" t="s">
        <v>296</v>
      </c>
      <c r="D249" s="640">
        <v>80101706</v>
      </c>
      <c r="E249" s="641" t="s">
        <v>628</v>
      </c>
      <c r="F249" s="640" t="s">
        <v>61</v>
      </c>
      <c r="G249" s="634">
        <v>1</v>
      </c>
      <c r="H249" s="634" t="s">
        <v>83</v>
      </c>
      <c r="I249" s="637">
        <v>9</v>
      </c>
      <c r="J249" s="638" t="s">
        <v>92</v>
      </c>
      <c r="K249" s="634" t="s">
        <v>100</v>
      </c>
      <c r="L249" s="634" t="s">
        <v>378</v>
      </c>
      <c r="M249" s="758">
        <v>29248267</v>
      </c>
      <c r="N249" s="759">
        <v>29248267</v>
      </c>
      <c r="O249" s="634" t="s">
        <v>65</v>
      </c>
      <c r="P249" s="634" t="s">
        <v>66</v>
      </c>
      <c r="Q249" s="781" t="s">
        <v>412</v>
      </c>
      <c r="R249" s="527"/>
      <c r="S249" s="644" t="s">
        <v>1567</v>
      </c>
      <c r="T249" s="645" t="s">
        <v>1568</v>
      </c>
      <c r="U249" s="646">
        <v>44273</v>
      </c>
      <c r="V249" s="645" t="s">
        <v>1569</v>
      </c>
      <c r="W249" s="647" t="s">
        <v>714</v>
      </c>
      <c r="X249" s="770">
        <v>22666667</v>
      </c>
      <c r="Y249" s="771">
        <v>0</v>
      </c>
      <c r="Z249" s="770">
        <v>22666667</v>
      </c>
      <c r="AA249" s="645" t="s">
        <v>1570</v>
      </c>
      <c r="AB249" s="647">
        <v>26821</v>
      </c>
      <c r="AC249" s="645" t="s">
        <v>708</v>
      </c>
      <c r="AD249" s="648">
        <v>44274</v>
      </c>
      <c r="AE249" s="648">
        <v>44550</v>
      </c>
      <c r="AF249" s="645" t="s">
        <v>1546</v>
      </c>
      <c r="AG249" s="645" t="s">
        <v>1571</v>
      </c>
    </row>
    <row r="250" spans="1:33" ht="272.45" customHeight="1" x14ac:dyDescent="0.35">
      <c r="A250" s="715">
        <v>222</v>
      </c>
      <c r="B250" s="633" t="s">
        <v>384</v>
      </c>
      <c r="C250" s="642" t="s">
        <v>301</v>
      </c>
      <c r="D250" s="640">
        <v>80101706</v>
      </c>
      <c r="E250" s="641" t="s">
        <v>629</v>
      </c>
      <c r="F250" s="640" t="s">
        <v>61</v>
      </c>
      <c r="G250" s="634">
        <v>1</v>
      </c>
      <c r="H250" s="634" t="s">
        <v>91</v>
      </c>
      <c r="I250" s="637">
        <v>11</v>
      </c>
      <c r="J250" s="638" t="s">
        <v>92</v>
      </c>
      <c r="K250" s="634" t="s">
        <v>100</v>
      </c>
      <c r="L250" s="634" t="s">
        <v>378</v>
      </c>
      <c r="M250" s="758">
        <v>77000000</v>
      </c>
      <c r="N250" s="759">
        <v>77000000</v>
      </c>
      <c r="O250" s="634" t="s">
        <v>65</v>
      </c>
      <c r="P250" s="634" t="s">
        <v>66</v>
      </c>
      <c r="Q250" s="781" t="s">
        <v>412</v>
      </c>
      <c r="S250" s="644" t="s">
        <v>1119</v>
      </c>
      <c r="T250" s="645" t="s">
        <v>1120</v>
      </c>
      <c r="U250" s="646">
        <v>44211</v>
      </c>
      <c r="V250" s="645" t="s">
        <v>1121</v>
      </c>
      <c r="W250" s="647" t="s">
        <v>714</v>
      </c>
      <c r="X250" s="770">
        <v>77000000</v>
      </c>
      <c r="Y250" s="772">
        <v>-233333</v>
      </c>
      <c r="Z250" s="770">
        <v>76766667</v>
      </c>
      <c r="AA250" s="645" t="s">
        <v>1122</v>
      </c>
      <c r="AB250" s="647">
        <v>20521</v>
      </c>
      <c r="AC250" s="645" t="s">
        <v>964</v>
      </c>
      <c r="AD250" s="648">
        <v>44214</v>
      </c>
      <c r="AE250" s="648">
        <v>44545</v>
      </c>
      <c r="AF250" s="645" t="s">
        <v>1123</v>
      </c>
      <c r="AG250" s="645" t="s">
        <v>920</v>
      </c>
    </row>
    <row r="251" spans="1:33" ht="272.45" customHeight="1" x14ac:dyDescent="0.35">
      <c r="A251" s="715">
        <v>223</v>
      </c>
      <c r="B251" s="633" t="s">
        <v>410</v>
      </c>
      <c r="C251" s="633" t="s">
        <v>367</v>
      </c>
      <c r="D251" s="640">
        <v>80101706</v>
      </c>
      <c r="E251" s="641" t="s">
        <v>630</v>
      </c>
      <c r="F251" s="640" t="s">
        <v>61</v>
      </c>
      <c r="G251" s="634">
        <v>1</v>
      </c>
      <c r="H251" s="634" t="s">
        <v>91</v>
      </c>
      <c r="I251" s="637">
        <v>11</v>
      </c>
      <c r="J251" s="638" t="s">
        <v>92</v>
      </c>
      <c r="K251" s="634" t="s">
        <v>100</v>
      </c>
      <c r="L251" s="634" t="s">
        <v>378</v>
      </c>
      <c r="M251" s="758">
        <v>85989904</v>
      </c>
      <c r="N251" s="759">
        <v>85989904</v>
      </c>
      <c r="O251" s="634" t="s">
        <v>65</v>
      </c>
      <c r="P251" s="634" t="s">
        <v>66</v>
      </c>
      <c r="Q251" s="781" t="s">
        <v>397</v>
      </c>
      <c r="S251" s="644" t="s">
        <v>1124</v>
      </c>
      <c r="T251" s="645" t="s">
        <v>1125</v>
      </c>
      <c r="U251" s="646">
        <v>44208</v>
      </c>
      <c r="V251" s="645" t="s">
        <v>1126</v>
      </c>
      <c r="W251" s="647" t="s">
        <v>714</v>
      </c>
      <c r="X251" s="770">
        <v>85989904</v>
      </c>
      <c r="Y251" s="772">
        <v>0</v>
      </c>
      <c r="Z251" s="770">
        <v>85989904</v>
      </c>
      <c r="AA251" s="645" t="s">
        <v>1127</v>
      </c>
      <c r="AB251" s="647">
        <v>17021</v>
      </c>
      <c r="AC251" s="645" t="s">
        <v>708</v>
      </c>
      <c r="AD251" s="648">
        <v>44210</v>
      </c>
      <c r="AE251" s="648">
        <v>44550</v>
      </c>
      <c r="AF251" s="645" t="s">
        <v>819</v>
      </c>
      <c r="AG251" s="645" t="s">
        <v>809</v>
      </c>
    </row>
    <row r="252" spans="1:33" ht="272.45" customHeight="1" x14ac:dyDescent="0.35">
      <c r="A252" s="715">
        <v>224</v>
      </c>
      <c r="B252" s="633" t="s">
        <v>410</v>
      </c>
      <c r="C252" s="633" t="s">
        <v>367</v>
      </c>
      <c r="D252" s="640">
        <v>80101706</v>
      </c>
      <c r="E252" s="641" t="s">
        <v>631</v>
      </c>
      <c r="F252" s="640" t="s">
        <v>61</v>
      </c>
      <c r="G252" s="634">
        <v>1</v>
      </c>
      <c r="H252" s="634" t="s">
        <v>91</v>
      </c>
      <c r="I252" s="637">
        <v>11</v>
      </c>
      <c r="J252" s="638" t="s">
        <v>92</v>
      </c>
      <c r="K252" s="634" t="s">
        <v>100</v>
      </c>
      <c r="L252" s="634" t="s">
        <v>378</v>
      </c>
      <c r="M252" s="758">
        <v>78759732</v>
      </c>
      <c r="N252" s="759">
        <v>78759732</v>
      </c>
      <c r="O252" s="634" t="s">
        <v>65</v>
      </c>
      <c r="P252" s="634" t="s">
        <v>66</v>
      </c>
      <c r="Q252" s="781" t="s">
        <v>397</v>
      </c>
      <c r="S252" s="644" t="s">
        <v>1128</v>
      </c>
      <c r="T252" s="645" t="s">
        <v>1129</v>
      </c>
      <c r="U252" s="646">
        <v>44208</v>
      </c>
      <c r="V252" s="645" t="s">
        <v>1130</v>
      </c>
      <c r="W252" s="647" t="s">
        <v>714</v>
      </c>
      <c r="X252" s="770">
        <v>78759724</v>
      </c>
      <c r="Y252" s="772">
        <v>0</v>
      </c>
      <c r="Z252" s="770">
        <v>78759724</v>
      </c>
      <c r="AA252" s="645" t="s">
        <v>1131</v>
      </c>
      <c r="AB252" s="647">
        <v>16121</v>
      </c>
      <c r="AC252" s="645" t="s">
        <v>708</v>
      </c>
      <c r="AD252" s="648">
        <v>44210</v>
      </c>
      <c r="AE252" s="648">
        <v>44550</v>
      </c>
      <c r="AF252" s="645" t="s">
        <v>814</v>
      </c>
      <c r="AG252" s="645" t="s">
        <v>809</v>
      </c>
    </row>
    <row r="253" spans="1:33" ht="272.45" customHeight="1" x14ac:dyDescent="0.35">
      <c r="A253" s="715">
        <v>225</v>
      </c>
      <c r="B253" s="633" t="s">
        <v>410</v>
      </c>
      <c r="C253" s="633" t="s">
        <v>367</v>
      </c>
      <c r="D253" s="640">
        <v>80101706</v>
      </c>
      <c r="E253" s="641" t="s">
        <v>632</v>
      </c>
      <c r="F253" s="640" t="s">
        <v>61</v>
      </c>
      <c r="G253" s="634">
        <v>1</v>
      </c>
      <c r="H253" s="634" t="s">
        <v>83</v>
      </c>
      <c r="I253" s="637">
        <v>9</v>
      </c>
      <c r="J253" s="638" t="s">
        <v>92</v>
      </c>
      <c r="K253" s="634" t="s">
        <v>100</v>
      </c>
      <c r="L253" s="634" t="s">
        <v>378</v>
      </c>
      <c r="M253" s="758">
        <v>100197292.8</v>
      </c>
      <c r="N253" s="758">
        <v>100197292.8</v>
      </c>
      <c r="O253" s="634"/>
      <c r="P253" s="634" t="s">
        <v>66</v>
      </c>
      <c r="Q253" s="781" t="s">
        <v>397</v>
      </c>
      <c r="S253" s="644" t="s">
        <v>1572</v>
      </c>
      <c r="T253" s="645" t="s">
        <v>1573</v>
      </c>
      <c r="U253" s="646">
        <v>44284</v>
      </c>
      <c r="V253" s="645" t="s">
        <v>1574</v>
      </c>
      <c r="W253" s="647" t="s">
        <v>714</v>
      </c>
      <c r="X253" s="770">
        <v>79246951</v>
      </c>
      <c r="Y253" s="771">
        <v>0</v>
      </c>
      <c r="Z253" s="770">
        <v>79246951</v>
      </c>
      <c r="AA253" s="645" t="s">
        <v>1575</v>
      </c>
      <c r="AB253" s="762">
        <v>27121</v>
      </c>
      <c r="AC253" s="645" t="s">
        <v>708</v>
      </c>
      <c r="AD253" s="648">
        <v>44284</v>
      </c>
      <c r="AE253" s="648">
        <v>44550</v>
      </c>
      <c r="AF253" s="645" t="s">
        <v>1576</v>
      </c>
      <c r="AG253" s="645" t="s">
        <v>809</v>
      </c>
    </row>
    <row r="254" spans="1:33" ht="272.45" customHeight="1" x14ac:dyDescent="0.35">
      <c r="A254" s="715">
        <v>226</v>
      </c>
      <c r="B254" s="633" t="s">
        <v>410</v>
      </c>
      <c r="C254" s="633" t="s">
        <v>367</v>
      </c>
      <c r="D254" s="640">
        <v>80101706</v>
      </c>
      <c r="E254" s="641" t="s">
        <v>633</v>
      </c>
      <c r="F254" s="640" t="s">
        <v>61</v>
      </c>
      <c r="G254" s="634">
        <v>1</v>
      </c>
      <c r="H254" s="634" t="s">
        <v>91</v>
      </c>
      <c r="I254" s="637">
        <v>11</v>
      </c>
      <c r="J254" s="638" t="s">
        <v>92</v>
      </c>
      <c r="K254" s="634" t="s">
        <v>100</v>
      </c>
      <c r="L254" s="634" t="s">
        <v>378</v>
      </c>
      <c r="M254" s="758">
        <v>102322690</v>
      </c>
      <c r="N254" s="759">
        <v>102322690</v>
      </c>
      <c r="O254" s="634" t="s">
        <v>65</v>
      </c>
      <c r="P254" s="634" t="s">
        <v>66</v>
      </c>
      <c r="Q254" s="781" t="s">
        <v>397</v>
      </c>
      <c r="S254" s="644" t="s">
        <v>1132</v>
      </c>
      <c r="T254" s="645" t="s">
        <v>1133</v>
      </c>
      <c r="U254" s="646">
        <v>44209</v>
      </c>
      <c r="V254" s="645" t="s">
        <v>1134</v>
      </c>
      <c r="W254" s="647" t="s">
        <v>714</v>
      </c>
      <c r="X254" s="770">
        <v>102322690</v>
      </c>
      <c r="Y254" s="772">
        <v>-60725633</v>
      </c>
      <c r="Z254" s="770">
        <v>41597057</v>
      </c>
      <c r="AA254" s="645" t="s">
        <v>1135</v>
      </c>
      <c r="AB254" s="647">
        <v>13521</v>
      </c>
      <c r="AC254" s="645" t="s">
        <v>708</v>
      </c>
      <c r="AD254" s="648">
        <v>44210</v>
      </c>
      <c r="AE254" s="648">
        <v>44550</v>
      </c>
      <c r="AF254" s="645" t="s">
        <v>819</v>
      </c>
      <c r="AG254" s="645" t="s">
        <v>809</v>
      </c>
    </row>
    <row r="255" spans="1:33" ht="272.45" customHeight="1" x14ac:dyDescent="0.35">
      <c r="A255" s="715">
        <v>227</v>
      </c>
      <c r="B255" s="633" t="s">
        <v>410</v>
      </c>
      <c r="C255" s="633" t="s">
        <v>367</v>
      </c>
      <c r="D255" s="640">
        <v>80101706</v>
      </c>
      <c r="E255" s="641" t="s">
        <v>634</v>
      </c>
      <c r="F255" s="640" t="s">
        <v>61</v>
      </c>
      <c r="G255" s="634">
        <v>1</v>
      </c>
      <c r="H255" s="634" t="s">
        <v>91</v>
      </c>
      <c r="I255" s="637">
        <v>11</v>
      </c>
      <c r="J255" s="638" t="s">
        <v>92</v>
      </c>
      <c r="K255" s="634" t="s">
        <v>100</v>
      </c>
      <c r="L255" s="634" t="s">
        <v>378</v>
      </c>
      <c r="M255" s="758">
        <v>72577722</v>
      </c>
      <c r="N255" s="759">
        <v>72577722</v>
      </c>
      <c r="O255" s="634" t="s">
        <v>65</v>
      </c>
      <c r="P255" s="634" t="s">
        <v>66</v>
      </c>
      <c r="Q255" s="781" t="s">
        <v>397</v>
      </c>
      <c r="S255" s="644" t="s">
        <v>1136</v>
      </c>
      <c r="T255" s="645" t="s">
        <v>1137</v>
      </c>
      <c r="U255" s="646">
        <v>44210</v>
      </c>
      <c r="V255" s="645" t="s">
        <v>1138</v>
      </c>
      <c r="W255" s="647" t="s">
        <v>714</v>
      </c>
      <c r="X255" s="770">
        <v>72577722</v>
      </c>
      <c r="Y255" s="772">
        <v>0</v>
      </c>
      <c r="Z255" s="770">
        <v>72577722</v>
      </c>
      <c r="AA255" s="645" t="s">
        <v>1139</v>
      </c>
      <c r="AB255" s="647">
        <v>21121</v>
      </c>
      <c r="AC255" s="645" t="s">
        <v>708</v>
      </c>
      <c r="AD255" s="648">
        <v>44212</v>
      </c>
      <c r="AE255" s="648">
        <v>44550</v>
      </c>
      <c r="AF255" s="645" t="s">
        <v>1140</v>
      </c>
      <c r="AG255" s="645" t="s">
        <v>809</v>
      </c>
    </row>
    <row r="256" spans="1:33" ht="272.45" customHeight="1" x14ac:dyDescent="0.35">
      <c r="A256" s="715">
        <v>228</v>
      </c>
      <c r="B256" s="633" t="s">
        <v>410</v>
      </c>
      <c r="C256" s="633" t="s">
        <v>367</v>
      </c>
      <c r="D256" s="640">
        <v>80101706</v>
      </c>
      <c r="E256" s="641" t="s">
        <v>635</v>
      </c>
      <c r="F256" s="640" t="s">
        <v>61</v>
      </c>
      <c r="G256" s="634">
        <v>1</v>
      </c>
      <c r="H256" s="634" t="s">
        <v>91</v>
      </c>
      <c r="I256" s="637">
        <v>11</v>
      </c>
      <c r="J256" s="638" t="s">
        <v>92</v>
      </c>
      <c r="K256" s="634" t="s">
        <v>100</v>
      </c>
      <c r="L256" s="634" t="s">
        <v>378</v>
      </c>
      <c r="M256" s="758">
        <v>72362358</v>
      </c>
      <c r="N256" s="759">
        <v>72362358</v>
      </c>
      <c r="O256" s="634" t="s">
        <v>65</v>
      </c>
      <c r="P256" s="634" t="s">
        <v>66</v>
      </c>
      <c r="Q256" s="781" t="s">
        <v>397</v>
      </c>
      <c r="S256" s="644" t="s">
        <v>1141</v>
      </c>
      <c r="T256" s="645" t="s">
        <v>1142</v>
      </c>
      <c r="U256" s="646">
        <v>44211</v>
      </c>
      <c r="V256" s="645" t="s">
        <v>1143</v>
      </c>
      <c r="W256" s="647" t="s">
        <v>714</v>
      </c>
      <c r="X256" s="770">
        <v>72362358</v>
      </c>
      <c r="Y256" s="772">
        <v>-430727</v>
      </c>
      <c r="Z256" s="770">
        <v>71931631</v>
      </c>
      <c r="AA256" s="645" t="s">
        <v>1144</v>
      </c>
      <c r="AB256" s="647">
        <v>13421</v>
      </c>
      <c r="AC256" s="645" t="s">
        <v>708</v>
      </c>
      <c r="AD256" s="648">
        <v>44214</v>
      </c>
      <c r="AE256" s="648">
        <v>44550</v>
      </c>
      <c r="AF256" s="645" t="s">
        <v>1145</v>
      </c>
      <c r="AG256" s="645" t="s">
        <v>809</v>
      </c>
    </row>
    <row r="257" spans="1:33" ht="272.45" customHeight="1" x14ac:dyDescent="0.35">
      <c r="A257" s="715">
        <v>229</v>
      </c>
      <c r="B257" s="633" t="s">
        <v>410</v>
      </c>
      <c r="C257" s="633" t="s">
        <v>367</v>
      </c>
      <c r="D257" s="640">
        <v>80101706</v>
      </c>
      <c r="E257" s="641" t="s">
        <v>636</v>
      </c>
      <c r="F257" s="640" t="s">
        <v>61</v>
      </c>
      <c r="G257" s="634">
        <v>1</v>
      </c>
      <c r="H257" s="634" t="s">
        <v>91</v>
      </c>
      <c r="I257" s="637">
        <v>11</v>
      </c>
      <c r="J257" s="638" t="s">
        <v>92</v>
      </c>
      <c r="K257" s="634" t="s">
        <v>100</v>
      </c>
      <c r="L257" s="634" t="s">
        <v>378</v>
      </c>
      <c r="M257" s="758">
        <v>72362358</v>
      </c>
      <c r="N257" s="759">
        <v>72362358</v>
      </c>
      <c r="O257" s="634" t="s">
        <v>65</v>
      </c>
      <c r="P257" s="634" t="s">
        <v>66</v>
      </c>
      <c r="Q257" s="781" t="s">
        <v>397</v>
      </c>
      <c r="S257" s="644" t="s">
        <v>1146</v>
      </c>
      <c r="T257" s="645" t="s">
        <v>1147</v>
      </c>
      <c r="U257" s="646">
        <v>44210</v>
      </c>
      <c r="V257" s="645" t="s">
        <v>1143</v>
      </c>
      <c r="W257" s="647" t="s">
        <v>714</v>
      </c>
      <c r="X257" s="770">
        <v>72362358</v>
      </c>
      <c r="Y257" s="772">
        <v>-430727</v>
      </c>
      <c r="Z257" s="770">
        <v>71931631</v>
      </c>
      <c r="AA257" s="645" t="s">
        <v>1144</v>
      </c>
      <c r="AB257" s="647">
        <v>19221</v>
      </c>
      <c r="AC257" s="645" t="s">
        <v>708</v>
      </c>
      <c r="AD257" s="648">
        <v>44214</v>
      </c>
      <c r="AE257" s="648">
        <v>44550</v>
      </c>
      <c r="AF257" s="645" t="s">
        <v>1145</v>
      </c>
      <c r="AG257" s="645" t="s">
        <v>809</v>
      </c>
    </row>
    <row r="258" spans="1:33" ht="272.45" customHeight="1" x14ac:dyDescent="0.35">
      <c r="A258" s="715">
        <v>230</v>
      </c>
      <c r="B258" s="633" t="s">
        <v>410</v>
      </c>
      <c r="C258" s="633" t="s">
        <v>367</v>
      </c>
      <c r="D258" s="640">
        <v>80101706</v>
      </c>
      <c r="E258" s="641" t="s">
        <v>637</v>
      </c>
      <c r="F258" s="640" t="s">
        <v>61</v>
      </c>
      <c r="G258" s="634">
        <v>1</v>
      </c>
      <c r="H258" s="634" t="s">
        <v>91</v>
      </c>
      <c r="I258" s="637">
        <v>11</v>
      </c>
      <c r="J258" s="638" t="s">
        <v>92</v>
      </c>
      <c r="K258" s="634" t="s">
        <v>100</v>
      </c>
      <c r="L258" s="634" t="s">
        <v>378</v>
      </c>
      <c r="M258" s="758">
        <v>71285537</v>
      </c>
      <c r="N258" s="759">
        <v>71285537</v>
      </c>
      <c r="O258" s="634" t="s">
        <v>65</v>
      </c>
      <c r="P258" s="634" t="s">
        <v>66</v>
      </c>
      <c r="Q258" s="781" t="s">
        <v>397</v>
      </c>
      <c r="S258" s="644" t="s">
        <v>1434</v>
      </c>
      <c r="T258" s="645" t="s">
        <v>1435</v>
      </c>
      <c r="U258" s="646">
        <v>44218</v>
      </c>
      <c r="V258" s="645" t="s">
        <v>1143</v>
      </c>
      <c r="W258" s="647" t="s">
        <v>714</v>
      </c>
      <c r="X258" s="773">
        <v>71070175</v>
      </c>
      <c r="Y258" s="775">
        <v>0</v>
      </c>
      <c r="Z258" s="773">
        <v>71070175</v>
      </c>
      <c r="AA258" s="645" t="s">
        <v>1436</v>
      </c>
      <c r="AB258" s="647">
        <v>19321</v>
      </c>
      <c r="AC258" s="645" t="s">
        <v>720</v>
      </c>
      <c r="AD258" s="648">
        <v>44219</v>
      </c>
      <c r="AE258" s="648">
        <v>44551</v>
      </c>
      <c r="AF258" s="645" t="s">
        <v>1145</v>
      </c>
      <c r="AG258" s="645" t="s">
        <v>809</v>
      </c>
    </row>
    <row r="259" spans="1:33" ht="272.45" customHeight="1" x14ac:dyDescent="0.35">
      <c r="A259" s="715">
        <v>231</v>
      </c>
      <c r="B259" s="633" t="s">
        <v>410</v>
      </c>
      <c r="C259" s="633" t="s">
        <v>367</v>
      </c>
      <c r="D259" s="640">
        <v>80101706</v>
      </c>
      <c r="E259" s="641" t="s">
        <v>638</v>
      </c>
      <c r="F259" s="640" t="s">
        <v>61</v>
      </c>
      <c r="G259" s="634">
        <v>1</v>
      </c>
      <c r="H259" s="634" t="s">
        <v>91</v>
      </c>
      <c r="I259" s="637">
        <v>11</v>
      </c>
      <c r="J259" s="638" t="s">
        <v>92</v>
      </c>
      <c r="K259" s="634" t="s">
        <v>100</v>
      </c>
      <c r="L259" s="634" t="s">
        <v>378</v>
      </c>
      <c r="M259" s="758">
        <v>71285537</v>
      </c>
      <c r="N259" s="759">
        <v>71285537</v>
      </c>
      <c r="O259" s="634" t="s">
        <v>65</v>
      </c>
      <c r="P259" s="634" t="s">
        <v>66</v>
      </c>
      <c r="Q259" s="781" t="s">
        <v>397</v>
      </c>
      <c r="S259" s="644" t="s">
        <v>1148</v>
      </c>
      <c r="T259" s="645" t="s">
        <v>1149</v>
      </c>
      <c r="U259" s="646">
        <v>44215</v>
      </c>
      <c r="V259" s="645" t="s">
        <v>1143</v>
      </c>
      <c r="W259" s="647" t="s">
        <v>714</v>
      </c>
      <c r="X259" s="770">
        <v>71285537</v>
      </c>
      <c r="Y259" s="772">
        <v>0</v>
      </c>
      <c r="Z259" s="770">
        <v>71285537</v>
      </c>
      <c r="AA259" s="645" t="s">
        <v>1150</v>
      </c>
      <c r="AB259" s="647">
        <v>21021</v>
      </c>
      <c r="AC259" s="645" t="s">
        <v>708</v>
      </c>
      <c r="AD259" s="648">
        <v>44216</v>
      </c>
      <c r="AE259" s="648">
        <v>44550</v>
      </c>
      <c r="AF259" s="645" t="s">
        <v>1145</v>
      </c>
      <c r="AG259" s="645" t="s">
        <v>809</v>
      </c>
    </row>
    <row r="260" spans="1:33" ht="272.45" customHeight="1" x14ac:dyDescent="0.35">
      <c r="A260" s="715">
        <v>232</v>
      </c>
      <c r="B260" s="633" t="s">
        <v>410</v>
      </c>
      <c r="C260" s="633" t="s">
        <v>367</v>
      </c>
      <c r="D260" s="640">
        <v>80101706</v>
      </c>
      <c r="E260" s="641" t="s">
        <v>639</v>
      </c>
      <c r="F260" s="640" t="s">
        <v>61</v>
      </c>
      <c r="G260" s="634">
        <v>1</v>
      </c>
      <c r="H260" s="634" t="s">
        <v>91</v>
      </c>
      <c r="I260" s="637">
        <v>11</v>
      </c>
      <c r="J260" s="638" t="s">
        <v>92</v>
      </c>
      <c r="K260" s="634" t="s">
        <v>100</v>
      </c>
      <c r="L260" s="634" t="s">
        <v>378</v>
      </c>
      <c r="M260" s="758">
        <v>71285537</v>
      </c>
      <c r="N260" s="759">
        <v>71285537</v>
      </c>
      <c r="O260" s="634" t="s">
        <v>65</v>
      </c>
      <c r="P260" s="634" t="s">
        <v>66</v>
      </c>
      <c r="Q260" s="781" t="s">
        <v>397</v>
      </c>
      <c r="S260" s="644" t="s">
        <v>1151</v>
      </c>
      <c r="T260" s="645" t="s">
        <v>1152</v>
      </c>
      <c r="U260" s="646">
        <v>44215</v>
      </c>
      <c r="V260" s="645" t="s">
        <v>1143</v>
      </c>
      <c r="W260" s="647" t="s">
        <v>714</v>
      </c>
      <c r="X260" s="770">
        <v>71285537</v>
      </c>
      <c r="Y260" s="772">
        <v>0</v>
      </c>
      <c r="Z260" s="770">
        <v>71285537</v>
      </c>
      <c r="AA260" s="645" t="s">
        <v>1150</v>
      </c>
      <c r="AB260" s="647">
        <v>21221</v>
      </c>
      <c r="AC260" s="645" t="s">
        <v>708</v>
      </c>
      <c r="AD260" s="648">
        <v>44216</v>
      </c>
      <c r="AE260" s="648">
        <v>44550</v>
      </c>
      <c r="AF260" s="645" t="s">
        <v>1145</v>
      </c>
      <c r="AG260" s="645" t="s">
        <v>809</v>
      </c>
    </row>
    <row r="261" spans="1:33" ht="272.45" customHeight="1" x14ac:dyDescent="0.35">
      <c r="A261" s="715">
        <v>233</v>
      </c>
      <c r="B261" s="633" t="s">
        <v>410</v>
      </c>
      <c r="C261" s="633" t="s">
        <v>367</v>
      </c>
      <c r="D261" s="640">
        <v>80101706</v>
      </c>
      <c r="E261" s="641" t="s">
        <v>640</v>
      </c>
      <c r="F261" s="640" t="s">
        <v>61</v>
      </c>
      <c r="G261" s="634">
        <v>1</v>
      </c>
      <c r="H261" s="634" t="s">
        <v>91</v>
      </c>
      <c r="I261" s="637">
        <v>11</v>
      </c>
      <c r="J261" s="638" t="s">
        <v>92</v>
      </c>
      <c r="K261" s="634" t="s">
        <v>100</v>
      </c>
      <c r="L261" s="634" t="s">
        <v>378</v>
      </c>
      <c r="M261" s="758">
        <v>75847200</v>
      </c>
      <c r="N261" s="759">
        <v>75847200</v>
      </c>
      <c r="O261" s="634" t="s">
        <v>65</v>
      </c>
      <c r="P261" s="634" t="s">
        <v>66</v>
      </c>
      <c r="Q261" s="781" t="s">
        <v>397</v>
      </c>
      <c r="S261" s="644" t="s">
        <v>1153</v>
      </c>
      <c r="T261" s="645" t="s">
        <v>1154</v>
      </c>
      <c r="U261" s="646">
        <v>44208</v>
      </c>
      <c r="V261" s="645" t="s">
        <v>1155</v>
      </c>
      <c r="W261" s="647" t="s">
        <v>714</v>
      </c>
      <c r="X261" s="770">
        <v>75847200</v>
      </c>
      <c r="Y261" s="772">
        <v>0</v>
      </c>
      <c r="Z261" s="770">
        <v>75847200</v>
      </c>
      <c r="AA261" s="645" t="s">
        <v>1156</v>
      </c>
      <c r="AB261" s="647">
        <v>7121</v>
      </c>
      <c r="AC261" s="645" t="s">
        <v>708</v>
      </c>
      <c r="AD261" s="648">
        <v>44210</v>
      </c>
      <c r="AE261" s="648">
        <v>44550</v>
      </c>
      <c r="AF261" s="645" t="s">
        <v>819</v>
      </c>
      <c r="AG261" s="645" t="s">
        <v>809</v>
      </c>
    </row>
    <row r="262" spans="1:33" ht="272.45" customHeight="1" x14ac:dyDescent="0.35">
      <c r="A262" s="715">
        <v>234</v>
      </c>
      <c r="B262" s="633" t="s">
        <v>410</v>
      </c>
      <c r="C262" s="633" t="s">
        <v>367</v>
      </c>
      <c r="D262" s="640">
        <v>80101706</v>
      </c>
      <c r="E262" s="641" t="s">
        <v>641</v>
      </c>
      <c r="F262" s="640" t="s">
        <v>61</v>
      </c>
      <c r="G262" s="634">
        <v>1</v>
      </c>
      <c r="H262" s="634" t="s">
        <v>83</v>
      </c>
      <c r="I262" s="637">
        <v>9</v>
      </c>
      <c r="J262" s="638" t="s">
        <v>92</v>
      </c>
      <c r="K262" s="634" t="s">
        <v>100</v>
      </c>
      <c r="L262" s="634" t="s">
        <v>378</v>
      </c>
      <c r="M262" s="758">
        <v>100197292.8</v>
      </c>
      <c r="N262" s="758">
        <v>100197292.80000001</v>
      </c>
      <c r="O262" s="634"/>
      <c r="P262" s="634" t="s">
        <v>66</v>
      </c>
      <c r="Q262" s="781" t="s">
        <v>397</v>
      </c>
      <c r="S262" s="644" t="s">
        <v>1577</v>
      </c>
      <c r="T262" s="645" t="s">
        <v>1578</v>
      </c>
      <c r="U262" s="646">
        <v>44284</v>
      </c>
      <c r="V262" s="645" t="s">
        <v>1574</v>
      </c>
      <c r="W262" s="647" t="s">
        <v>714</v>
      </c>
      <c r="X262" s="770">
        <v>79246951</v>
      </c>
      <c r="Y262" s="771">
        <v>0</v>
      </c>
      <c r="Z262" s="770">
        <v>79246951</v>
      </c>
      <c r="AA262" s="645" t="s">
        <v>1575</v>
      </c>
      <c r="AB262" s="762">
        <v>21521</v>
      </c>
      <c r="AC262" s="645" t="s">
        <v>708</v>
      </c>
      <c r="AD262" s="648">
        <v>44285</v>
      </c>
      <c r="AE262" s="648">
        <v>44550</v>
      </c>
      <c r="AF262" s="645" t="s">
        <v>1579</v>
      </c>
      <c r="AG262" s="645" t="s">
        <v>809</v>
      </c>
    </row>
    <row r="263" spans="1:33" ht="272.45" customHeight="1" x14ac:dyDescent="0.35">
      <c r="A263" s="715">
        <v>235</v>
      </c>
      <c r="B263" s="633" t="s">
        <v>410</v>
      </c>
      <c r="C263" s="633" t="s">
        <v>367</v>
      </c>
      <c r="D263" s="640">
        <v>80101706</v>
      </c>
      <c r="E263" s="641" t="s">
        <v>642</v>
      </c>
      <c r="F263" s="640" t="s">
        <v>61</v>
      </c>
      <c r="G263" s="634">
        <v>1</v>
      </c>
      <c r="H263" s="634" t="s">
        <v>98</v>
      </c>
      <c r="I263" s="637">
        <v>8</v>
      </c>
      <c r="J263" s="638" t="s">
        <v>92</v>
      </c>
      <c r="K263" s="634" t="s">
        <v>100</v>
      </c>
      <c r="L263" s="634" t="s">
        <v>378</v>
      </c>
      <c r="M263" s="758">
        <v>31351373</v>
      </c>
      <c r="N263" s="759">
        <v>31351373</v>
      </c>
      <c r="O263" s="634" t="s">
        <v>65</v>
      </c>
      <c r="P263" s="634" t="s">
        <v>66</v>
      </c>
      <c r="Q263" s="781" t="s">
        <v>397</v>
      </c>
      <c r="S263" s="644" t="s">
        <v>1437</v>
      </c>
      <c r="T263" s="645" t="s">
        <v>1438</v>
      </c>
      <c r="U263" s="646">
        <v>44230</v>
      </c>
      <c r="V263" s="645" t="s">
        <v>1439</v>
      </c>
      <c r="W263" s="647" t="s">
        <v>714</v>
      </c>
      <c r="X263" s="773">
        <v>30828845</v>
      </c>
      <c r="Y263" s="775">
        <v>0</v>
      </c>
      <c r="Z263" s="773">
        <v>30828845</v>
      </c>
      <c r="AA263" s="645" t="s">
        <v>1440</v>
      </c>
      <c r="AB263" s="647">
        <v>16521</v>
      </c>
      <c r="AC263" s="645" t="s">
        <v>1441</v>
      </c>
      <c r="AD263" s="648">
        <v>44230</v>
      </c>
      <c r="AE263" s="648">
        <v>44469</v>
      </c>
      <c r="AF263" s="645" t="s">
        <v>1311</v>
      </c>
      <c r="AG263" s="645" t="s">
        <v>809</v>
      </c>
    </row>
    <row r="264" spans="1:33" ht="272.45" customHeight="1" x14ac:dyDescent="0.35">
      <c r="A264" s="715">
        <v>236</v>
      </c>
      <c r="B264" s="633" t="s">
        <v>410</v>
      </c>
      <c r="C264" s="633" t="s">
        <v>367</v>
      </c>
      <c r="D264" s="640">
        <v>80101706</v>
      </c>
      <c r="E264" s="641" t="s">
        <v>643</v>
      </c>
      <c r="F264" s="640" t="s">
        <v>61</v>
      </c>
      <c r="G264" s="634">
        <v>1</v>
      </c>
      <c r="H264" s="634" t="s">
        <v>98</v>
      </c>
      <c r="I264" s="637">
        <v>8</v>
      </c>
      <c r="J264" s="638" t="s">
        <v>92</v>
      </c>
      <c r="K264" s="634" t="s">
        <v>100</v>
      </c>
      <c r="L264" s="634" t="s">
        <v>378</v>
      </c>
      <c r="M264" s="758">
        <v>31351373</v>
      </c>
      <c r="N264" s="759">
        <v>31351373</v>
      </c>
      <c r="O264" s="634" t="s">
        <v>65</v>
      </c>
      <c r="P264" s="634" t="s">
        <v>66</v>
      </c>
      <c r="Q264" s="781" t="s">
        <v>397</v>
      </c>
      <c r="S264" s="644" t="s">
        <v>1442</v>
      </c>
      <c r="T264" s="645" t="s">
        <v>1443</v>
      </c>
      <c r="U264" s="646">
        <v>44230</v>
      </c>
      <c r="V264" s="645" t="s">
        <v>1439</v>
      </c>
      <c r="W264" s="647" t="s">
        <v>714</v>
      </c>
      <c r="X264" s="773">
        <v>30828845</v>
      </c>
      <c r="Y264" s="775">
        <v>0</v>
      </c>
      <c r="Z264" s="773">
        <v>30828845</v>
      </c>
      <c r="AA264" s="645" t="s">
        <v>1440</v>
      </c>
      <c r="AB264" s="647">
        <v>15121</v>
      </c>
      <c r="AC264" s="645" t="s">
        <v>1441</v>
      </c>
      <c r="AD264" s="648">
        <v>44230</v>
      </c>
      <c r="AE264" s="648">
        <v>44469</v>
      </c>
      <c r="AF264" s="645" t="s">
        <v>1311</v>
      </c>
      <c r="AG264" s="645" t="s">
        <v>809</v>
      </c>
    </row>
    <row r="265" spans="1:33" ht="272.45" customHeight="1" x14ac:dyDescent="0.35">
      <c r="A265" s="715">
        <v>237</v>
      </c>
      <c r="B265" s="633" t="s">
        <v>361</v>
      </c>
      <c r="C265" s="642" t="s">
        <v>282</v>
      </c>
      <c r="D265" s="640" t="s">
        <v>97</v>
      </c>
      <c r="E265" s="641" t="s">
        <v>644</v>
      </c>
      <c r="F265" s="640" t="s">
        <v>61</v>
      </c>
      <c r="G265" s="634">
        <v>1</v>
      </c>
      <c r="H265" s="634" t="s">
        <v>91</v>
      </c>
      <c r="I265" s="637">
        <v>11</v>
      </c>
      <c r="J265" s="638" t="s">
        <v>70</v>
      </c>
      <c r="K265" s="634" t="s">
        <v>100</v>
      </c>
      <c r="L265" s="634" t="s">
        <v>362</v>
      </c>
      <c r="M265" s="758">
        <v>250000000</v>
      </c>
      <c r="N265" s="759">
        <v>250000000</v>
      </c>
      <c r="O265" s="634" t="s">
        <v>65</v>
      </c>
      <c r="P265" s="634" t="s">
        <v>66</v>
      </c>
      <c r="Q265" s="781" t="s">
        <v>363</v>
      </c>
      <c r="S265" s="644" t="s">
        <v>1444</v>
      </c>
      <c r="T265" s="645" t="s">
        <v>1445</v>
      </c>
      <c r="U265" s="646">
        <v>44223</v>
      </c>
      <c r="V265" s="645" t="s">
        <v>1446</v>
      </c>
      <c r="W265" s="647" t="s">
        <v>1171</v>
      </c>
      <c r="X265" s="773">
        <v>250000000</v>
      </c>
      <c r="Y265" s="775">
        <v>0</v>
      </c>
      <c r="Z265" s="773">
        <v>250000000</v>
      </c>
      <c r="AA265" s="645" t="s">
        <v>1447</v>
      </c>
      <c r="AB265" s="647">
        <v>3421</v>
      </c>
      <c r="AC265" s="645" t="s">
        <v>1448</v>
      </c>
      <c r="AD265" s="648">
        <v>44223</v>
      </c>
      <c r="AE265" s="648">
        <v>44558</v>
      </c>
      <c r="AF265" s="645" t="s">
        <v>721</v>
      </c>
      <c r="AG265" s="645" t="s">
        <v>722</v>
      </c>
    </row>
    <row r="266" spans="1:33" ht="272.45" customHeight="1" x14ac:dyDescent="0.35">
      <c r="A266" s="715">
        <v>238</v>
      </c>
      <c r="B266" s="633" t="s">
        <v>361</v>
      </c>
      <c r="C266" s="642" t="s">
        <v>387</v>
      </c>
      <c r="D266" s="640">
        <v>80141607</v>
      </c>
      <c r="E266" s="641" t="s">
        <v>645</v>
      </c>
      <c r="F266" s="640" t="s">
        <v>61</v>
      </c>
      <c r="G266" s="634">
        <v>1</v>
      </c>
      <c r="H266" s="634" t="s">
        <v>69</v>
      </c>
      <c r="I266" s="637">
        <v>7</v>
      </c>
      <c r="J266" s="638" t="s">
        <v>92</v>
      </c>
      <c r="K266" s="634" t="s">
        <v>100</v>
      </c>
      <c r="L266" s="634" t="s">
        <v>362</v>
      </c>
      <c r="M266" s="758">
        <v>807802594</v>
      </c>
      <c r="N266" s="759">
        <v>807802594</v>
      </c>
      <c r="O266" s="634" t="s">
        <v>65</v>
      </c>
      <c r="P266" s="634" t="s">
        <v>66</v>
      </c>
      <c r="Q266" s="781" t="s">
        <v>388</v>
      </c>
      <c r="S266" s="644" t="s">
        <v>1669</v>
      </c>
      <c r="T266" s="645" t="s">
        <v>1670</v>
      </c>
      <c r="U266" s="646">
        <v>44350</v>
      </c>
      <c r="V266" s="645" t="s">
        <v>1671</v>
      </c>
      <c r="W266" s="647" t="s">
        <v>1452</v>
      </c>
      <c r="X266" s="770">
        <v>807802594</v>
      </c>
      <c r="Y266" s="771">
        <v>0</v>
      </c>
      <c r="Z266" s="770">
        <v>807802594</v>
      </c>
      <c r="AA266" s="645" t="s">
        <v>1672</v>
      </c>
      <c r="AB266" s="647">
        <v>27421</v>
      </c>
      <c r="AC266" s="645" t="s">
        <v>1673</v>
      </c>
      <c r="AD266" s="763">
        <v>44357</v>
      </c>
      <c r="AE266" s="763">
        <v>44551</v>
      </c>
      <c r="AF266" s="645" t="s">
        <v>1478</v>
      </c>
      <c r="AG266" s="645" t="s">
        <v>710</v>
      </c>
    </row>
    <row r="267" spans="1:33" ht="272.45" customHeight="1" x14ac:dyDescent="0.35">
      <c r="A267" s="715">
        <v>239</v>
      </c>
      <c r="B267" s="633" t="s">
        <v>413</v>
      </c>
      <c r="C267" s="633" t="s">
        <v>367</v>
      </c>
      <c r="D267" s="640">
        <v>81112501</v>
      </c>
      <c r="E267" s="641" t="s">
        <v>646</v>
      </c>
      <c r="F267" s="640" t="s">
        <v>61</v>
      </c>
      <c r="G267" s="634">
        <v>1</v>
      </c>
      <c r="H267" s="634" t="s">
        <v>72</v>
      </c>
      <c r="I267" s="637">
        <v>12</v>
      </c>
      <c r="J267" s="638" t="s">
        <v>70</v>
      </c>
      <c r="K267" s="634" t="s">
        <v>100</v>
      </c>
      <c r="L267" s="634" t="s">
        <v>396</v>
      </c>
      <c r="M267" s="758">
        <v>300000000</v>
      </c>
      <c r="N267" s="759">
        <v>300000000</v>
      </c>
      <c r="O267" s="634" t="s">
        <v>65</v>
      </c>
      <c r="P267" s="634" t="s">
        <v>66</v>
      </c>
      <c r="Q267" s="781" t="s">
        <v>397</v>
      </c>
      <c r="S267" s="662" t="s">
        <v>1751</v>
      </c>
      <c r="T267" s="663" t="s">
        <v>1752</v>
      </c>
      <c r="U267" s="664">
        <v>44400</v>
      </c>
      <c r="V267" s="645" t="s">
        <v>1753</v>
      </c>
      <c r="W267" s="647" t="s">
        <v>1452</v>
      </c>
      <c r="X267" s="773">
        <v>277153688</v>
      </c>
      <c r="Y267" s="771">
        <v>0</v>
      </c>
      <c r="Z267" s="773">
        <v>277153688</v>
      </c>
      <c r="AA267" s="645" t="s">
        <v>1754</v>
      </c>
      <c r="AB267" s="762">
        <v>31121</v>
      </c>
      <c r="AC267" s="645" t="s">
        <v>1755</v>
      </c>
      <c r="AD267" s="763">
        <v>44400</v>
      </c>
      <c r="AE267" s="763">
        <v>44764</v>
      </c>
      <c r="AF267" s="645" t="s">
        <v>808</v>
      </c>
      <c r="AG267" s="645" t="s">
        <v>809</v>
      </c>
    </row>
    <row r="268" spans="1:33" ht="272.45" customHeight="1" x14ac:dyDescent="0.9">
      <c r="A268" s="715">
        <v>240</v>
      </c>
      <c r="B268" s="811" t="s">
        <v>414</v>
      </c>
      <c r="C268" s="811" t="s">
        <v>367</v>
      </c>
      <c r="D268" s="824" t="s">
        <v>661</v>
      </c>
      <c r="E268" s="825" t="s">
        <v>647</v>
      </c>
      <c r="F268" s="824" t="s">
        <v>61</v>
      </c>
      <c r="G268" s="812">
        <v>1</v>
      </c>
      <c r="H268" s="812" t="s">
        <v>85</v>
      </c>
      <c r="I268" s="815">
        <v>12</v>
      </c>
      <c r="J268" s="826" t="s">
        <v>92</v>
      </c>
      <c r="K268" s="812" t="s">
        <v>100</v>
      </c>
      <c r="L268" s="812" t="s">
        <v>396</v>
      </c>
      <c r="M268" s="816"/>
      <c r="N268" s="817"/>
      <c r="O268" s="812" t="s">
        <v>65</v>
      </c>
      <c r="P268" s="812" t="s">
        <v>66</v>
      </c>
      <c r="Q268" s="827" t="s">
        <v>397</v>
      </c>
      <c r="S268" s="748"/>
      <c r="T268" s="748"/>
      <c r="U268" s="748"/>
      <c r="V268" s="748"/>
      <c r="W268" s="748"/>
      <c r="X268" s="777"/>
      <c r="Y268" s="777"/>
      <c r="Z268" s="777"/>
      <c r="AA268" s="748"/>
      <c r="AB268" s="748"/>
      <c r="AC268" s="748"/>
      <c r="AD268" s="748"/>
      <c r="AE268" s="748"/>
      <c r="AF268" s="748"/>
      <c r="AG268" s="748"/>
    </row>
    <row r="269" spans="1:33" ht="272.45" customHeight="1" x14ac:dyDescent="0.35">
      <c r="A269" s="715">
        <v>241</v>
      </c>
      <c r="B269" s="633"/>
      <c r="C269" s="633" t="s">
        <v>367</v>
      </c>
      <c r="D269" s="640" t="s">
        <v>662</v>
      </c>
      <c r="E269" s="641" t="s">
        <v>648</v>
      </c>
      <c r="F269" s="640" t="s">
        <v>61</v>
      </c>
      <c r="G269" s="634">
        <v>1</v>
      </c>
      <c r="H269" s="634" t="s">
        <v>364</v>
      </c>
      <c r="I269" s="637">
        <v>12</v>
      </c>
      <c r="J269" s="638" t="s">
        <v>117</v>
      </c>
      <c r="K269" s="634" t="s">
        <v>100</v>
      </c>
      <c r="L269" s="634" t="s">
        <v>396</v>
      </c>
      <c r="M269" s="758">
        <v>89598334</v>
      </c>
      <c r="N269" s="759">
        <v>89598334</v>
      </c>
      <c r="O269" s="634" t="s">
        <v>65</v>
      </c>
      <c r="P269" s="634" t="s">
        <v>66</v>
      </c>
      <c r="Q269" s="781" t="s">
        <v>397</v>
      </c>
      <c r="S269" s="662" t="s">
        <v>1833</v>
      </c>
      <c r="T269" s="663" t="s">
        <v>1834</v>
      </c>
      <c r="U269" s="664">
        <v>44447</v>
      </c>
      <c r="V269" s="645" t="s">
        <v>1835</v>
      </c>
      <c r="W269" s="647" t="s">
        <v>1452</v>
      </c>
      <c r="X269" s="773">
        <v>87500000</v>
      </c>
      <c r="Y269" s="771">
        <v>0</v>
      </c>
      <c r="Z269" s="773">
        <v>87500000</v>
      </c>
      <c r="AA269" s="645" t="s">
        <v>1836</v>
      </c>
      <c r="AB269" s="828" t="s">
        <v>2166</v>
      </c>
      <c r="AC269" s="645" t="s">
        <v>1837</v>
      </c>
      <c r="AD269" s="648">
        <v>44453</v>
      </c>
      <c r="AE269" s="648">
        <v>44817</v>
      </c>
      <c r="AF269" s="645" t="s">
        <v>1838</v>
      </c>
      <c r="AG269" s="645" t="s">
        <v>809</v>
      </c>
    </row>
    <row r="270" spans="1:33" ht="272.45" customHeight="1" x14ac:dyDescent="0.9">
      <c r="A270" s="715">
        <v>242</v>
      </c>
      <c r="B270" s="734"/>
      <c r="C270" s="734" t="s">
        <v>367</v>
      </c>
      <c r="D270" s="749" t="s">
        <v>663</v>
      </c>
      <c r="E270" s="750" t="s">
        <v>649</v>
      </c>
      <c r="F270" s="749" t="s">
        <v>61</v>
      </c>
      <c r="G270" s="735">
        <v>1</v>
      </c>
      <c r="H270" s="735" t="s">
        <v>72</v>
      </c>
      <c r="I270" s="738">
        <v>12</v>
      </c>
      <c r="J270" s="741" t="s">
        <v>81</v>
      </c>
      <c r="K270" s="735" t="s">
        <v>100</v>
      </c>
      <c r="L270" s="735" t="s">
        <v>396</v>
      </c>
      <c r="M270" s="739"/>
      <c r="N270" s="740"/>
      <c r="O270" s="735" t="s">
        <v>65</v>
      </c>
      <c r="P270" s="735" t="s">
        <v>66</v>
      </c>
      <c r="Q270" s="743" t="s">
        <v>397</v>
      </c>
      <c r="S270" s="748"/>
      <c r="T270" s="748"/>
      <c r="U270" s="748"/>
      <c r="V270" s="748"/>
      <c r="W270" s="748"/>
      <c r="X270" s="777"/>
      <c r="Y270" s="777"/>
      <c r="Z270" s="777"/>
      <c r="AA270" s="748"/>
      <c r="AB270" s="748"/>
      <c r="AC270" s="748"/>
      <c r="AD270" s="648"/>
      <c r="AE270" s="648"/>
      <c r="AF270" s="748"/>
      <c r="AG270" s="748"/>
    </row>
    <row r="271" spans="1:33" ht="272.45" customHeight="1" x14ac:dyDescent="0.35">
      <c r="A271" s="715">
        <v>243</v>
      </c>
      <c r="B271" s="633"/>
      <c r="C271" s="633" t="s">
        <v>367</v>
      </c>
      <c r="D271" s="640" t="s">
        <v>664</v>
      </c>
      <c r="E271" s="641" t="s">
        <v>650</v>
      </c>
      <c r="F271" s="640" t="s">
        <v>61</v>
      </c>
      <c r="G271" s="634">
        <v>1</v>
      </c>
      <c r="H271" s="634" t="s">
        <v>364</v>
      </c>
      <c r="I271" s="637">
        <v>12</v>
      </c>
      <c r="J271" s="638" t="s">
        <v>92</v>
      </c>
      <c r="K271" s="634" t="s">
        <v>100</v>
      </c>
      <c r="L271" s="634" t="s">
        <v>396</v>
      </c>
      <c r="M271" s="758">
        <v>85705748</v>
      </c>
      <c r="N271" s="759">
        <v>85705748</v>
      </c>
      <c r="O271" s="634" t="s">
        <v>65</v>
      </c>
      <c r="P271" s="634" t="s">
        <v>66</v>
      </c>
      <c r="Q271" s="781" t="s">
        <v>397</v>
      </c>
      <c r="S271" s="644" t="s">
        <v>1839</v>
      </c>
      <c r="T271" s="645" t="s">
        <v>1581</v>
      </c>
      <c r="U271" s="646">
        <v>44442</v>
      </c>
      <c r="V271" s="645" t="s">
        <v>1840</v>
      </c>
      <c r="W271" s="647" t="s">
        <v>1171</v>
      </c>
      <c r="X271" s="770">
        <v>85705748</v>
      </c>
      <c r="Y271" s="771">
        <v>0</v>
      </c>
      <c r="Z271" s="770">
        <v>85705748</v>
      </c>
      <c r="AA271" s="645" t="s">
        <v>1841</v>
      </c>
      <c r="AB271" s="828" t="s">
        <v>2189</v>
      </c>
      <c r="AC271" s="645" t="s">
        <v>1842</v>
      </c>
      <c r="AD271" s="648">
        <v>44460</v>
      </c>
      <c r="AE271" s="648">
        <v>44551</v>
      </c>
      <c r="AF271" s="645" t="s">
        <v>1843</v>
      </c>
      <c r="AG271" s="645" t="s">
        <v>722</v>
      </c>
    </row>
    <row r="272" spans="1:33" ht="272.45" customHeight="1" x14ac:dyDescent="0.35">
      <c r="A272" s="715">
        <v>244</v>
      </c>
      <c r="B272" s="633"/>
      <c r="C272" s="633" t="s">
        <v>367</v>
      </c>
      <c r="D272" s="640" t="s">
        <v>664</v>
      </c>
      <c r="E272" s="641" t="s">
        <v>651</v>
      </c>
      <c r="F272" s="640" t="s">
        <v>61</v>
      </c>
      <c r="G272" s="634">
        <v>1</v>
      </c>
      <c r="H272" s="634" t="s">
        <v>98</v>
      </c>
      <c r="I272" s="637">
        <v>12</v>
      </c>
      <c r="J272" s="638" t="s">
        <v>92</v>
      </c>
      <c r="K272" s="634" t="s">
        <v>100</v>
      </c>
      <c r="L272" s="634" t="s">
        <v>396</v>
      </c>
      <c r="M272" s="758">
        <v>104500000</v>
      </c>
      <c r="N272" s="759">
        <v>104500000</v>
      </c>
      <c r="O272" s="634" t="s">
        <v>65</v>
      </c>
      <c r="P272" s="634" t="s">
        <v>66</v>
      </c>
      <c r="Q272" s="781" t="s">
        <v>397</v>
      </c>
      <c r="S272" s="644" t="s">
        <v>1580</v>
      </c>
      <c r="T272" s="645" t="s">
        <v>1581</v>
      </c>
      <c r="U272" s="646">
        <v>44285</v>
      </c>
      <c r="V272" s="645" t="s">
        <v>1582</v>
      </c>
      <c r="W272" s="647" t="s">
        <v>1452</v>
      </c>
      <c r="X272" s="770">
        <v>84157466</v>
      </c>
      <c r="Y272" s="771">
        <v>0</v>
      </c>
      <c r="Z272" s="770">
        <v>84157466</v>
      </c>
      <c r="AA272" s="645" t="s">
        <v>1583</v>
      </c>
      <c r="AB272" s="762">
        <v>24321</v>
      </c>
      <c r="AC272" s="645" t="s">
        <v>1584</v>
      </c>
      <c r="AD272" s="648">
        <v>44292</v>
      </c>
      <c r="AE272" s="648">
        <v>44561</v>
      </c>
      <c r="AF272" s="645" t="s">
        <v>1585</v>
      </c>
      <c r="AG272" s="645" t="s">
        <v>722</v>
      </c>
    </row>
    <row r="273" spans="1:33" ht="272.45" customHeight="1" x14ac:dyDescent="0.35">
      <c r="A273" s="715">
        <v>245</v>
      </c>
      <c r="B273" s="633"/>
      <c r="C273" s="633" t="s">
        <v>367</v>
      </c>
      <c r="D273" s="640" t="s">
        <v>674</v>
      </c>
      <c r="E273" s="641" t="s">
        <v>673</v>
      </c>
      <c r="F273" s="640" t="s">
        <v>61</v>
      </c>
      <c r="G273" s="634">
        <v>1</v>
      </c>
      <c r="H273" s="634" t="s">
        <v>72</v>
      </c>
      <c r="I273" s="637">
        <v>3</v>
      </c>
      <c r="J273" s="638" t="s">
        <v>117</v>
      </c>
      <c r="K273" s="634" t="s">
        <v>100</v>
      </c>
      <c r="L273" s="634" t="s">
        <v>396</v>
      </c>
      <c r="M273" s="758">
        <v>290598000</v>
      </c>
      <c r="N273" s="759">
        <v>290598000</v>
      </c>
      <c r="O273" s="634" t="s">
        <v>65</v>
      </c>
      <c r="P273" s="634" t="s">
        <v>66</v>
      </c>
      <c r="Q273" s="781" t="s">
        <v>397</v>
      </c>
      <c r="S273" s="644" t="s">
        <v>1844</v>
      </c>
      <c r="T273" s="645" t="s">
        <v>1845</v>
      </c>
      <c r="U273" s="646">
        <v>44460</v>
      </c>
      <c r="V273" s="645" t="s">
        <v>1846</v>
      </c>
      <c r="W273" s="647" t="s">
        <v>1452</v>
      </c>
      <c r="X273" s="770">
        <v>290498000</v>
      </c>
      <c r="Y273" s="771">
        <v>0</v>
      </c>
      <c r="Z273" s="770">
        <v>290498000</v>
      </c>
      <c r="AA273" s="645" t="s">
        <v>1847</v>
      </c>
      <c r="AB273" s="828" t="s">
        <v>2167</v>
      </c>
      <c r="AC273" s="645" t="s">
        <v>1848</v>
      </c>
      <c r="AD273" s="648">
        <v>44466</v>
      </c>
      <c r="AE273" s="648">
        <v>44561</v>
      </c>
      <c r="AF273" s="645" t="s">
        <v>1698</v>
      </c>
      <c r="AG273" s="645" t="s">
        <v>809</v>
      </c>
    </row>
    <row r="274" spans="1:33" ht="272.45" customHeight="1" x14ac:dyDescent="0.35">
      <c r="A274" s="715">
        <v>246</v>
      </c>
      <c r="B274" s="633"/>
      <c r="C274" s="633" t="s">
        <v>367</v>
      </c>
      <c r="D274" s="640" t="s">
        <v>675</v>
      </c>
      <c r="E274" s="961" t="s">
        <v>672</v>
      </c>
      <c r="F274" s="640" t="s">
        <v>61</v>
      </c>
      <c r="G274" s="634">
        <v>1</v>
      </c>
      <c r="H274" s="962" t="s">
        <v>85</v>
      </c>
      <c r="I274" s="960">
        <v>6</v>
      </c>
      <c r="J274" s="963" t="s">
        <v>117</v>
      </c>
      <c r="K274" s="634" t="s">
        <v>100</v>
      </c>
      <c r="L274" s="634" t="s">
        <v>396</v>
      </c>
      <c r="M274" s="758">
        <v>100000000</v>
      </c>
      <c r="N274" s="758">
        <v>100000000</v>
      </c>
      <c r="O274" s="634" t="s">
        <v>65</v>
      </c>
      <c r="P274" s="634" t="s">
        <v>66</v>
      </c>
      <c r="Q274" s="781" t="s">
        <v>397</v>
      </c>
      <c r="S274" s="644" t="s">
        <v>2125</v>
      </c>
      <c r="T274" s="645" t="s">
        <v>2126</v>
      </c>
      <c r="U274" s="646">
        <v>44545</v>
      </c>
      <c r="V274" s="645" t="s">
        <v>2127</v>
      </c>
      <c r="W274" s="647" t="s">
        <v>1452</v>
      </c>
      <c r="X274" s="770">
        <v>68126000</v>
      </c>
      <c r="Y274" s="771">
        <v>0</v>
      </c>
      <c r="Z274" s="770">
        <v>68126000</v>
      </c>
      <c r="AA274" s="645" t="s">
        <v>2128</v>
      </c>
      <c r="AB274" s="828" t="s">
        <v>2168</v>
      </c>
      <c r="AC274" s="645" t="s">
        <v>2129</v>
      </c>
      <c r="AD274" s="648">
        <v>44551</v>
      </c>
      <c r="AE274" s="648">
        <v>44915</v>
      </c>
      <c r="AF274" s="645" t="s">
        <v>1455</v>
      </c>
      <c r="AG274" s="645" t="s">
        <v>809</v>
      </c>
    </row>
    <row r="275" spans="1:33" ht="272.45" customHeight="1" x14ac:dyDescent="0.35">
      <c r="A275" s="715">
        <v>247</v>
      </c>
      <c r="B275" s="633"/>
      <c r="C275" s="633" t="s">
        <v>367</v>
      </c>
      <c r="D275" s="640" t="s">
        <v>676</v>
      </c>
      <c r="E275" s="641" t="s">
        <v>671</v>
      </c>
      <c r="F275" s="640" t="s">
        <v>61</v>
      </c>
      <c r="G275" s="634">
        <v>1</v>
      </c>
      <c r="H275" s="634" t="s">
        <v>1806</v>
      </c>
      <c r="I275" s="637">
        <v>12</v>
      </c>
      <c r="J275" s="638" t="s">
        <v>81</v>
      </c>
      <c r="K275" s="634" t="s">
        <v>100</v>
      </c>
      <c r="L275" s="634" t="s">
        <v>396</v>
      </c>
      <c r="M275" s="758">
        <v>25000000</v>
      </c>
      <c r="N275" s="759">
        <v>25000000</v>
      </c>
      <c r="O275" s="634" t="s">
        <v>65</v>
      </c>
      <c r="P275" s="634" t="s">
        <v>66</v>
      </c>
      <c r="Q275" s="781" t="s">
        <v>2015</v>
      </c>
      <c r="S275" s="644" t="s">
        <v>2074</v>
      </c>
      <c r="T275" s="645" t="s">
        <v>2075</v>
      </c>
      <c r="U275" s="646">
        <v>44533</v>
      </c>
      <c r="V275" s="645" t="s">
        <v>2076</v>
      </c>
      <c r="W275" s="647" t="s">
        <v>1452</v>
      </c>
      <c r="X275" s="770">
        <v>16650488</v>
      </c>
      <c r="Y275" s="771">
        <v>0</v>
      </c>
      <c r="Z275" s="770">
        <v>16650488</v>
      </c>
      <c r="AA275" s="645" t="s">
        <v>2077</v>
      </c>
      <c r="AB275" s="828" t="s">
        <v>2169</v>
      </c>
      <c r="AC275" s="645" t="s">
        <v>2078</v>
      </c>
      <c r="AD275" s="648">
        <v>44533</v>
      </c>
      <c r="AE275" s="648">
        <v>44545</v>
      </c>
      <c r="AF275" s="645" t="s">
        <v>1455</v>
      </c>
      <c r="AG275" s="645" t="s">
        <v>809</v>
      </c>
    </row>
    <row r="276" spans="1:33" ht="272.45" customHeight="1" x14ac:dyDescent="0.35">
      <c r="A276" s="715">
        <v>248</v>
      </c>
      <c r="B276" s="633"/>
      <c r="C276" s="633" t="s">
        <v>367</v>
      </c>
      <c r="D276" s="640" t="s">
        <v>677</v>
      </c>
      <c r="E276" s="641" t="s">
        <v>2117</v>
      </c>
      <c r="F276" s="640" t="s">
        <v>61</v>
      </c>
      <c r="G276" s="634">
        <v>1</v>
      </c>
      <c r="H276" s="634" t="s">
        <v>85</v>
      </c>
      <c r="I276" s="637">
        <v>26</v>
      </c>
      <c r="J276" s="638" t="s">
        <v>117</v>
      </c>
      <c r="K276" s="634" t="s">
        <v>100</v>
      </c>
      <c r="L276" s="634" t="s">
        <v>396</v>
      </c>
      <c r="M276" s="758">
        <v>207000000</v>
      </c>
      <c r="N276" s="759">
        <v>207000000</v>
      </c>
      <c r="O276" s="634" t="s">
        <v>65</v>
      </c>
      <c r="P276" s="634" t="s">
        <v>66</v>
      </c>
      <c r="Q276" s="781" t="s">
        <v>397</v>
      </c>
      <c r="S276" s="644" t="s">
        <v>2020</v>
      </c>
      <c r="T276" s="645" t="s">
        <v>2021</v>
      </c>
      <c r="U276" s="646">
        <v>44508</v>
      </c>
      <c r="V276" s="645" t="s">
        <v>2022</v>
      </c>
      <c r="W276" s="647" t="s">
        <v>714</v>
      </c>
      <c r="X276" s="770">
        <v>8600198</v>
      </c>
      <c r="Y276" s="771">
        <v>0</v>
      </c>
      <c r="Z276" s="770">
        <v>8600198</v>
      </c>
      <c r="AA276" s="645" t="s">
        <v>2023</v>
      </c>
      <c r="AB276" s="828" t="s">
        <v>2058</v>
      </c>
      <c r="AC276" s="645" t="s">
        <v>2025</v>
      </c>
      <c r="AD276" s="763">
        <v>44509</v>
      </c>
      <c r="AE276" s="763">
        <v>44550</v>
      </c>
      <c r="AF276" s="645" t="s">
        <v>1899</v>
      </c>
      <c r="AG276" s="645" t="s">
        <v>920</v>
      </c>
    </row>
    <row r="277" spans="1:33" ht="272.45" customHeight="1" x14ac:dyDescent="0.35">
      <c r="A277" s="715">
        <v>249</v>
      </c>
      <c r="B277" s="633"/>
      <c r="C277" s="633" t="s">
        <v>367</v>
      </c>
      <c r="D277" s="640">
        <v>81112501</v>
      </c>
      <c r="E277" s="641" t="s">
        <v>670</v>
      </c>
      <c r="F277" s="640" t="s">
        <v>61</v>
      </c>
      <c r="G277" s="634">
        <v>1</v>
      </c>
      <c r="H277" s="634" t="s">
        <v>354</v>
      </c>
      <c r="I277" s="637">
        <v>12</v>
      </c>
      <c r="J277" s="638" t="s">
        <v>81</v>
      </c>
      <c r="K277" s="634" t="s">
        <v>100</v>
      </c>
      <c r="L277" s="634" t="s">
        <v>396</v>
      </c>
      <c r="M277" s="758">
        <v>4140000</v>
      </c>
      <c r="N277" s="759">
        <v>4140000</v>
      </c>
      <c r="O277" s="634" t="s">
        <v>65</v>
      </c>
      <c r="P277" s="634" t="s">
        <v>66</v>
      </c>
      <c r="Q277" s="781" t="s">
        <v>397</v>
      </c>
      <c r="S277" s="644" t="s">
        <v>1449</v>
      </c>
      <c r="T277" s="645" t="s">
        <v>1450</v>
      </c>
      <c r="U277" s="646">
        <v>44225</v>
      </c>
      <c r="V277" s="645" t="s">
        <v>1451</v>
      </c>
      <c r="W277" s="647" t="s">
        <v>1452</v>
      </c>
      <c r="X277" s="773">
        <v>2900000</v>
      </c>
      <c r="Y277" s="775">
        <v>0</v>
      </c>
      <c r="Z277" s="773">
        <v>2900000</v>
      </c>
      <c r="AA277" s="645" t="s">
        <v>1453</v>
      </c>
      <c r="AB277" s="647">
        <v>23521</v>
      </c>
      <c r="AC277" s="645" t="s">
        <v>1454</v>
      </c>
      <c r="AD277" s="648">
        <v>44225</v>
      </c>
      <c r="AE277" s="648">
        <v>44235</v>
      </c>
      <c r="AF277" s="645" t="s">
        <v>1455</v>
      </c>
      <c r="AG277" s="645" t="s">
        <v>809</v>
      </c>
    </row>
    <row r="278" spans="1:33" ht="272.45" customHeight="1" x14ac:dyDescent="0.35">
      <c r="A278" s="938">
        <v>250</v>
      </c>
      <c r="B278" s="633"/>
      <c r="C278" s="633" t="s">
        <v>367</v>
      </c>
      <c r="D278" s="640" t="s">
        <v>678</v>
      </c>
      <c r="E278" s="641" t="s">
        <v>690</v>
      </c>
      <c r="F278" s="640" t="s">
        <v>61</v>
      </c>
      <c r="G278" s="634">
        <v>1</v>
      </c>
      <c r="H278" s="634" t="s">
        <v>105</v>
      </c>
      <c r="I278" s="637">
        <v>12</v>
      </c>
      <c r="J278" s="638" t="s">
        <v>117</v>
      </c>
      <c r="K278" s="634" t="s">
        <v>100</v>
      </c>
      <c r="L278" s="634" t="s">
        <v>396</v>
      </c>
      <c r="M278" s="758">
        <v>90000000</v>
      </c>
      <c r="N278" s="759">
        <v>90000000</v>
      </c>
      <c r="O278" s="634" t="s">
        <v>65</v>
      </c>
      <c r="P278" s="634" t="s">
        <v>66</v>
      </c>
      <c r="Q278" s="781" t="s">
        <v>397</v>
      </c>
      <c r="S278" s="644" t="s">
        <v>2079</v>
      </c>
      <c r="T278" s="645" t="s">
        <v>2080</v>
      </c>
      <c r="U278" s="646">
        <v>44539</v>
      </c>
      <c r="V278" s="645" t="s">
        <v>2081</v>
      </c>
      <c r="W278" s="647" t="s">
        <v>1452</v>
      </c>
      <c r="X278" s="773">
        <v>77263210</v>
      </c>
      <c r="Y278" s="775">
        <v>0</v>
      </c>
      <c r="Z278" s="773">
        <v>77263210</v>
      </c>
      <c r="AA278" s="645" t="s">
        <v>2082</v>
      </c>
      <c r="AB278" s="828" t="s">
        <v>2170</v>
      </c>
      <c r="AC278" s="645" t="s">
        <v>2083</v>
      </c>
      <c r="AD278" s="648">
        <v>44540</v>
      </c>
      <c r="AE278" s="648">
        <v>44560</v>
      </c>
      <c r="AF278" s="645" t="s">
        <v>1925</v>
      </c>
      <c r="AG278" s="645" t="s">
        <v>809</v>
      </c>
    </row>
    <row r="279" spans="1:33" ht="272.45" customHeight="1" x14ac:dyDescent="0.35">
      <c r="A279" s="715">
        <v>251</v>
      </c>
      <c r="B279" s="633"/>
      <c r="C279" s="633" t="s">
        <v>367</v>
      </c>
      <c r="D279" s="640">
        <v>81112500</v>
      </c>
      <c r="E279" s="641" t="s">
        <v>669</v>
      </c>
      <c r="F279" s="640" t="s">
        <v>61</v>
      </c>
      <c r="G279" s="634">
        <v>1</v>
      </c>
      <c r="H279" s="634" t="s">
        <v>364</v>
      </c>
      <c r="I279" s="637">
        <v>12</v>
      </c>
      <c r="J279" s="638" t="s">
        <v>70</v>
      </c>
      <c r="K279" s="634" t="s">
        <v>100</v>
      </c>
      <c r="L279" s="634" t="s">
        <v>396</v>
      </c>
      <c r="M279" s="758">
        <v>349357000</v>
      </c>
      <c r="N279" s="759">
        <v>349357000</v>
      </c>
      <c r="O279" s="634" t="s">
        <v>65</v>
      </c>
      <c r="P279" s="634" t="s">
        <v>66</v>
      </c>
      <c r="Q279" s="781" t="s">
        <v>397</v>
      </c>
      <c r="S279" s="662" t="s">
        <v>1756</v>
      </c>
      <c r="T279" s="663" t="s">
        <v>1757</v>
      </c>
      <c r="U279" s="664">
        <v>44418</v>
      </c>
      <c r="V279" s="645" t="s">
        <v>1758</v>
      </c>
      <c r="W279" s="647" t="s">
        <v>339</v>
      </c>
      <c r="X279" s="770">
        <v>279035727</v>
      </c>
      <c r="Y279" s="771">
        <v>0</v>
      </c>
      <c r="Z279" s="770">
        <v>279035727</v>
      </c>
      <c r="AA279" s="645" t="s">
        <v>1759</v>
      </c>
      <c r="AB279" s="762">
        <v>31521</v>
      </c>
      <c r="AC279" s="645" t="s">
        <v>1760</v>
      </c>
      <c r="AD279" s="648">
        <v>44418</v>
      </c>
      <c r="AE279" s="648">
        <v>44545</v>
      </c>
      <c r="AF279" s="645" t="s">
        <v>1761</v>
      </c>
      <c r="AG279" s="645" t="s">
        <v>809</v>
      </c>
    </row>
    <row r="280" spans="1:33" ht="272.45" customHeight="1" x14ac:dyDescent="0.35">
      <c r="A280" s="715">
        <v>252</v>
      </c>
      <c r="B280" s="633"/>
      <c r="C280" s="633" t="s">
        <v>367</v>
      </c>
      <c r="D280" s="640" t="s">
        <v>679</v>
      </c>
      <c r="E280" s="641" t="s">
        <v>668</v>
      </c>
      <c r="F280" s="640" t="s">
        <v>61</v>
      </c>
      <c r="G280" s="634">
        <v>1</v>
      </c>
      <c r="H280" s="634" t="s">
        <v>80</v>
      </c>
      <c r="I280" s="637">
        <v>12</v>
      </c>
      <c r="J280" s="638" t="s">
        <v>117</v>
      </c>
      <c r="K280" s="634" t="s">
        <v>100</v>
      </c>
      <c r="L280" s="634" t="s">
        <v>396</v>
      </c>
      <c r="M280" s="758">
        <v>258750000</v>
      </c>
      <c r="N280" s="759">
        <v>258750000</v>
      </c>
      <c r="O280" s="634" t="s">
        <v>65</v>
      </c>
      <c r="P280" s="634" t="s">
        <v>66</v>
      </c>
      <c r="Q280" s="781" t="s">
        <v>397</v>
      </c>
      <c r="S280" s="644" t="s">
        <v>1693</v>
      </c>
      <c r="T280" s="645" t="s">
        <v>1694</v>
      </c>
      <c r="U280" s="646">
        <v>44342</v>
      </c>
      <c r="V280" s="645" t="s">
        <v>1695</v>
      </c>
      <c r="W280" s="647" t="s">
        <v>1452</v>
      </c>
      <c r="X280" s="770">
        <v>256400256</v>
      </c>
      <c r="Y280" s="771">
        <v>0</v>
      </c>
      <c r="Z280" s="770">
        <v>256400256</v>
      </c>
      <c r="AA280" s="645" t="s">
        <v>1696</v>
      </c>
      <c r="AB280" s="647">
        <v>27821</v>
      </c>
      <c r="AC280" s="645" t="s">
        <v>1697</v>
      </c>
      <c r="AD280" s="648">
        <v>44344</v>
      </c>
      <c r="AE280" s="648">
        <v>44708</v>
      </c>
      <c r="AF280" s="645" t="s">
        <v>1698</v>
      </c>
      <c r="AG280" s="645" t="s">
        <v>809</v>
      </c>
    </row>
    <row r="281" spans="1:33" ht="272.45" customHeight="1" x14ac:dyDescent="0.35">
      <c r="A281" s="715">
        <v>253</v>
      </c>
      <c r="B281" s="633"/>
      <c r="C281" s="633" t="s">
        <v>367</v>
      </c>
      <c r="D281" s="640">
        <v>81112500</v>
      </c>
      <c r="E281" s="641" t="s">
        <v>667</v>
      </c>
      <c r="F281" s="640" t="s">
        <v>61</v>
      </c>
      <c r="G281" s="634">
        <v>1</v>
      </c>
      <c r="H281" s="634" t="s">
        <v>364</v>
      </c>
      <c r="I281" s="637">
        <v>12</v>
      </c>
      <c r="J281" s="638" t="s">
        <v>81</v>
      </c>
      <c r="K281" s="634" t="s">
        <v>100</v>
      </c>
      <c r="L281" s="634" t="s">
        <v>396</v>
      </c>
      <c r="M281" s="758">
        <v>25438728</v>
      </c>
      <c r="N281" s="759">
        <v>25438728</v>
      </c>
      <c r="O281" s="634" t="s">
        <v>65</v>
      </c>
      <c r="P281" s="634" t="s">
        <v>66</v>
      </c>
      <c r="Q281" s="781" t="s">
        <v>397</v>
      </c>
      <c r="S281" s="644" t="s">
        <v>1762</v>
      </c>
      <c r="T281" s="645" t="s">
        <v>1763</v>
      </c>
      <c r="U281" s="646">
        <v>44421</v>
      </c>
      <c r="V281" s="645" t="s">
        <v>1764</v>
      </c>
      <c r="W281" s="647" t="s">
        <v>1452</v>
      </c>
      <c r="X281" s="770">
        <v>21900000</v>
      </c>
      <c r="Y281" s="771">
        <v>0</v>
      </c>
      <c r="Z281" s="770">
        <v>21900000</v>
      </c>
      <c r="AA281" s="645" t="s">
        <v>1765</v>
      </c>
      <c r="AB281" s="647">
        <v>32621</v>
      </c>
      <c r="AC281" s="645" t="s">
        <v>1766</v>
      </c>
      <c r="AD281" s="648">
        <v>44421</v>
      </c>
      <c r="AE281" s="648">
        <v>44561</v>
      </c>
      <c r="AF281" s="645" t="s">
        <v>1698</v>
      </c>
      <c r="AG281" s="645" t="s">
        <v>809</v>
      </c>
    </row>
    <row r="282" spans="1:33" ht="272.45" customHeight="1" x14ac:dyDescent="0.35">
      <c r="A282" s="938">
        <v>254</v>
      </c>
      <c r="B282" s="633"/>
      <c r="C282" s="633" t="s">
        <v>367</v>
      </c>
      <c r="D282" s="640" t="s">
        <v>680</v>
      </c>
      <c r="E282" s="641" t="s">
        <v>689</v>
      </c>
      <c r="F282" s="640" t="s">
        <v>61</v>
      </c>
      <c r="G282" s="634">
        <v>1</v>
      </c>
      <c r="H282" s="634" t="s">
        <v>105</v>
      </c>
      <c r="I282" s="637">
        <v>12</v>
      </c>
      <c r="J282" s="638" t="s">
        <v>117</v>
      </c>
      <c r="K282" s="634" t="s">
        <v>100</v>
      </c>
      <c r="L282" s="634" t="s">
        <v>396</v>
      </c>
      <c r="M282" s="758">
        <v>140470255</v>
      </c>
      <c r="N282" s="758">
        <v>140470255</v>
      </c>
      <c r="O282" s="634" t="s">
        <v>65</v>
      </c>
      <c r="P282" s="634" t="s">
        <v>66</v>
      </c>
      <c r="Q282" s="781" t="s">
        <v>2015</v>
      </c>
      <c r="S282" s="644" t="s">
        <v>2084</v>
      </c>
      <c r="T282" s="645" t="s">
        <v>2085</v>
      </c>
      <c r="U282" s="646">
        <v>44537</v>
      </c>
      <c r="V282" s="645" t="s">
        <v>2086</v>
      </c>
      <c r="W282" s="647" t="s">
        <v>1452</v>
      </c>
      <c r="X282" s="770">
        <v>140275653</v>
      </c>
      <c r="Y282" s="771">
        <v>0</v>
      </c>
      <c r="Z282" s="770">
        <v>140275653</v>
      </c>
      <c r="AA282" s="645" t="s">
        <v>2087</v>
      </c>
      <c r="AB282" s="828" t="s">
        <v>2190</v>
      </c>
      <c r="AC282" s="645" t="s">
        <v>2088</v>
      </c>
      <c r="AD282" s="648">
        <v>44543</v>
      </c>
      <c r="AE282" s="648">
        <v>44561</v>
      </c>
      <c r="AF282" s="645" t="s">
        <v>1698</v>
      </c>
      <c r="AG282" s="645" t="s">
        <v>809</v>
      </c>
    </row>
    <row r="283" spans="1:33" ht="272.45" customHeight="1" x14ac:dyDescent="0.35">
      <c r="A283" s="715">
        <v>255</v>
      </c>
      <c r="B283" s="633"/>
      <c r="C283" s="633" t="s">
        <v>367</v>
      </c>
      <c r="D283" s="640" t="s">
        <v>681</v>
      </c>
      <c r="E283" s="641" t="s">
        <v>666</v>
      </c>
      <c r="F283" s="640" t="s">
        <v>61</v>
      </c>
      <c r="G283" s="634">
        <v>1</v>
      </c>
      <c r="H283" s="634" t="s">
        <v>83</v>
      </c>
      <c r="I283" s="637">
        <v>12</v>
      </c>
      <c r="J283" s="638" t="s">
        <v>70</v>
      </c>
      <c r="K283" s="634" t="s">
        <v>100</v>
      </c>
      <c r="L283" s="634" t="s">
        <v>396</v>
      </c>
      <c r="M283" s="758">
        <v>15525000</v>
      </c>
      <c r="N283" s="759">
        <v>15525000</v>
      </c>
      <c r="O283" s="634" t="s">
        <v>65</v>
      </c>
      <c r="P283" s="634" t="s">
        <v>66</v>
      </c>
      <c r="Q283" s="781" t="s">
        <v>397</v>
      </c>
      <c r="S283" s="644" t="s">
        <v>1586</v>
      </c>
      <c r="T283" s="645" t="s">
        <v>1587</v>
      </c>
      <c r="U283" s="646">
        <v>44281</v>
      </c>
      <c r="V283" s="645" t="s">
        <v>1588</v>
      </c>
      <c r="W283" s="647" t="s">
        <v>1177</v>
      </c>
      <c r="X283" s="770">
        <v>1913126.22</v>
      </c>
      <c r="Y283" s="771">
        <v>0</v>
      </c>
      <c r="Z283" s="770">
        <v>1913126.22</v>
      </c>
      <c r="AA283" s="645" t="s">
        <v>1589</v>
      </c>
      <c r="AB283" s="762">
        <v>25621</v>
      </c>
      <c r="AC283" s="645" t="s">
        <v>1590</v>
      </c>
      <c r="AD283" s="648">
        <v>44291</v>
      </c>
      <c r="AE283" s="648">
        <v>44346</v>
      </c>
      <c r="AF283" s="645" t="s">
        <v>1140</v>
      </c>
      <c r="AG283" s="645" t="s">
        <v>809</v>
      </c>
    </row>
    <row r="284" spans="1:33" ht="272.45" customHeight="1" x14ac:dyDescent="0.35">
      <c r="A284" s="715">
        <v>256</v>
      </c>
      <c r="B284" s="633"/>
      <c r="C284" s="633" t="s">
        <v>367</v>
      </c>
      <c r="D284" s="640" t="s">
        <v>680</v>
      </c>
      <c r="E284" s="641" t="s">
        <v>665</v>
      </c>
      <c r="F284" s="640" t="s">
        <v>61</v>
      </c>
      <c r="G284" s="634">
        <v>1</v>
      </c>
      <c r="H284" s="634" t="s">
        <v>1806</v>
      </c>
      <c r="I284" s="637">
        <v>12</v>
      </c>
      <c r="J284" s="638" t="s">
        <v>81</v>
      </c>
      <c r="K284" s="634" t="s">
        <v>100</v>
      </c>
      <c r="L284" s="634" t="s">
        <v>396</v>
      </c>
      <c r="M284" s="758">
        <v>25438728</v>
      </c>
      <c r="N284" s="758">
        <v>25438728</v>
      </c>
      <c r="O284" s="634" t="s">
        <v>65</v>
      </c>
      <c r="P284" s="634" t="s">
        <v>66</v>
      </c>
      <c r="Q284" s="781" t="s">
        <v>2015</v>
      </c>
      <c r="S284" s="644" t="s">
        <v>2089</v>
      </c>
      <c r="T284" s="645" t="s">
        <v>2090</v>
      </c>
      <c r="U284" s="646">
        <v>44532</v>
      </c>
      <c r="V284" s="645" t="s">
        <v>2091</v>
      </c>
      <c r="W284" s="647" t="s">
        <v>1452</v>
      </c>
      <c r="X284" s="770">
        <v>14525000</v>
      </c>
      <c r="Y284" s="771">
        <v>0</v>
      </c>
      <c r="Z284" s="770">
        <v>14525000</v>
      </c>
      <c r="AA284" s="645" t="s">
        <v>2092</v>
      </c>
      <c r="AB284" s="828" t="s">
        <v>2171</v>
      </c>
      <c r="AC284" s="645" t="s">
        <v>2093</v>
      </c>
      <c r="AD284" s="648">
        <v>44533</v>
      </c>
      <c r="AE284" s="648">
        <v>44547</v>
      </c>
      <c r="AF284" s="645" t="s">
        <v>2094</v>
      </c>
      <c r="AG284" s="645" t="s">
        <v>809</v>
      </c>
    </row>
    <row r="285" spans="1:33" ht="272.45" customHeight="1" x14ac:dyDescent="0.9">
      <c r="A285" s="715">
        <v>257</v>
      </c>
      <c r="B285" s="734"/>
      <c r="C285" s="734" t="s">
        <v>367</v>
      </c>
      <c r="D285" s="749">
        <v>81112502</v>
      </c>
      <c r="E285" s="750" t="s">
        <v>1626</v>
      </c>
      <c r="F285" s="749" t="s">
        <v>415</v>
      </c>
      <c r="G285" s="735">
        <v>1</v>
      </c>
      <c r="H285" s="735" t="s">
        <v>364</v>
      </c>
      <c r="I285" s="738">
        <v>12</v>
      </c>
      <c r="J285" s="735" t="s">
        <v>357</v>
      </c>
      <c r="K285" s="735" t="s">
        <v>100</v>
      </c>
      <c r="L285" s="735" t="s">
        <v>396</v>
      </c>
      <c r="M285" s="740"/>
      <c r="N285" s="740"/>
      <c r="O285" s="735" t="s">
        <v>76</v>
      </c>
      <c r="P285" s="735" t="s">
        <v>77</v>
      </c>
      <c r="Q285" s="743" t="s">
        <v>397</v>
      </c>
      <c r="S285" s="748"/>
      <c r="T285" s="748"/>
      <c r="U285" s="748"/>
      <c r="V285" s="748"/>
      <c r="W285" s="748"/>
      <c r="X285" s="777"/>
      <c r="Y285" s="777"/>
      <c r="Z285" s="777"/>
      <c r="AA285" s="748"/>
      <c r="AB285" s="748"/>
      <c r="AC285" s="748"/>
      <c r="AD285" s="648"/>
      <c r="AE285" s="648"/>
      <c r="AF285" s="748"/>
      <c r="AG285" s="748"/>
    </row>
    <row r="286" spans="1:33" ht="272.45" customHeight="1" x14ac:dyDescent="0.9">
      <c r="A286" s="715">
        <v>258</v>
      </c>
      <c r="B286" s="734"/>
      <c r="C286" s="734" t="s">
        <v>367</v>
      </c>
      <c r="D286" s="749" t="s">
        <v>1166</v>
      </c>
      <c r="E286" s="750" t="s">
        <v>688</v>
      </c>
      <c r="F286" s="749" t="s">
        <v>61</v>
      </c>
      <c r="G286" s="735">
        <v>1</v>
      </c>
      <c r="H286" s="735" t="s">
        <v>69</v>
      </c>
      <c r="I286" s="738">
        <v>8</v>
      </c>
      <c r="J286" s="741" t="s">
        <v>113</v>
      </c>
      <c r="K286" s="735" t="s">
        <v>100</v>
      </c>
      <c r="L286" s="735" t="s">
        <v>378</v>
      </c>
      <c r="M286" s="739"/>
      <c r="N286" s="740"/>
      <c r="O286" s="735" t="s">
        <v>65</v>
      </c>
      <c r="P286" s="735" t="s">
        <v>66</v>
      </c>
      <c r="Q286" s="743" t="s">
        <v>397</v>
      </c>
      <c r="S286" s="748"/>
      <c r="T286" s="748"/>
      <c r="U286" s="748"/>
      <c r="V286" s="748"/>
      <c r="W286" s="748"/>
      <c r="X286" s="777"/>
      <c r="Y286" s="777"/>
      <c r="Z286" s="777"/>
      <c r="AA286" s="748"/>
      <c r="AB286" s="748"/>
      <c r="AC286" s="748"/>
      <c r="AD286" s="648"/>
      <c r="AE286" s="648"/>
      <c r="AF286" s="748"/>
      <c r="AG286" s="748"/>
    </row>
    <row r="287" spans="1:33" ht="272.45" customHeight="1" x14ac:dyDescent="0.35">
      <c r="A287" s="715">
        <v>259</v>
      </c>
      <c r="B287" s="633"/>
      <c r="C287" s="633" t="s">
        <v>367</v>
      </c>
      <c r="D287" s="640" t="s">
        <v>682</v>
      </c>
      <c r="E287" s="641" t="s">
        <v>652</v>
      </c>
      <c r="F287" s="640" t="s">
        <v>61</v>
      </c>
      <c r="G287" s="634">
        <v>1</v>
      </c>
      <c r="H287" s="634" t="s">
        <v>91</v>
      </c>
      <c r="I287" s="637">
        <v>12</v>
      </c>
      <c r="J287" s="638" t="s">
        <v>92</v>
      </c>
      <c r="K287" s="634" t="s">
        <v>100</v>
      </c>
      <c r="L287" s="634" t="s">
        <v>378</v>
      </c>
      <c r="M287" s="758">
        <v>120000000</v>
      </c>
      <c r="N287" s="759">
        <v>120000000</v>
      </c>
      <c r="O287" s="634" t="s">
        <v>65</v>
      </c>
      <c r="P287" s="634" t="s">
        <v>66</v>
      </c>
      <c r="Q287" s="781" t="s">
        <v>397</v>
      </c>
      <c r="S287" s="644" t="s">
        <v>1456</v>
      </c>
      <c r="T287" s="645" t="s">
        <v>1457</v>
      </c>
      <c r="U287" s="646">
        <v>44238</v>
      </c>
      <c r="V287" s="645" t="s">
        <v>1458</v>
      </c>
      <c r="W287" s="647" t="s">
        <v>1459</v>
      </c>
      <c r="X287" s="773">
        <v>119880000</v>
      </c>
      <c r="Y287" s="775">
        <v>0</v>
      </c>
      <c r="Z287" s="773">
        <v>119880000</v>
      </c>
      <c r="AA287" s="645" t="s">
        <v>1460</v>
      </c>
      <c r="AB287" s="647">
        <v>22221</v>
      </c>
      <c r="AC287" s="645" t="s">
        <v>1461</v>
      </c>
      <c r="AD287" s="648">
        <v>44238</v>
      </c>
      <c r="AE287" s="648">
        <v>44551</v>
      </c>
      <c r="AF287" s="645" t="s">
        <v>819</v>
      </c>
      <c r="AG287" s="645" t="s">
        <v>809</v>
      </c>
    </row>
    <row r="288" spans="1:33" ht="272.45" customHeight="1" x14ac:dyDescent="0.9">
      <c r="A288" s="715">
        <v>260</v>
      </c>
      <c r="B288" s="734"/>
      <c r="C288" s="734" t="s">
        <v>367</v>
      </c>
      <c r="D288" s="749" t="s">
        <v>682</v>
      </c>
      <c r="E288" s="750" t="s">
        <v>2118</v>
      </c>
      <c r="F288" s="749" t="s">
        <v>61</v>
      </c>
      <c r="G288" s="735">
        <v>1</v>
      </c>
      <c r="H288" s="735" t="s">
        <v>72</v>
      </c>
      <c r="I288" s="738">
        <v>6</v>
      </c>
      <c r="J288" s="741" t="s">
        <v>116</v>
      </c>
      <c r="K288" s="735" t="s">
        <v>100</v>
      </c>
      <c r="L288" s="735" t="s">
        <v>378</v>
      </c>
      <c r="M288" s="739"/>
      <c r="N288" s="740"/>
      <c r="O288" s="735" t="s">
        <v>65</v>
      </c>
      <c r="P288" s="735" t="s">
        <v>66</v>
      </c>
      <c r="Q288" s="743" t="s">
        <v>397</v>
      </c>
      <c r="S288" s="748"/>
      <c r="T288" s="748"/>
      <c r="U288" s="748"/>
      <c r="V288" s="748"/>
      <c r="W288" s="748"/>
      <c r="X288" s="777"/>
      <c r="Y288" s="777"/>
      <c r="Z288" s="777"/>
      <c r="AA288" s="748"/>
      <c r="AB288" s="748"/>
      <c r="AC288" s="748"/>
      <c r="AD288" s="648"/>
      <c r="AE288" s="648"/>
      <c r="AF288" s="748"/>
      <c r="AG288" s="748"/>
    </row>
    <row r="289" spans="1:33" ht="210" customHeight="1" x14ac:dyDescent="0.35">
      <c r="A289" s="715">
        <v>261</v>
      </c>
      <c r="B289" s="633"/>
      <c r="C289" s="633" t="s">
        <v>367</v>
      </c>
      <c r="D289" s="640" t="s">
        <v>682</v>
      </c>
      <c r="E289" s="641" t="s">
        <v>653</v>
      </c>
      <c r="F289" s="640" t="s">
        <v>61</v>
      </c>
      <c r="G289" s="634">
        <v>1</v>
      </c>
      <c r="H289" s="634" t="s">
        <v>1968</v>
      </c>
      <c r="I289" s="637">
        <v>12</v>
      </c>
      <c r="J289" s="638" t="s">
        <v>92</v>
      </c>
      <c r="K289" s="634" t="s">
        <v>100</v>
      </c>
      <c r="L289" s="634" t="s">
        <v>378</v>
      </c>
      <c r="M289" s="758">
        <v>646196859</v>
      </c>
      <c r="N289" s="759">
        <v>646196859</v>
      </c>
      <c r="O289" s="634" t="s">
        <v>65</v>
      </c>
      <c r="P289" s="634" t="s">
        <v>66</v>
      </c>
      <c r="Q289" s="781" t="s">
        <v>397</v>
      </c>
      <c r="S289" s="644" t="s">
        <v>2149</v>
      </c>
      <c r="T289" s="645" t="s">
        <v>2150</v>
      </c>
      <c r="U289" s="646">
        <v>44554</v>
      </c>
      <c r="V289" s="645" t="s">
        <v>2151</v>
      </c>
      <c r="W289" s="647" t="s">
        <v>2055</v>
      </c>
      <c r="X289" s="770">
        <v>646196859</v>
      </c>
      <c r="Y289" s="770">
        <v>0</v>
      </c>
      <c r="Z289" s="770">
        <v>646196859</v>
      </c>
      <c r="AA289" s="645" t="s">
        <v>2152</v>
      </c>
      <c r="AB289" s="679" t="s">
        <v>2172</v>
      </c>
      <c r="AC289" s="645" t="s">
        <v>2153</v>
      </c>
      <c r="AD289" s="648">
        <v>44558</v>
      </c>
      <c r="AE289" s="648">
        <v>44922</v>
      </c>
      <c r="AF289" s="645" t="s">
        <v>2154</v>
      </c>
      <c r="AG289" s="645" t="s">
        <v>286</v>
      </c>
    </row>
    <row r="290" spans="1:33" ht="272.45" customHeight="1" x14ac:dyDescent="0.9">
      <c r="A290" s="715">
        <v>262</v>
      </c>
      <c r="B290" s="734"/>
      <c r="C290" s="734" t="s">
        <v>367</v>
      </c>
      <c r="D290" s="749" t="s">
        <v>682</v>
      </c>
      <c r="E290" s="750" t="s">
        <v>654</v>
      </c>
      <c r="F290" s="749" t="s">
        <v>61</v>
      </c>
      <c r="G290" s="735">
        <v>1</v>
      </c>
      <c r="H290" s="735" t="s">
        <v>72</v>
      </c>
      <c r="I290" s="738">
        <v>6</v>
      </c>
      <c r="J290" s="741" t="s">
        <v>92</v>
      </c>
      <c r="K290" s="735" t="s">
        <v>100</v>
      </c>
      <c r="L290" s="735" t="s">
        <v>378</v>
      </c>
      <c r="M290" s="739"/>
      <c r="N290" s="740"/>
      <c r="O290" s="735" t="s">
        <v>76</v>
      </c>
      <c r="P290" s="735" t="s">
        <v>77</v>
      </c>
      <c r="Q290" s="743" t="s">
        <v>397</v>
      </c>
      <c r="S290" s="748"/>
      <c r="T290" s="748"/>
      <c r="U290" s="748"/>
      <c r="V290" s="748"/>
      <c r="W290" s="748"/>
      <c r="X290" s="777"/>
      <c r="Y290" s="777"/>
      <c r="Z290" s="777"/>
      <c r="AA290" s="748"/>
      <c r="AB290" s="748"/>
      <c r="AC290" s="748"/>
      <c r="AD290" s="648"/>
      <c r="AE290" s="648"/>
      <c r="AF290" s="748"/>
      <c r="AG290" s="748"/>
    </row>
    <row r="291" spans="1:33" ht="272.45" customHeight="1" x14ac:dyDescent="0.35">
      <c r="A291" s="715">
        <v>263</v>
      </c>
      <c r="B291" s="683"/>
      <c r="C291" s="633" t="s">
        <v>367</v>
      </c>
      <c r="D291" s="633">
        <v>81112500</v>
      </c>
      <c r="E291" s="633" t="s">
        <v>655</v>
      </c>
      <c r="F291" s="633" t="s">
        <v>61</v>
      </c>
      <c r="G291" s="633">
        <v>1</v>
      </c>
      <c r="H291" s="633" t="s">
        <v>85</v>
      </c>
      <c r="I291" s="633">
        <v>24</v>
      </c>
      <c r="J291" s="633" t="s">
        <v>70</v>
      </c>
      <c r="K291" s="633" t="s">
        <v>100</v>
      </c>
      <c r="L291" s="633" t="s">
        <v>396</v>
      </c>
      <c r="M291" s="758">
        <v>233247622</v>
      </c>
      <c r="N291" s="758">
        <v>233247622</v>
      </c>
      <c r="O291" s="634" t="s">
        <v>65</v>
      </c>
      <c r="P291" s="634" t="s">
        <v>66</v>
      </c>
      <c r="Q291" s="781" t="s">
        <v>397</v>
      </c>
      <c r="S291" s="644" t="s">
        <v>1920</v>
      </c>
      <c r="T291" s="645" t="s">
        <v>1921</v>
      </c>
      <c r="U291" s="646">
        <v>44467</v>
      </c>
      <c r="V291" s="645" t="s">
        <v>1922</v>
      </c>
      <c r="W291" s="647" t="s">
        <v>1452</v>
      </c>
      <c r="X291" s="770">
        <v>233247622</v>
      </c>
      <c r="Y291" s="770">
        <v>0</v>
      </c>
      <c r="Z291" s="770">
        <v>233247622</v>
      </c>
      <c r="AA291" s="645" t="s">
        <v>1923</v>
      </c>
      <c r="AB291" s="647">
        <v>37621</v>
      </c>
      <c r="AC291" s="645" t="s">
        <v>1924</v>
      </c>
      <c r="AD291" s="648">
        <v>44473</v>
      </c>
      <c r="AE291" s="648">
        <v>44561</v>
      </c>
      <c r="AF291" s="645" t="s">
        <v>1925</v>
      </c>
      <c r="AG291" s="645" t="s">
        <v>809</v>
      </c>
    </row>
    <row r="292" spans="1:33" ht="272.45" customHeight="1" x14ac:dyDescent="0.35">
      <c r="A292" s="715">
        <v>263</v>
      </c>
      <c r="B292" s="683"/>
      <c r="C292" s="633" t="s">
        <v>367</v>
      </c>
      <c r="D292" s="633">
        <v>81112500</v>
      </c>
      <c r="E292" s="633" t="s">
        <v>655</v>
      </c>
      <c r="F292" s="633" t="s">
        <v>61</v>
      </c>
      <c r="G292" s="633">
        <v>1</v>
      </c>
      <c r="H292" s="633" t="s">
        <v>85</v>
      </c>
      <c r="I292" s="633">
        <v>24</v>
      </c>
      <c r="J292" s="633" t="s">
        <v>70</v>
      </c>
      <c r="K292" s="633" t="s">
        <v>100</v>
      </c>
      <c r="L292" s="633" t="s">
        <v>378</v>
      </c>
      <c r="M292" s="758">
        <v>769709995</v>
      </c>
      <c r="N292" s="758">
        <v>769709995</v>
      </c>
      <c r="O292" s="634" t="s">
        <v>65</v>
      </c>
      <c r="P292" s="634" t="s">
        <v>66</v>
      </c>
      <c r="Q292" s="781" t="s">
        <v>397</v>
      </c>
      <c r="S292" s="644" t="s">
        <v>1920</v>
      </c>
      <c r="T292" s="645" t="s">
        <v>1921</v>
      </c>
      <c r="U292" s="646">
        <v>44467</v>
      </c>
      <c r="V292" s="645" t="s">
        <v>1922</v>
      </c>
      <c r="W292" s="647" t="s">
        <v>1452</v>
      </c>
      <c r="X292" s="770">
        <v>769709995</v>
      </c>
      <c r="Y292" s="770">
        <v>0</v>
      </c>
      <c r="Z292" s="770">
        <v>769709995</v>
      </c>
      <c r="AA292" s="645" t="s">
        <v>1923</v>
      </c>
      <c r="AB292" s="647">
        <v>37621</v>
      </c>
      <c r="AC292" s="645" t="s">
        <v>1924</v>
      </c>
      <c r="AD292" s="648">
        <v>44473</v>
      </c>
      <c r="AE292" s="648">
        <v>44561</v>
      </c>
      <c r="AF292" s="645" t="s">
        <v>1925</v>
      </c>
      <c r="AG292" s="645" t="s">
        <v>809</v>
      </c>
    </row>
    <row r="293" spans="1:33" ht="272.45" customHeight="1" x14ac:dyDescent="0.35">
      <c r="A293" s="715">
        <v>264</v>
      </c>
      <c r="B293" s="633"/>
      <c r="C293" s="633" t="s">
        <v>367</v>
      </c>
      <c r="D293" s="640" t="s">
        <v>683</v>
      </c>
      <c r="E293" s="641" t="s">
        <v>656</v>
      </c>
      <c r="F293" s="640" t="s">
        <v>61</v>
      </c>
      <c r="G293" s="634">
        <v>1</v>
      </c>
      <c r="H293" s="634" t="s">
        <v>69</v>
      </c>
      <c r="I293" s="637">
        <v>12</v>
      </c>
      <c r="J293" s="638" t="s">
        <v>117</v>
      </c>
      <c r="K293" s="634" t="s">
        <v>100</v>
      </c>
      <c r="L293" s="634" t="s">
        <v>378</v>
      </c>
      <c r="M293" s="758">
        <v>265090740</v>
      </c>
      <c r="N293" s="759">
        <v>265090740</v>
      </c>
      <c r="O293" s="634" t="s">
        <v>65</v>
      </c>
      <c r="P293" s="634" t="s">
        <v>66</v>
      </c>
      <c r="Q293" s="781" t="s">
        <v>397</v>
      </c>
      <c r="S293" s="644" t="s">
        <v>1721</v>
      </c>
      <c r="T293" s="645" t="s">
        <v>1722</v>
      </c>
      <c r="U293" s="646">
        <v>44379</v>
      </c>
      <c r="V293" s="645" t="s">
        <v>1723</v>
      </c>
      <c r="W293" s="647" t="s">
        <v>1452</v>
      </c>
      <c r="X293" s="770">
        <v>225262068</v>
      </c>
      <c r="Y293" s="771">
        <v>0</v>
      </c>
      <c r="Z293" s="770">
        <v>225262068</v>
      </c>
      <c r="AA293" s="645" t="s">
        <v>1724</v>
      </c>
      <c r="AB293" s="647">
        <v>29621</v>
      </c>
      <c r="AC293" s="645" t="s">
        <v>1725</v>
      </c>
      <c r="AD293" s="648">
        <v>44384</v>
      </c>
      <c r="AE293" s="648">
        <v>44749</v>
      </c>
      <c r="AF293" s="645" t="s">
        <v>1726</v>
      </c>
      <c r="AG293" s="645" t="s">
        <v>809</v>
      </c>
    </row>
    <row r="294" spans="1:33" ht="272.45" customHeight="1" x14ac:dyDescent="0.35">
      <c r="A294" s="715">
        <v>265</v>
      </c>
      <c r="B294" s="633"/>
      <c r="C294" s="642" t="s">
        <v>118</v>
      </c>
      <c r="D294" s="640">
        <v>82101800</v>
      </c>
      <c r="E294" s="641" t="s">
        <v>657</v>
      </c>
      <c r="F294" s="640" t="s">
        <v>61</v>
      </c>
      <c r="G294" s="634">
        <v>1</v>
      </c>
      <c r="H294" s="634" t="s">
        <v>98</v>
      </c>
      <c r="I294" s="637">
        <v>10</v>
      </c>
      <c r="J294" s="638" t="s">
        <v>81</v>
      </c>
      <c r="K294" s="634" t="s">
        <v>100</v>
      </c>
      <c r="L294" s="634" t="s">
        <v>378</v>
      </c>
      <c r="M294" s="758">
        <v>25000000</v>
      </c>
      <c r="N294" s="759">
        <v>25000000</v>
      </c>
      <c r="O294" s="634" t="s">
        <v>65</v>
      </c>
      <c r="P294" s="634" t="s">
        <v>66</v>
      </c>
      <c r="Q294" s="781" t="s">
        <v>1463</v>
      </c>
      <c r="S294" s="644" t="s">
        <v>1591</v>
      </c>
      <c r="T294" s="645" t="s">
        <v>1592</v>
      </c>
      <c r="U294" s="646">
        <v>44285</v>
      </c>
      <c r="V294" s="645" t="s">
        <v>1593</v>
      </c>
      <c r="W294" s="647" t="s">
        <v>1452</v>
      </c>
      <c r="X294" s="770">
        <v>16619778</v>
      </c>
      <c r="Y294" s="771">
        <v>-16619778</v>
      </c>
      <c r="Z294" s="770"/>
      <c r="AA294" s="645" t="s">
        <v>1594</v>
      </c>
      <c r="AB294" s="762">
        <v>26521</v>
      </c>
      <c r="AC294" s="645" t="s">
        <v>1595</v>
      </c>
      <c r="AD294" s="648">
        <v>44286</v>
      </c>
      <c r="AE294" s="648">
        <v>44561</v>
      </c>
      <c r="AF294" s="645" t="s">
        <v>1008</v>
      </c>
      <c r="AG294" s="645" t="s">
        <v>118</v>
      </c>
    </row>
    <row r="295" spans="1:33" ht="272.45" customHeight="1" x14ac:dyDescent="0.35">
      <c r="A295" s="715">
        <v>266</v>
      </c>
      <c r="B295" s="633"/>
      <c r="C295" s="633" t="s">
        <v>367</v>
      </c>
      <c r="D295" s="640">
        <v>43222815</v>
      </c>
      <c r="E295" s="641" t="s">
        <v>658</v>
      </c>
      <c r="F295" s="640" t="s">
        <v>415</v>
      </c>
      <c r="G295" s="634">
        <v>1</v>
      </c>
      <c r="H295" s="634" t="s">
        <v>80</v>
      </c>
      <c r="I295" s="637">
        <v>14</v>
      </c>
      <c r="J295" s="634" t="s">
        <v>357</v>
      </c>
      <c r="K295" s="634" t="s">
        <v>63</v>
      </c>
      <c r="L295" s="634" t="s">
        <v>416</v>
      </c>
      <c r="M295" s="758">
        <v>224000000</v>
      </c>
      <c r="N295" s="759">
        <v>110849820</v>
      </c>
      <c r="O295" s="634" t="s">
        <v>76</v>
      </c>
      <c r="P295" s="634" t="s">
        <v>77</v>
      </c>
      <c r="Q295" s="781" t="s">
        <v>397</v>
      </c>
      <c r="S295" s="644" t="s">
        <v>1688</v>
      </c>
      <c r="T295" s="645" t="s">
        <v>1689</v>
      </c>
      <c r="U295" s="646">
        <v>44340</v>
      </c>
      <c r="V295" s="645" t="s">
        <v>1690</v>
      </c>
      <c r="W295" s="647" t="s">
        <v>1171</v>
      </c>
      <c r="X295" s="770">
        <v>105303139.03</v>
      </c>
      <c r="Y295" s="771">
        <v>0</v>
      </c>
      <c r="Z295" s="770">
        <v>54581207.590000004</v>
      </c>
      <c r="AA295" s="645" t="s">
        <v>1691</v>
      </c>
      <c r="AB295" s="647">
        <v>28921</v>
      </c>
      <c r="AC295" s="645" t="s">
        <v>1692</v>
      </c>
      <c r="AD295" s="648">
        <v>44344</v>
      </c>
      <c r="AE295" s="648">
        <v>44773</v>
      </c>
      <c r="AF295" s="645" t="s">
        <v>1455</v>
      </c>
      <c r="AG295" s="645" t="s">
        <v>809</v>
      </c>
    </row>
    <row r="296" spans="1:33" ht="272.45" customHeight="1" x14ac:dyDescent="0.9">
      <c r="A296" s="715">
        <v>267</v>
      </c>
      <c r="B296" s="734"/>
      <c r="C296" s="734" t="s">
        <v>367</v>
      </c>
      <c r="D296" s="749" t="s">
        <v>1167</v>
      </c>
      <c r="E296" s="750" t="s">
        <v>659</v>
      </c>
      <c r="F296" s="749" t="s">
        <v>415</v>
      </c>
      <c r="G296" s="735">
        <v>1</v>
      </c>
      <c r="H296" s="735" t="s">
        <v>98</v>
      </c>
      <c r="I296" s="738">
        <v>9</v>
      </c>
      <c r="J296" s="735" t="s">
        <v>117</v>
      </c>
      <c r="K296" s="735" t="s">
        <v>63</v>
      </c>
      <c r="L296" s="735" t="s">
        <v>106</v>
      </c>
      <c r="M296" s="739"/>
      <c r="N296" s="740"/>
      <c r="O296" s="735" t="s">
        <v>65</v>
      </c>
      <c r="P296" s="735" t="s">
        <v>66</v>
      </c>
      <c r="Q296" s="743" t="s">
        <v>397</v>
      </c>
      <c r="S296" s="748"/>
      <c r="T296" s="748"/>
      <c r="U296" s="748"/>
      <c r="V296" s="748"/>
      <c r="W296" s="748"/>
      <c r="X296" s="777"/>
      <c r="Y296" s="777"/>
      <c r="Z296" s="777"/>
      <c r="AA296" s="748"/>
      <c r="AB296" s="748"/>
      <c r="AC296" s="748"/>
      <c r="AD296" s="648"/>
      <c r="AE296" s="648"/>
      <c r="AF296" s="748"/>
      <c r="AG296" s="748"/>
    </row>
    <row r="297" spans="1:33" ht="272.45" customHeight="1" x14ac:dyDescent="0.9">
      <c r="A297" s="715">
        <v>268</v>
      </c>
      <c r="B297" s="734"/>
      <c r="C297" s="734" t="s">
        <v>367</v>
      </c>
      <c r="D297" s="749" t="s">
        <v>684</v>
      </c>
      <c r="E297" s="750" t="s">
        <v>1462</v>
      </c>
      <c r="F297" s="749" t="s">
        <v>61</v>
      </c>
      <c r="G297" s="735">
        <v>1</v>
      </c>
      <c r="H297" s="735" t="s">
        <v>83</v>
      </c>
      <c r="I297" s="738">
        <v>1</v>
      </c>
      <c r="J297" s="735" t="s">
        <v>62</v>
      </c>
      <c r="K297" s="735" t="s">
        <v>63</v>
      </c>
      <c r="L297" s="735" t="s">
        <v>111</v>
      </c>
      <c r="M297" s="739"/>
      <c r="N297" s="740"/>
      <c r="O297" s="735" t="s">
        <v>65</v>
      </c>
      <c r="P297" s="735" t="s">
        <v>66</v>
      </c>
      <c r="Q297" s="743" t="s">
        <v>397</v>
      </c>
      <c r="S297" s="748"/>
      <c r="T297" s="748"/>
      <c r="U297" s="748"/>
      <c r="V297" s="748"/>
      <c r="W297" s="748"/>
      <c r="X297" s="777"/>
      <c r="Y297" s="777"/>
      <c r="Z297" s="777"/>
      <c r="AA297" s="748"/>
      <c r="AB297" s="748"/>
      <c r="AC297" s="748"/>
      <c r="AD297" s="648"/>
      <c r="AE297" s="648"/>
      <c r="AF297" s="748"/>
      <c r="AG297" s="748"/>
    </row>
    <row r="298" spans="1:33" ht="239.1" customHeight="1" x14ac:dyDescent="0.35">
      <c r="A298" s="715">
        <v>269</v>
      </c>
      <c r="B298" s="633"/>
      <c r="C298" s="634" t="s">
        <v>296</v>
      </c>
      <c r="D298" s="635" t="s">
        <v>702</v>
      </c>
      <c r="E298" s="636" t="s">
        <v>1157</v>
      </c>
      <c r="F298" s="633" t="s">
        <v>61</v>
      </c>
      <c r="G298" s="634">
        <v>1</v>
      </c>
      <c r="H298" s="634" t="s">
        <v>83</v>
      </c>
      <c r="I298" s="637">
        <v>1</v>
      </c>
      <c r="J298" s="634" t="s">
        <v>339</v>
      </c>
      <c r="K298" s="634" t="s">
        <v>63</v>
      </c>
      <c r="L298" s="634" t="s">
        <v>111</v>
      </c>
      <c r="M298" s="758">
        <v>300000</v>
      </c>
      <c r="N298" s="760">
        <v>300000</v>
      </c>
      <c r="O298" s="634" t="s">
        <v>65</v>
      </c>
      <c r="P298" s="634" t="s">
        <v>66</v>
      </c>
      <c r="Q298" s="638" t="s">
        <v>371</v>
      </c>
      <c r="S298" s="644" t="s">
        <v>1596</v>
      </c>
      <c r="T298" s="645" t="s">
        <v>1597</v>
      </c>
      <c r="U298" s="646">
        <v>44283</v>
      </c>
      <c r="V298" s="645" t="s">
        <v>1598</v>
      </c>
      <c r="W298" s="647" t="s">
        <v>1177</v>
      </c>
      <c r="X298" s="770">
        <v>91580</v>
      </c>
      <c r="Y298" s="771">
        <v>0</v>
      </c>
      <c r="Z298" s="770">
        <v>91580</v>
      </c>
      <c r="AA298" s="645" t="s">
        <v>1599</v>
      </c>
      <c r="AB298" s="647">
        <v>25421</v>
      </c>
      <c r="AC298" s="645" t="s">
        <v>1600</v>
      </c>
      <c r="AD298" s="648">
        <v>44284</v>
      </c>
      <c r="AE298" s="648">
        <v>44344</v>
      </c>
      <c r="AF298" s="645" t="s">
        <v>1546</v>
      </c>
      <c r="AG298" s="645" t="s">
        <v>722</v>
      </c>
    </row>
    <row r="299" spans="1:33" s="651" customFormat="1" ht="239.1" customHeight="1" x14ac:dyDescent="0.35">
      <c r="A299" s="715">
        <v>270</v>
      </c>
      <c r="B299" s="633" t="s">
        <v>1163</v>
      </c>
      <c r="C299" s="634" t="s">
        <v>302</v>
      </c>
      <c r="D299" s="677">
        <v>80101706</v>
      </c>
      <c r="E299" s="641" t="s">
        <v>1164</v>
      </c>
      <c r="F299" s="633" t="s">
        <v>61</v>
      </c>
      <c r="G299" s="634">
        <v>1</v>
      </c>
      <c r="H299" s="634" t="s">
        <v>98</v>
      </c>
      <c r="I299" s="637">
        <v>10</v>
      </c>
      <c r="J299" s="634" t="s">
        <v>283</v>
      </c>
      <c r="K299" s="634" t="s">
        <v>100</v>
      </c>
      <c r="L299" s="634" t="s">
        <v>362</v>
      </c>
      <c r="M299" s="758">
        <v>47351040</v>
      </c>
      <c r="N299" s="758">
        <v>47351040</v>
      </c>
      <c r="O299" s="634" t="s">
        <v>65</v>
      </c>
      <c r="P299" s="634" t="s">
        <v>66</v>
      </c>
      <c r="Q299" s="781" t="s">
        <v>1165</v>
      </c>
      <c r="R299" s="658"/>
      <c r="S299" s="644" t="s">
        <v>1518</v>
      </c>
      <c r="T299" s="645" t="s">
        <v>1519</v>
      </c>
      <c r="U299" s="646">
        <v>44252</v>
      </c>
      <c r="V299" s="645" t="s">
        <v>1496</v>
      </c>
      <c r="W299" s="647" t="s">
        <v>714</v>
      </c>
      <c r="X299" s="770">
        <v>45637680</v>
      </c>
      <c r="Y299" s="772">
        <v>0</v>
      </c>
      <c r="Z299" s="770">
        <v>45637680</v>
      </c>
      <c r="AA299" s="645" t="s">
        <v>1520</v>
      </c>
      <c r="AB299" s="647">
        <v>25721</v>
      </c>
      <c r="AC299" s="645" t="s">
        <v>708</v>
      </c>
      <c r="AD299" s="648">
        <v>44253</v>
      </c>
      <c r="AE299" s="648">
        <v>44550</v>
      </c>
      <c r="AF299" s="645" t="s">
        <v>1498</v>
      </c>
      <c r="AG299" s="645" t="s">
        <v>302</v>
      </c>
    </row>
    <row r="300" spans="1:33" s="651" customFormat="1" ht="239.1" customHeight="1" x14ac:dyDescent="0.35">
      <c r="A300" s="715">
        <v>271</v>
      </c>
      <c r="B300" s="633" t="s">
        <v>379</v>
      </c>
      <c r="C300" s="633" t="s">
        <v>303</v>
      </c>
      <c r="D300" s="640">
        <v>80101706</v>
      </c>
      <c r="E300" s="641" t="s">
        <v>1465</v>
      </c>
      <c r="F300" s="633" t="s">
        <v>61</v>
      </c>
      <c r="G300" s="633">
        <v>1</v>
      </c>
      <c r="H300" s="633" t="s">
        <v>83</v>
      </c>
      <c r="I300" s="633">
        <v>6</v>
      </c>
      <c r="J300" s="633" t="s">
        <v>283</v>
      </c>
      <c r="K300" s="633" t="s">
        <v>100</v>
      </c>
      <c r="L300" s="633" t="s">
        <v>378</v>
      </c>
      <c r="M300" s="761">
        <v>42000000</v>
      </c>
      <c r="N300" s="761">
        <v>42000000</v>
      </c>
      <c r="O300" s="633" t="s">
        <v>65</v>
      </c>
      <c r="P300" s="633" t="s">
        <v>66</v>
      </c>
      <c r="Q300" s="781" t="s">
        <v>394</v>
      </c>
      <c r="R300" s="658"/>
      <c r="S300" s="644" t="s">
        <v>1521</v>
      </c>
      <c r="T300" s="645" t="s">
        <v>1522</v>
      </c>
      <c r="U300" s="646">
        <v>44258</v>
      </c>
      <c r="V300" s="645" t="s">
        <v>1523</v>
      </c>
      <c r="W300" s="647" t="s">
        <v>714</v>
      </c>
      <c r="X300" s="770">
        <v>41766666</v>
      </c>
      <c r="Y300" s="772">
        <v>0</v>
      </c>
      <c r="Z300" s="770">
        <v>41766666</v>
      </c>
      <c r="AA300" s="645" t="s">
        <v>1524</v>
      </c>
      <c r="AB300" s="647">
        <v>26221</v>
      </c>
      <c r="AC300" s="645" t="s">
        <v>1525</v>
      </c>
      <c r="AD300" s="648">
        <v>44259</v>
      </c>
      <c r="AE300" s="648">
        <v>44441</v>
      </c>
      <c r="AF300" s="645" t="s">
        <v>1526</v>
      </c>
      <c r="AG300" s="645" t="s">
        <v>303</v>
      </c>
    </row>
    <row r="301" spans="1:33" s="651" customFormat="1" ht="239.1" customHeight="1" x14ac:dyDescent="0.35">
      <c r="A301" s="715">
        <v>272</v>
      </c>
      <c r="B301" s="633" t="s">
        <v>379</v>
      </c>
      <c r="C301" s="633" t="s">
        <v>303</v>
      </c>
      <c r="D301" s="640">
        <v>80101706</v>
      </c>
      <c r="E301" s="641" t="s">
        <v>1466</v>
      </c>
      <c r="F301" s="633" t="s">
        <v>61</v>
      </c>
      <c r="G301" s="633">
        <v>1</v>
      </c>
      <c r="H301" s="633" t="s">
        <v>83</v>
      </c>
      <c r="I301" s="633">
        <v>9.5</v>
      </c>
      <c r="J301" s="633" t="s">
        <v>283</v>
      </c>
      <c r="K301" s="633" t="s">
        <v>100</v>
      </c>
      <c r="L301" s="633" t="s">
        <v>378</v>
      </c>
      <c r="M301" s="761">
        <v>17652800</v>
      </c>
      <c r="N301" s="761">
        <v>17652800</v>
      </c>
      <c r="O301" s="633" t="s">
        <v>65</v>
      </c>
      <c r="P301" s="633" t="s">
        <v>66</v>
      </c>
      <c r="Q301" s="781" t="s">
        <v>394</v>
      </c>
      <c r="R301" s="658"/>
      <c r="S301" s="644" t="s">
        <v>1601</v>
      </c>
      <c r="T301" s="645" t="s">
        <v>1602</v>
      </c>
      <c r="U301" s="646">
        <v>44279</v>
      </c>
      <c r="V301" s="645" t="s">
        <v>1603</v>
      </c>
      <c r="W301" s="647" t="s">
        <v>706</v>
      </c>
      <c r="X301" s="770">
        <v>15652149</v>
      </c>
      <c r="Y301" s="771">
        <v>0</v>
      </c>
      <c r="Z301" s="770">
        <v>15652149</v>
      </c>
      <c r="AA301" s="645" t="s">
        <v>1604</v>
      </c>
      <c r="AB301" s="647">
        <v>26721</v>
      </c>
      <c r="AC301" s="645" t="s">
        <v>708</v>
      </c>
      <c r="AD301" s="648">
        <v>44279</v>
      </c>
      <c r="AE301" s="648">
        <v>44550</v>
      </c>
      <c r="AF301" s="645" t="s">
        <v>803</v>
      </c>
      <c r="AG301" s="645" t="s">
        <v>303</v>
      </c>
    </row>
    <row r="302" spans="1:33" s="651" customFormat="1" ht="239.1" customHeight="1" x14ac:dyDescent="0.35">
      <c r="A302" s="715">
        <v>273</v>
      </c>
      <c r="B302" s="633" t="s">
        <v>403</v>
      </c>
      <c r="C302" s="633" t="s">
        <v>120</v>
      </c>
      <c r="D302" s="640">
        <v>80101706</v>
      </c>
      <c r="E302" s="641" t="s">
        <v>1467</v>
      </c>
      <c r="F302" s="633" t="s">
        <v>61</v>
      </c>
      <c r="G302" s="633">
        <v>1</v>
      </c>
      <c r="H302" s="633" t="s">
        <v>83</v>
      </c>
      <c r="I302" s="633">
        <v>5</v>
      </c>
      <c r="J302" s="633" t="s">
        <v>283</v>
      </c>
      <c r="K302" s="633" t="s">
        <v>100</v>
      </c>
      <c r="L302" s="633" t="s">
        <v>378</v>
      </c>
      <c r="M302" s="761">
        <v>70000000</v>
      </c>
      <c r="N302" s="761">
        <v>70000000</v>
      </c>
      <c r="O302" s="633" t="s">
        <v>65</v>
      </c>
      <c r="P302" s="633" t="s">
        <v>66</v>
      </c>
      <c r="Q302" s="782" t="s">
        <v>411</v>
      </c>
      <c r="R302" s="658"/>
      <c r="S302" s="644" t="s">
        <v>1536</v>
      </c>
      <c r="T302" s="645" t="s">
        <v>1537</v>
      </c>
      <c r="U302" s="646">
        <v>44271</v>
      </c>
      <c r="V302" s="645" t="s">
        <v>1538</v>
      </c>
      <c r="W302" s="647" t="s">
        <v>714</v>
      </c>
      <c r="X302" s="770">
        <v>70000000</v>
      </c>
      <c r="Y302" s="771">
        <v>0</v>
      </c>
      <c r="Z302" s="770">
        <v>70000000</v>
      </c>
      <c r="AA302" s="645" t="s">
        <v>1539</v>
      </c>
      <c r="AB302" s="647">
        <v>27021</v>
      </c>
      <c r="AC302" s="645" t="s">
        <v>1540</v>
      </c>
      <c r="AD302" s="648">
        <v>44271</v>
      </c>
      <c r="AE302" s="648">
        <v>44424</v>
      </c>
      <c r="AF302" s="645" t="s">
        <v>1428</v>
      </c>
      <c r="AG302" s="645" t="s">
        <v>120</v>
      </c>
    </row>
    <row r="303" spans="1:33" s="651" customFormat="1" ht="239.1" customHeight="1" x14ac:dyDescent="0.35">
      <c r="A303" s="715">
        <v>274</v>
      </c>
      <c r="B303" s="633" t="s">
        <v>1163</v>
      </c>
      <c r="C303" s="634" t="s">
        <v>302</v>
      </c>
      <c r="D303" s="677">
        <v>80101706</v>
      </c>
      <c r="E303" s="641" t="s">
        <v>1470</v>
      </c>
      <c r="F303" s="633" t="s">
        <v>61</v>
      </c>
      <c r="G303" s="634">
        <v>1</v>
      </c>
      <c r="H303" s="634" t="s">
        <v>83</v>
      </c>
      <c r="I303" s="637">
        <v>3</v>
      </c>
      <c r="J303" s="634" t="s">
        <v>283</v>
      </c>
      <c r="K303" s="634" t="s">
        <v>100</v>
      </c>
      <c r="L303" s="634" t="s">
        <v>362</v>
      </c>
      <c r="M303" s="758">
        <v>7788000</v>
      </c>
      <c r="N303" s="758">
        <v>7788000</v>
      </c>
      <c r="O303" s="634" t="s">
        <v>65</v>
      </c>
      <c r="P303" s="634" t="s">
        <v>66</v>
      </c>
      <c r="Q303" s="781" t="s">
        <v>1165</v>
      </c>
      <c r="R303" s="658"/>
      <c r="S303" s="644" t="s">
        <v>1605</v>
      </c>
      <c r="T303" s="645" t="s">
        <v>1606</v>
      </c>
      <c r="U303" s="646">
        <v>44274</v>
      </c>
      <c r="V303" s="645" t="s">
        <v>1607</v>
      </c>
      <c r="W303" s="647" t="s">
        <v>714</v>
      </c>
      <c r="X303" s="770">
        <v>7788000</v>
      </c>
      <c r="Y303" s="771">
        <v>0</v>
      </c>
      <c r="Z303" s="770">
        <v>7788000</v>
      </c>
      <c r="AA303" s="645" t="s">
        <v>1608</v>
      </c>
      <c r="AB303" s="647">
        <v>27521</v>
      </c>
      <c r="AC303" s="645" t="s">
        <v>1609</v>
      </c>
      <c r="AD303" s="648">
        <v>44278</v>
      </c>
      <c r="AE303" s="648">
        <v>44369</v>
      </c>
      <c r="AF303" s="645" t="s">
        <v>1610</v>
      </c>
      <c r="AG303" s="645" t="s">
        <v>1611</v>
      </c>
    </row>
    <row r="304" spans="1:33" s="651" customFormat="1" ht="239.1" customHeight="1" x14ac:dyDescent="0.9">
      <c r="A304" s="715">
        <v>275</v>
      </c>
      <c r="B304" s="734"/>
      <c r="C304" s="734" t="s">
        <v>296</v>
      </c>
      <c r="D304" s="736" t="s">
        <v>1627</v>
      </c>
      <c r="E304" s="737" t="s">
        <v>1535</v>
      </c>
      <c r="F304" s="734" t="s">
        <v>61</v>
      </c>
      <c r="G304" s="735">
        <v>1</v>
      </c>
      <c r="H304" s="735" t="s">
        <v>69</v>
      </c>
      <c r="I304" s="738">
        <v>1</v>
      </c>
      <c r="J304" s="735" t="s">
        <v>1471</v>
      </c>
      <c r="K304" s="735" t="s">
        <v>63</v>
      </c>
      <c r="L304" s="735" t="s">
        <v>73</v>
      </c>
      <c r="M304" s="718"/>
      <c r="N304" s="719"/>
      <c r="O304" s="751" t="s">
        <v>65</v>
      </c>
      <c r="P304" s="751" t="s">
        <v>66</v>
      </c>
      <c r="Q304" s="752" t="s">
        <v>371</v>
      </c>
      <c r="R304" s="658"/>
      <c r="X304" s="778"/>
      <c r="Y304" s="778"/>
      <c r="Z304" s="778"/>
      <c r="AD304" s="648"/>
      <c r="AE304" s="648"/>
    </row>
    <row r="305" spans="1:33" s="651" customFormat="1" ht="239.1" customHeight="1" x14ac:dyDescent="0.35">
      <c r="A305" s="715">
        <v>276</v>
      </c>
      <c r="B305" s="633" t="s">
        <v>384</v>
      </c>
      <c r="C305" s="642" t="s">
        <v>300</v>
      </c>
      <c r="D305" s="640">
        <v>80101706</v>
      </c>
      <c r="E305" s="641" t="s">
        <v>1624</v>
      </c>
      <c r="F305" s="640" t="s">
        <v>61</v>
      </c>
      <c r="G305" s="634">
        <v>1</v>
      </c>
      <c r="H305" s="634" t="s">
        <v>80</v>
      </c>
      <c r="I305" s="637">
        <v>7.8</v>
      </c>
      <c r="J305" s="638" t="s">
        <v>92</v>
      </c>
      <c r="K305" s="634" t="s">
        <v>100</v>
      </c>
      <c r="L305" s="634" t="s">
        <v>378</v>
      </c>
      <c r="M305" s="758">
        <v>36774316</v>
      </c>
      <c r="N305" s="758">
        <v>36774316</v>
      </c>
      <c r="O305" s="634" t="s">
        <v>65</v>
      </c>
      <c r="P305" s="634" t="s">
        <v>66</v>
      </c>
      <c r="Q305" s="781" t="s">
        <v>399</v>
      </c>
      <c r="R305" s="658"/>
      <c r="S305" s="644" t="s">
        <v>1634</v>
      </c>
      <c r="T305" s="645" t="s">
        <v>1635</v>
      </c>
      <c r="U305" s="646">
        <v>44319</v>
      </c>
      <c r="V305" s="645" t="s">
        <v>1636</v>
      </c>
      <c r="W305" s="647" t="s">
        <v>714</v>
      </c>
      <c r="X305" s="770">
        <v>35340000</v>
      </c>
      <c r="Y305" s="771">
        <v>0</v>
      </c>
      <c r="Z305" s="770">
        <v>35340000</v>
      </c>
      <c r="AA305" s="645" t="s">
        <v>1637</v>
      </c>
      <c r="AB305" s="647">
        <v>29221</v>
      </c>
      <c r="AC305" s="645" t="s">
        <v>1638</v>
      </c>
      <c r="AD305" s="648">
        <v>44320</v>
      </c>
      <c r="AE305" s="648">
        <v>44551</v>
      </c>
      <c r="AF305" s="645" t="s">
        <v>827</v>
      </c>
      <c r="AG305" s="645" t="s">
        <v>828</v>
      </c>
    </row>
    <row r="306" spans="1:33" s="651" customFormat="1" ht="312.60000000000002" customHeight="1" x14ac:dyDescent="0.35">
      <c r="A306" s="715">
        <v>277</v>
      </c>
      <c r="B306" s="683"/>
      <c r="C306" s="634" t="s">
        <v>292</v>
      </c>
      <c r="D306" s="635" t="s">
        <v>95</v>
      </c>
      <c r="E306" s="636" t="s">
        <v>1625</v>
      </c>
      <c r="F306" s="633" t="s">
        <v>61</v>
      </c>
      <c r="G306" s="634">
        <v>1</v>
      </c>
      <c r="H306" s="634" t="s">
        <v>69</v>
      </c>
      <c r="I306" s="637">
        <v>7</v>
      </c>
      <c r="J306" s="634" t="s">
        <v>70</v>
      </c>
      <c r="K306" s="634" t="s">
        <v>63</v>
      </c>
      <c r="L306" s="634" t="s">
        <v>96</v>
      </c>
      <c r="M306" s="758">
        <v>165860000</v>
      </c>
      <c r="N306" s="758">
        <v>165860000</v>
      </c>
      <c r="O306" s="634" t="s">
        <v>65</v>
      </c>
      <c r="P306" s="634" t="s">
        <v>66</v>
      </c>
      <c r="Q306" s="638" t="s">
        <v>67</v>
      </c>
      <c r="R306" s="658"/>
      <c r="S306" s="644" t="s">
        <v>1683</v>
      </c>
      <c r="T306" s="645" t="s">
        <v>1684</v>
      </c>
      <c r="U306" s="646">
        <v>44347</v>
      </c>
      <c r="V306" s="645" t="s">
        <v>1685</v>
      </c>
      <c r="W306" s="647" t="s">
        <v>1452</v>
      </c>
      <c r="X306" s="770">
        <v>115669337.23999999</v>
      </c>
      <c r="Y306" s="771">
        <v>0</v>
      </c>
      <c r="Z306" s="770">
        <v>115669337.23999999</v>
      </c>
      <c r="AA306" s="645" t="s">
        <v>1686</v>
      </c>
      <c r="AB306" s="647">
        <v>22921</v>
      </c>
      <c r="AC306" s="645" t="s">
        <v>1687</v>
      </c>
      <c r="AD306" s="648">
        <v>44347</v>
      </c>
      <c r="AE306" s="648">
        <v>44551</v>
      </c>
      <c r="AF306" s="645" t="s">
        <v>1652</v>
      </c>
      <c r="AG306" s="645" t="s">
        <v>710</v>
      </c>
    </row>
    <row r="307" spans="1:33" s="651" customFormat="1" ht="239.1" customHeight="1" x14ac:dyDescent="0.35">
      <c r="A307" s="715">
        <v>278</v>
      </c>
      <c r="B307" s="683"/>
      <c r="C307" s="634" t="s">
        <v>296</v>
      </c>
      <c r="D307" s="635" t="s">
        <v>1633</v>
      </c>
      <c r="E307" s="636" t="s">
        <v>1632</v>
      </c>
      <c r="F307" s="633" t="s">
        <v>61</v>
      </c>
      <c r="G307" s="634">
        <v>1</v>
      </c>
      <c r="H307" s="634" t="s">
        <v>105</v>
      </c>
      <c r="I307" s="637">
        <v>1</v>
      </c>
      <c r="J307" s="634" t="s">
        <v>1629</v>
      </c>
      <c r="K307" s="634" t="s">
        <v>63</v>
      </c>
      <c r="L307" s="634" t="s">
        <v>103</v>
      </c>
      <c r="M307" s="758">
        <v>12000000</v>
      </c>
      <c r="N307" s="758">
        <v>12000000</v>
      </c>
      <c r="O307" s="634" t="s">
        <v>65</v>
      </c>
      <c r="P307" s="634" t="s">
        <v>66</v>
      </c>
      <c r="Q307" s="638" t="s">
        <v>67</v>
      </c>
      <c r="R307" s="658"/>
      <c r="S307" s="644" t="s">
        <v>2069</v>
      </c>
      <c r="T307" s="645" t="s">
        <v>2070</v>
      </c>
      <c r="U307" s="646">
        <v>44543</v>
      </c>
      <c r="V307" s="645" t="s">
        <v>2071</v>
      </c>
      <c r="W307" s="647" t="s">
        <v>1171</v>
      </c>
      <c r="X307" s="770">
        <v>8954882</v>
      </c>
      <c r="Y307" s="771">
        <v>0</v>
      </c>
      <c r="Z307" s="770">
        <v>8954882</v>
      </c>
      <c r="AA307" s="645" t="s">
        <v>2072</v>
      </c>
      <c r="AB307" s="828" t="s">
        <v>2173</v>
      </c>
      <c r="AC307" s="645" t="s">
        <v>2073</v>
      </c>
      <c r="AD307" s="648">
        <v>44543</v>
      </c>
      <c r="AE307" s="648">
        <v>44558</v>
      </c>
      <c r="AF307" s="645" t="s">
        <v>1832</v>
      </c>
      <c r="AG307" s="645" t="s">
        <v>722</v>
      </c>
    </row>
    <row r="308" spans="1:33" s="651" customFormat="1" ht="239.1" customHeight="1" x14ac:dyDescent="0.9">
      <c r="A308" s="955">
        <v>279</v>
      </c>
      <c r="B308" s="964"/>
      <c r="C308" s="811" t="s">
        <v>367</v>
      </c>
      <c r="D308" s="811" t="s">
        <v>1630</v>
      </c>
      <c r="E308" s="814" t="s">
        <v>1631</v>
      </c>
      <c r="F308" s="811" t="s">
        <v>61</v>
      </c>
      <c r="G308" s="811">
        <v>1</v>
      </c>
      <c r="H308" s="812" t="s">
        <v>85</v>
      </c>
      <c r="I308" s="815">
        <v>1</v>
      </c>
      <c r="J308" s="811" t="s">
        <v>117</v>
      </c>
      <c r="K308" s="811" t="s">
        <v>100</v>
      </c>
      <c r="L308" s="812" t="s">
        <v>378</v>
      </c>
      <c r="M308" s="948"/>
      <c r="N308" s="948"/>
      <c r="O308" s="811" t="s">
        <v>65</v>
      </c>
      <c r="P308" s="811" t="s">
        <v>66</v>
      </c>
      <c r="Q308" s="814" t="s">
        <v>397</v>
      </c>
      <c r="R308" s="658"/>
      <c r="X308" s="778"/>
      <c r="Y308" s="778"/>
      <c r="Z308" s="778"/>
      <c r="AD308" s="648"/>
      <c r="AE308" s="648"/>
    </row>
    <row r="309" spans="1:33" s="651" customFormat="1" ht="239.1" customHeight="1" x14ac:dyDescent="0.35">
      <c r="A309" s="715">
        <v>280</v>
      </c>
      <c r="B309" s="633" t="s">
        <v>384</v>
      </c>
      <c r="C309" s="642" t="s">
        <v>301</v>
      </c>
      <c r="D309" s="640">
        <v>80101706</v>
      </c>
      <c r="E309" s="641" t="s">
        <v>1640</v>
      </c>
      <c r="F309" s="640" t="s">
        <v>61</v>
      </c>
      <c r="G309" s="634">
        <v>1</v>
      </c>
      <c r="H309" s="634" t="s">
        <v>72</v>
      </c>
      <c r="I309" s="637">
        <v>6</v>
      </c>
      <c r="J309" s="638" t="s">
        <v>92</v>
      </c>
      <c r="K309" s="634" t="s">
        <v>100</v>
      </c>
      <c r="L309" s="634" t="s">
        <v>378</v>
      </c>
      <c r="M309" s="758">
        <v>17445120</v>
      </c>
      <c r="N309" s="758">
        <v>17445120</v>
      </c>
      <c r="O309" s="634" t="s">
        <v>65</v>
      </c>
      <c r="P309" s="634" t="s">
        <v>66</v>
      </c>
      <c r="Q309" s="781" t="s">
        <v>1641</v>
      </c>
      <c r="R309" s="658"/>
      <c r="S309" s="644" t="s">
        <v>1674</v>
      </c>
      <c r="T309" s="645" t="s">
        <v>1114</v>
      </c>
      <c r="U309" s="646">
        <v>44368</v>
      </c>
      <c r="V309" s="645" t="s">
        <v>1675</v>
      </c>
      <c r="W309" s="647" t="s">
        <v>714</v>
      </c>
      <c r="X309" s="770">
        <v>17400000</v>
      </c>
      <c r="Y309" s="771">
        <v>0</v>
      </c>
      <c r="Z309" s="770">
        <v>17400000</v>
      </c>
      <c r="AA309" s="645" t="s">
        <v>1676</v>
      </c>
      <c r="AB309" s="647">
        <v>30821</v>
      </c>
      <c r="AC309" s="645" t="s">
        <v>1677</v>
      </c>
      <c r="AD309" s="648">
        <v>44369</v>
      </c>
      <c r="AE309" s="648">
        <v>44551</v>
      </c>
      <c r="AF309" s="645" t="s">
        <v>1678</v>
      </c>
      <c r="AG309" s="645" t="s">
        <v>301</v>
      </c>
    </row>
    <row r="310" spans="1:33" s="651" customFormat="1" ht="239.1" customHeight="1" x14ac:dyDescent="0.9">
      <c r="A310" s="715">
        <v>281</v>
      </c>
      <c r="B310" s="811"/>
      <c r="C310" s="812" t="s">
        <v>292</v>
      </c>
      <c r="D310" s="813" t="s">
        <v>109</v>
      </c>
      <c r="E310" s="814" t="s">
        <v>1645</v>
      </c>
      <c r="F310" s="811" t="s">
        <v>61</v>
      </c>
      <c r="G310" s="812">
        <v>1</v>
      </c>
      <c r="H310" s="812" t="s">
        <v>1968</v>
      </c>
      <c r="I310" s="815">
        <v>3</v>
      </c>
      <c r="J310" s="812" t="s">
        <v>81</v>
      </c>
      <c r="K310" s="812" t="s">
        <v>63</v>
      </c>
      <c r="L310" s="812" t="s">
        <v>110</v>
      </c>
      <c r="M310" s="816"/>
      <c r="N310" s="816"/>
      <c r="O310" s="812" t="s">
        <v>65</v>
      </c>
      <c r="P310" s="812" t="s">
        <v>66</v>
      </c>
      <c r="Q310" s="826" t="s">
        <v>67</v>
      </c>
      <c r="R310" s="658"/>
      <c r="X310" s="778"/>
      <c r="Y310" s="778"/>
      <c r="Z310" s="778"/>
      <c r="AD310" s="648"/>
      <c r="AE310" s="648"/>
    </row>
    <row r="311" spans="1:33" ht="231" customHeight="1" x14ac:dyDescent="0.9">
      <c r="A311" s="753">
        <v>282</v>
      </c>
      <c r="B311" s="811" t="s">
        <v>400</v>
      </c>
      <c r="C311" s="812" t="s">
        <v>282</v>
      </c>
      <c r="D311" s="813">
        <v>80101706</v>
      </c>
      <c r="E311" s="814" t="s">
        <v>1646</v>
      </c>
      <c r="F311" s="811" t="s">
        <v>61</v>
      </c>
      <c r="G311" s="812">
        <v>1</v>
      </c>
      <c r="H311" s="812" t="s">
        <v>105</v>
      </c>
      <c r="I311" s="815">
        <v>2.5</v>
      </c>
      <c r="J311" s="812" t="s">
        <v>92</v>
      </c>
      <c r="K311" s="812" t="s">
        <v>100</v>
      </c>
      <c r="L311" s="812" t="s">
        <v>362</v>
      </c>
      <c r="M311" s="816"/>
      <c r="N311" s="915"/>
      <c r="O311" s="812" t="s">
        <v>65</v>
      </c>
      <c r="P311" s="812" t="s">
        <v>66</v>
      </c>
      <c r="Q311" s="826" t="s">
        <v>363</v>
      </c>
      <c r="S311" s="25"/>
      <c r="T311" s="25"/>
      <c r="U311" s="25"/>
      <c r="V311" s="25"/>
      <c r="W311" s="25"/>
      <c r="X311" s="779"/>
      <c r="Y311" s="779"/>
      <c r="Z311" s="779"/>
      <c r="AA311" s="25"/>
      <c r="AB311" s="25"/>
      <c r="AC311" s="25"/>
      <c r="AD311" s="648"/>
      <c r="AE311" s="648"/>
      <c r="AF311" s="25"/>
      <c r="AG311" s="25"/>
    </row>
    <row r="312" spans="1:33" ht="337.5" x14ac:dyDescent="0.35">
      <c r="A312" s="715">
        <v>283</v>
      </c>
      <c r="B312" s="633" t="s">
        <v>401</v>
      </c>
      <c r="C312" s="642" t="s">
        <v>282</v>
      </c>
      <c r="D312" s="640">
        <v>80101706</v>
      </c>
      <c r="E312" s="641" t="s">
        <v>1642</v>
      </c>
      <c r="F312" s="640" t="s">
        <v>61</v>
      </c>
      <c r="G312" s="634">
        <v>1</v>
      </c>
      <c r="H312" s="634" t="s">
        <v>72</v>
      </c>
      <c r="I312" s="637">
        <v>6</v>
      </c>
      <c r="J312" s="638" t="s">
        <v>92</v>
      </c>
      <c r="K312" s="634" t="s">
        <v>100</v>
      </c>
      <c r="L312" s="634" t="s">
        <v>362</v>
      </c>
      <c r="M312" s="758">
        <v>42491328</v>
      </c>
      <c r="N312" s="760">
        <v>42491328</v>
      </c>
      <c r="O312" s="634" t="s">
        <v>65</v>
      </c>
      <c r="P312" s="634" t="s">
        <v>66</v>
      </c>
      <c r="Q312" s="781" t="s">
        <v>363</v>
      </c>
      <c r="S312" s="644" t="s">
        <v>1679</v>
      </c>
      <c r="T312" s="645" t="s">
        <v>1680</v>
      </c>
      <c r="U312" s="646">
        <v>44365</v>
      </c>
      <c r="V312" s="645" t="s">
        <v>1511</v>
      </c>
      <c r="W312" s="647" t="s">
        <v>714</v>
      </c>
      <c r="X312" s="770">
        <v>41120640</v>
      </c>
      <c r="Y312" s="771">
        <v>0</v>
      </c>
      <c r="Z312" s="770">
        <v>41120640</v>
      </c>
      <c r="AA312" s="645" t="s">
        <v>1681</v>
      </c>
      <c r="AB312" s="679" t="s">
        <v>1767</v>
      </c>
      <c r="AC312" s="645" t="s">
        <v>1682</v>
      </c>
      <c r="AD312" s="648">
        <v>44368</v>
      </c>
      <c r="AE312" s="648">
        <v>44550</v>
      </c>
      <c r="AF312" s="645" t="s">
        <v>836</v>
      </c>
      <c r="AG312" s="645" t="s">
        <v>282</v>
      </c>
    </row>
    <row r="313" spans="1:33" ht="318.75" x14ac:dyDescent="0.35">
      <c r="A313" s="715">
        <v>284</v>
      </c>
      <c r="B313" s="633" t="s">
        <v>395</v>
      </c>
      <c r="C313" s="634" t="s">
        <v>367</v>
      </c>
      <c r="D313" s="635">
        <v>80101706</v>
      </c>
      <c r="E313" s="636" t="s">
        <v>1768</v>
      </c>
      <c r="F313" s="633" t="s">
        <v>61</v>
      </c>
      <c r="G313" s="634">
        <v>1</v>
      </c>
      <c r="H313" s="634" t="s">
        <v>85</v>
      </c>
      <c r="I313" s="637">
        <v>3</v>
      </c>
      <c r="J313" s="634" t="s">
        <v>92</v>
      </c>
      <c r="K313" s="634" t="s">
        <v>100</v>
      </c>
      <c r="L313" s="634" t="s">
        <v>396</v>
      </c>
      <c r="M313" s="758">
        <v>27326535</v>
      </c>
      <c r="N313" s="758">
        <v>27326535</v>
      </c>
      <c r="O313" s="760" t="s">
        <v>65</v>
      </c>
      <c r="P313" s="634" t="s">
        <v>66</v>
      </c>
      <c r="Q313" s="634" t="s">
        <v>397</v>
      </c>
      <c r="S313" s="644" t="s">
        <v>1926</v>
      </c>
      <c r="T313" s="645" t="s">
        <v>1927</v>
      </c>
      <c r="U313" s="646">
        <v>44470</v>
      </c>
      <c r="V313" s="645" t="s">
        <v>1928</v>
      </c>
      <c r="W313" s="647" t="s">
        <v>714</v>
      </c>
      <c r="X313" s="770">
        <v>23682997</v>
      </c>
      <c r="Y313" s="771">
        <v>0</v>
      </c>
      <c r="Z313" s="770">
        <v>23682997</v>
      </c>
      <c r="AA313" s="645" t="s">
        <v>1929</v>
      </c>
      <c r="AB313" s="828" t="s">
        <v>2174</v>
      </c>
      <c r="AC313" s="645" t="s">
        <v>1930</v>
      </c>
      <c r="AD313" s="648">
        <v>44474</v>
      </c>
      <c r="AE313" s="648">
        <v>44551</v>
      </c>
      <c r="AF313" s="645" t="s">
        <v>819</v>
      </c>
      <c r="AG313" s="645" t="s">
        <v>809</v>
      </c>
    </row>
    <row r="314" spans="1:33" ht="272.45" customHeight="1" x14ac:dyDescent="0.35">
      <c r="A314" s="715">
        <v>285</v>
      </c>
      <c r="B314" s="633"/>
      <c r="C314" s="642" t="s">
        <v>118</v>
      </c>
      <c r="D314" s="640" t="s">
        <v>1709</v>
      </c>
      <c r="E314" s="641" t="s">
        <v>1710</v>
      </c>
      <c r="F314" s="783" t="s">
        <v>61</v>
      </c>
      <c r="G314" s="783">
        <v>1</v>
      </c>
      <c r="H314" s="634" t="s">
        <v>74</v>
      </c>
      <c r="I314" s="637">
        <v>4</v>
      </c>
      <c r="J314" s="638" t="s">
        <v>81</v>
      </c>
      <c r="K314" s="634" t="s">
        <v>100</v>
      </c>
      <c r="L314" s="634" t="s">
        <v>378</v>
      </c>
      <c r="M314" s="758">
        <v>24500000</v>
      </c>
      <c r="N314" s="758">
        <v>24500000</v>
      </c>
      <c r="O314" s="634" t="s">
        <v>65</v>
      </c>
      <c r="P314" s="634" t="s">
        <v>66</v>
      </c>
      <c r="Q314" s="781" t="s">
        <v>1463</v>
      </c>
      <c r="R314" s="697"/>
      <c r="S314" s="633" t="s">
        <v>1849</v>
      </c>
      <c r="T314" s="663" t="s">
        <v>1850</v>
      </c>
      <c r="U314" s="664">
        <v>44447</v>
      </c>
      <c r="V314" s="645" t="s">
        <v>1851</v>
      </c>
      <c r="W314" s="647" t="s">
        <v>1452</v>
      </c>
      <c r="X314" s="773">
        <v>8275855</v>
      </c>
      <c r="Y314" s="771">
        <v>0</v>
      </c>
      <c r="Z314" s="773">
        <v>8275855</v>
      </c>
      <c r="AA314" s="645" t="s">
        <v>1852</v>
      </c>
      <c r="AB314" s="762">
        <v>32521</v>
      </c>
      <c r="AC314" s="645" t="s">
        <v>1853</v>
      </c>
      <c r="AD314" s="648">
        <v>44448</v>
      </c>
      <c r="AE314" s="648">
        <v>44554</v>
      </c>
      <c r="AF314" s="645" t="s">
        <v>1008</v>
      </c>
      <c r="AG314" s="645" t="s">
        <v>118</v>
      </c>
    </row>
    <row r="315" spans="1:33" ht="201.75" customHeight="1" x14ac:dyDescent="0.35">
      <c r="A315" s="715">
        <v>286</v>
      </c>
      <c r="B315" s="633" t="s">
        <v>1769</v>
      </c>
      <c r="C315" s="642" t="s">
        <v>778</v>
      </c>
      <c r="D315" s="640">
        <v>80101706</v>
      </c>
      <c r="E315" s="641" t="s">
        <v>1711</v>
      </c>
      <c r="F315" s="783" t="s">
        <v>61</v>
      </c>
      <c r="G315" s="783">
        <v>1</v>
      </c>
      <c r="H315" s="634" t="s">
        <v>74</v>
      </c>
      <c r="I315" s="637">
        <v>4</v>
      </c>
      <c r="J315" s="638" t="s">
        <v>92</v>
      </c>
      <c r="K315" s="634" t="s">
        <v>100</v>
      </c>
      <c r="L315" s="634" t="s">
        <v>378</v>
      </c>
      <c r="M315" s="758">
        <v>36667000</v>
      </c>
      <c r="N315" s="758">
        <v>36667000</v>
      </c>
      <c r="O315" s="634" t="s">
        <v>65</v>
      </c>
      <c r="P315" s="634" t="s">
        <v>66</v>
      </c>
      <c r="Q315" s="781" t="s">
        <v>1718</v>
      </c>
      <c r="R315" s="697"/>
      <c r="S315" s="633" t="s">
        <v>1854</v>
      </c>
      <c r="T315" s="663" t="s">
        <v>1855</v>
      </c>
      <c r="U315" s="664">
        <v>44439</v>
      </c>
      <c r="V315" s="645" t="s">
        <v>1856</v>
      </c>
      <c r="W315" s="647" t="s">
        <v>714</v>
      </c>
      <c r="X315" s="773">
        <v>32266666</v>
      </c>
      <c r="Y315" s="771">
        <v>0</v>
      </c>
      <c r="Z315" s="773">
        <v>32266666</v>
      </c>
      <c r="AA315" s="645" t="s">
        <v>1857</v>
      </c>
      <c r="AB315" s="762">
        <v>33821</v>
      </c>
      <c r="AC315" s="645" t="s">
        <v>1858</v>
      </c>
      <c r="AD315" s="648">
        <v>44440</v>
      </c>
      <c r="AE315" s="648">
        <v>44550</v>
      </c>
      <c r="AF315" s="645" t="s">
        <v>777</v>
      </c>
      <c r="AG315" s="645" t="s">
        <v>778</v>
      </c>
    </row>
    <row r="316" spans="1:33" ht="375" x14ac:dyDescent="0.35">
      <c r="A316" s="756">
        <v>287</v>
      </c>
      <c r="B316" s="633"/>
      <c r="C316" s="642" t="s">
        <v>778</v>
      </c>
      <c r="D316" s="640">
        <v>80101706</v>
      </c>
      <c r="E316" s="641" t="s">
        <v>1720</v>
      </c>
      <c r="F316" s="783" t="s">
        <v>61</v>
      </c>
      <c r="G316" s="783">
        <v>1</v>
      </c>
      <c r="H316" s="634" t="s">
        <v>364</v>
      </c>
      <c r="I316" s="637">
        <v>5</v>
      </c>
      <c r="J316" s="638" t="s">
        <v>92</v>
      </c>
      <c r="K316" s="634" t="s">
        <v>100</v>
      </c>
      <c r="L316" s="634" t="s">
        <v>378</v>
      </c>
      <c r="M316" s="758">
        <v>10000000</v>
      </c>
      <c r="N316" s="760">
        <v>10000000</v>
      </c>
      <c r="O316" s="634" t="s">
        <v>65</v>
      </c>
      <c r="P316" s="634" t="s">
        <v>66</v>
      </c>
      <c r="Q316" s="781" t="s">
        <v>1718</v>
      </c>
      <c r="R316" s="697"/>
      <c r="S316" s="633" t="s">
        <v>1770</v>
      </c>
      <c r="T316" s="663" t="s">
        <v>1771</v>
      </c>
      <c r="U316" s="664">
        <v>44399</v>
      </c>
      <c r="V316" s="645" t="s">
        <v>1772</v>
      </c>
      <c r="W316" s="647" t="s">
        <v>706</v>
      </c>
      <c r="X316" s="773">
        <v>10000000</v>
      </c>
      <c r="Y316" s="771">
        <v>0</v>
      </c>
      <c r="Z316" s="773">
        <v>10000000</v>
      </c>
      <c r="AA316" s="645" t="s">
        <v>1773</v>
      </c>
      <c r="AB316" s="762">
        <v>32421</v>
      </c>
      <c r="AC316" s="645" t="s">
        <v>1774</v>
      </c>
      <c r="AD316" s="648">
        <v>44400</v>
      </c>
      <c r="AE316" s="648">
        <v>44552</v>
      </c>
      <c r="AF316" s="645" t="s">
        <v>777</v>
      </c>
      <c r="AG316" s="645" t="s">
        <v>778</v>
      </c>
    </row>
    <row r="317" spans="1:33" ht="272.45" customHeight="1" x14ac:dyDescent="0.35">
      <c r="A317" s="715">
        <v>288</v>
      </c>
      <c r="B317" s="633"/>
      <c r="C317" s="642" t="s">
        <v>367</v>
      </c>
      <c r="D317" s="640">
        <v>80101706</v>
      </c>
      <c r="E317" s="641" t="s">
        <v>1712</v>
      </c>
      <c r="F317" s="783" t="s">
        <v>61</v>
      </c>
      <c r="G317" s="783">
        <v>1</v>
      </c>
      <c r="H317" s="634" t="s">
        <v>85</v>
      </c>
      <c r="I317" s="637">
        <v>3.5</v>
      </c>
      <c r="J317" s="638" t="s">
        <v>92</v>
      </c>
      <c r="K317" s="634" t="s">
        <v>100</v>
      </c>
      <c r="L317" s="634" t="s">
        <v>378</v>
      </c>
      <c r="M317" s="758">
        <v>24500000</v>
      </c>
      <c r="N317" s="758">
        <v>24500000</v>
      </c>
      <c r="O317" s="634" t="s">
        <v>65</v>
      </c>
      <c r="P317" s="634" t="s">
        <v>66</v>
      </c>
      <c r="Q317" s="781" t="s">
        <v>1719</v>
      </c>
      <c r="R317" s="697"/>
      <c r="S317" s="633" t="s">
        <v>1859</v>
      </c>
      <c r="T317" s="663" t="s">
        <v>1860</v>
      </c>
      <c r="U317" s="664">
        <v>44459</v>
      </c>
      <c r="V317" s="645" t="s">
        <v>1861</v>
      </c>
      <c r="W317" s="647" t="s">
        <v>714</v>
      </c>
      <c r="X317" s="773">
        <v>22500000</v>
      </c>
      <c r="Y317" s="771">
        <v>0</v>
      </c>
      <c r="Z317" s="773">
        <v>22500000</v>
      </c>
      <c r="AA317" s="645" t="s">
        <v>1862</v>
      </c>
      <c r="AB317" s="828" t="s">
        <v>2175</v>
      </c>
      <c r="AC317" s="645" t="s">
        <v>708</v>
      </c>
      <c r="AD317" s="648">
        <v>44460</v>
      </c>
      <c r="AE317" s="648">
        <v>44550</v>
      </c>
      <c r="AF317" s="645" t="s">
        <v>1726</v>
      </c>
      <c r="AG317" s="645" t="s">
        <v>809</v>
      </c>
    </row>
    <row r="318" spans="1:33" ht="272.45" customHeight="1" x14ac:dyDescent="0.35">
      <c r="A318" s="715">
        <v>289</v>
      </c>
      <c r="B318" s="633"/>
      <c r="C318" s="642" t="s">
        <v>367</v>
      </c>
      <c r="D318" s="640">
        <v>80101706</v>
      </c>
      <c r="E318" s="641" t="s">
        <v>1713</v>
      </c>
      <c r="F318" s="783" t="s">
        <v>61</v>
      </c>
      <c r="G318" s="783">
        <v>1</v>
      </c>
      <c r="H318" s="634" t="s">
        <v>85</v>
      </c>
      <c r="I318" s="637">
        <v>3.5</v>
      </c>
      <c r="J318" s="638" t="s">
        <v>92</v>
      </c>
      <c r="K318" s="634" t="s">
        <v>100</v>
      </c>
      <c r="L318" s="634" t="s">
        <v>378</v>
      </c>
      <c r="M318" s="758">
        <v>24500000</v>
      </c>
      <c r="N318" s="758">
        <v>24500000</v>
      </c>
      <c r="O318" s="634" t="s">
        <v>65</v>
      </c>
      <c r="P318" s="634" t="s">
        <v>66</v>
      </c>
      <c r="Q318" s="781" t="s">
        <v>1719</v>
      </c>
      <c r="R318" s="697"/>
      <c r="S318" s="633" t="s">
        <v>1931</v>
      </c>
      <c r="T318" s="663" t="s">
        <v>1932</v>
      </c>
      <c r="U318" s="664">
        <v>44462</v>
      </c>
      <c r="V318" s="645" t="s">
        <v>1933</v>
      </c>
      <c r="W318" s="647" t="s">
        <v>714</v>
      </c>
      <c r="X318" s="773">
        <v>10750299</v>
      </c>
      <c r="Y318" s="771">
        <v>0</v>
      </c>
      <c r="Z318" s="773">
        <v>10750299</v>
      </c>
      <c r="AA318" s="645" t="s">
        <v>1934</v>
      </c>
      <c r="AB318" s="828" t="s">
        <v>1935</v>
      </c>
      <c r="AC318" s="645" t="s">
        <v>1936</v>
      </c>
      <c r="AD318" s="648">
        <v>44463</v>
      </c>
      <c r="AE318" s="648">
        <v>44550</v>
      </c>
      <c r="AF318" s="645" t="s">
        <v>1726</v>
      </c>
      <c r="AG318" s="645" t="s">
        <v>809</v>
      </c>
    </row>
    <row r="319" spans="1:33" ht="272.45" customHeight="1" x14ac:dyDescent="0.35">
      <c r="A319" s="756">
        <v>290</v>
      </c>
      <c r="B319" s="633"/>
      <c r="C319" s="642" t="s">
        <v>367</v>
      </c>
      <c r="D319" s="640">
        <v>80101706</v>
      </c>
      <c r="E319" s="641" t="s">
        <v>1714</v>
      </c>
      <c r="F319" s="783" t="s">
        <v>61</v>
      </c>
      <c r="G319" s="783">
        <v>1</v>
      </c>
      <c r="H319" s="634" t="s">
        <v>85</v>
      </c>
      <c r="I319" s="960">
        <v>2.5</v>
      </c>
      <c r="J319" s="638" t="s">
        <v>92</v>
      </c>
      <c r="K319" s="634" t="s">
        <v>100</v>
      </c>
      <c r="L319" s="634" t="s">
        <v>378</v>
      </c>
      <c r="M319" s="758">
        <v>15000000</v>
      </c>
      <c r="N319" s="758">
        <v>15000000</v>
      </c>
      <c r="O319" s="634" t="s">
        <v>65</v>
      </c>
      <c r="P319" s="634" t="s">
        <v>66</v>
      </c>
      <c r="Q319" s="781" t="s">
        <v>1719</v>
      </c>
      <c r="R319" s="697"/>
      <c r="S319" s="633" t="s">
        <v>1863</v>
      </c>
      <c r="T319" s="663" t="s">
        <v>1864</v>
      </c>
      <c r="U319" s="664">
        <v>44459</v>
      </c>
      <c r="V319" s="645" t="s">
        <v>1865</v>
      </c>
      <c r="W319" s="647" t="s">
        <v>714</v>
      </c>
      <c r="X319" s="773">
        <v>14000000</v>
      </c>
      <c r="Y319" s="771">
        <v>0</v>
      </c>
      <c r="Z319" s="773">
        <v>14000000</v>
      </c>
      <c r="AA319" s="645" t="s">
        <v>1866</v>
      </c>
      <c r="AB319" s="828" t="s">
        <v>2176</v>
      </c>
      <c r="AC319" s="645" t="s">
        <v>1867</v>
      </c>
      <c r="AD319" s="648">
        <v>44460</v>
      </c>
      <c r="AE319" s="648">
        <v>44530</v>
      </c>
      <c r="AF319" s="645" t="s">
        <v>1726</v>
      </c>
      <c r="AG319" s="645" t="s">
        <v>809</v>
      </c>
    </row>
    <row r="320" spans="1:33" ht="272.45" customHeight="1" x14ac:dyDescent="0.35">
      <c r="A320" s="756">
        <v>291</v>
      </c>
      <c r="B320" s="633"/>
      <c r="C320" s="642" t="s">
        <v>367</v>
      </c>
      <c r="D320" s="640">
        <v>80101706</v>
      </c>
      <c r="E320" s="641" t="s">
        <v>1715</v>
      </c>
      <c r="F320" s="783" t="s">
        <v>61</v>
      </c>
      <c r="G320" s="783">
        <v>1</v>
      </c>
      <c r="H320" s="634" t="s">
        <v>85</v>
      </c>
      <c r="I320" s="637">
        <v>3.5</v>
      </c>
      <c r="J320" s="638" t="s">
        <v>92</v>
      </c>
      <c r="K320" s="634" t="s">
        <v>100</v>
      </c>
      <c r="L320" s="634" t="s">
        <v>378</v>
      </c>
      <c r="M320" s="758">
        <v>21233333</v>
      </c>
      <c r="N320" s="758">
        <v>21233333</v>
      </c>
      <c r="O320" s="634" t="s">
        <v>65</v>
      </c>
      <c r="P320" s="634" t="s">
        <v>66</v>
      </c>
      <c r="Q320" s="781" t="s">
        <v>1719</v>
      </c>
      <c r="R320" s="697"/>
      <c r="S320" s="633" t="s">
        <v>1937</v>
      </c>
      <c r="T320" s="663" t="s">
        <v>1938</v>
      </c>
      <c r="U320" s="664">
        <v>44469</v>
      </c>
      <c r="V320" s="645" t="s">
        <v>1939</v>
      </c>
      <c r="W320" s="647" t="s">
        <v>714</v>
      </c>
      <c r="X320" s="773">
        <v>17066666</v>
      </c>
      <c r="Y320" s="771">
        <v>0</v>
      </c>
      <c r="Z320" s="773">
        <v>17066666</v>
      </c>
      <c r="AA320" s="645" t="s">
        <v>1940</v>
      </c>
      <c r="AB320" s="828" t="s">
        <v>2177</v>
      </c>
      <c r="AC320" s="645" t="s">
        <v>1936</v>
      </c>
      <c r="AD320" s="648">
        <v>44470</v>
      </c>
      <c r="AE320" s="648">
        <v>44550</v>
      </c>
      <c r="AF320" s="645" t="s">
        <v>1726</v>
      </c>
      <c r="AG320" s="645" t="s">
        <v>809</v>
      </c>
    </row>
    <row r="321" spans="1:33" ht="272.45" customHeight="1" x14ac:dyDescent="0.35">
      <c r="A321" s="756">
        <v>292</v>
      </c>
      <c r="B321" s="633"/>
      <c r="C321" s="642" t="s">
        <v>118</v>
      </c>
      <c r="D321" s="640">
        <v>80101706</v>
      </c>
      <c r="E321" s="641" t="s">
        <v>1716</v>
      </c>
      <c r="F321" s="783" t="s">
        <v>61</v>
      </c>
      <c r="G321" s="783">
        <v>1</v>
      </c>
      <c r="H321" s="634" t="s">
        <v>85</v>
      </c>
      <c r="I321" s="637">
        <v>3.5</v>
      </c>
      <c r="J321" s="638" t="s">
        <v>92</v>
      </c>
      <c r="K321" s="634" t="s">
        <v>100</v>
      </c>
      <c r="L321" s="634" t="s">
        <v>378</v>
      </c>
      <c r="M321" s="758">
        <v>17666667</v>
      </c>
      <c r="N321" s="758">
        <v>17666667</v>
      </c>
      <c r="O321" s="634" t="s">
        <v>65</v>
      </c>
      <c r="P321" s="634" t="s">
        <v>66</v>
      </c>
      <c r="Q321" s="781" t="s">
        <v>1463</v>
      </c>
      <c r="R321" s="697"/>
      <c r="S321" s="633" t="s">
        <v>1972</v>
      </c>
      <c r="T321" s="663" t="s">
        <v>1973</v>
      </c>
      <c r="U321" s="664">
        <v>44480</v>
      </c>
      <c r="V321" s="645" t="s">
        <v>1974</v>
      </c>
      <c r="W321" s="647" t="s">
        <v>714</v>
      </c>
      <c r="X321" s="773">
        <v>12189999</v>
      </c>
      <c r="Y321" s="771">
        <v>0</v>
      </c>
      <c r="Z321" s="773">
        <v>12189999</v>
      </c>
      <c r="AA321" s="645" t="s">
        <v>1975</v>
      </c>
      <c r="AB321" s="828" t="s">
        <v>2178</v>
      </c>
      <c r="AC321" s="645" t="s">
        <v>1976</v>
      </c>
      <c r="AD321" s="648">
        <v>44481</v>
      </c>
      <c r="AE321" s="648">
        <v>44550</v>
      </c>
      <c r="AF321" s="645" t="s">
        <v>1008</v>
      </c>
      <c r="AG321" s="645" t="s">
        <v>118</v>
      </c>
    </row>
    <row r="322" spans="1:33" ht="272.45" customHeight="1" x14ac:dyDescent="0.9">
      <c r="A322" s="756">
        <v>293</v>
      </c>
      <c r="B322" s="811"/>
      <c r="C322" s="965" t="s">
        <v>118</v>
      </c>
      <c r="D322" s="824">
        <v>80101706</v>
      </c>
      <c r="E322" s="825" t="s">
        <v>1717</v>
      </c>
      <c r="F322" s="966" t="s">
        <v>61</v>
      </c>
      <c r="G322" s="966">
        <v>1</v>
      </c>
      <c r="H322" s="812" t="s">
        <v>1806</v>
      </c>
      <c r="I322" s="815">
        <v>1</v>
      </c>
      <c r="J322" s="826" t="s">
        <v>92</v>
      </c>
      <c r="K322" s="812" t="s">
        <v>100</v>
      </c>
      <c r="L322" s="812" t="s">
        <v>378</v>
      </c>
      <c r="M322" s="816"/>
      <c r="N322" s="816"/>
      <c r="O322" s="812" t="s">
        <v>65</v>
      </c>
      <c r="P322" s="812" t="s">
        <v>66</v>
      </c>
      <c r="Q322" s="827" t="s">
        <v>1463</v>
      </c>
      <c r="R322" s="697"/>
      <c r="S322" s="755"/>
      <c r="T322" s="25"/>
      <c r="U322" s="25"/>
      <c r="V322" s="25"/>
      <c r="W322" s="25"/>
      <c r="X322" s="780"/>
      <c r="Y322" s="780"/>
      <c r="Z322" s="779"/>
      <c r="AA322" s="754"/>
      <c r="AB322" s="754"/>
      <c r="AC322" s="25"/>
      <c r="AD322" s="648"/>
      <c r="AE322" s="648"/>
      <c r="AF322" s="25"/>
      <c r="AG322" s="25"/>
    </row>
    <row r="323" spans="1:33" ht="272.45" customHeight="1" x14ac:dyDescent="0.35">
      <c r="A323" s="756">
        <v>294</v>
      </c>
      <c r="B323" s="633"/>
      <c r="C323" s="807" t="s">
        <v>120</v>
      </c>
      <c r="D323" s="640">
        <v>80101706</v>
      </c>
      <c r="E323" s="641" t="s">
        <v>1775</v>
      </c>
      <c r="F323" s="783" t="s">
        <v>61</v>
      </c>
      <c r="G323" s="783">
        <v>1</v>
      </c>
      <c r="H323" s="634" t="s">
        <v>74</v>
      </c>
      <c r="I323" s="637">
        <v>4</v>
      </c>
      <c r="J323" s="638" t="s">
        <v>92</v>
      </c>
      <c r="K323" s="634" t="s">
        <v>100</v>
      </c>
      <c r="L323" s="634" t="s">
        <v>378</v>
      </c>
      <c r="M323" s="761">
        <v>28000000</v>
      </c>
      <c r="N323" s="761">
        <v>28000000</v>
      </c>
      <c r="O323" s="634" t="s">
        <v>65</v>
      </c>
      <c r="P323" s="634" t="s">
        <v>66</v>
      </c>
      <c r="Q323" s="808" t="s">
        <v>1776</v>
      </c>
      <c r="R323" s="697"/>
      <c r="S323" s="633" t="s">
        <v>1868</v>
      </c>
      <c r="T323" s="663" t="s">
        <v>1869</v>
      </c>
      <c r="U323" s="664">
        <v>44434</v>
      </c>
      <c r="V323" s="645" t="s">
        <v>1870</v>
      </c>
      <c r="W323" s="647" t="s">
        <v>714</v>
      </c>
      <c r="X323" s="773">
        <v>28000000</v>
      </c>
      <c r="Y323" s="771">
        <v>0</v>
      </c>
      <c r="Z323" s="773">
        <v>28000000</v>
      </c>
      <c r="AA323" s="645" t="s">
        <v>1871</v>
      </c>
      <c r="AB323" s="762">
        <v>35021</v>
      </c>
      <c r="AC323" s="645" t="s">
        <v>1872</v>
      </c>
      <c r="AD323" s="648">
        <v>44435</v>
      </c>
      <c r="AE323" s="648">
        <v>44548</v>
      </c>
      <c r="AF323" s="645" t="s">
        <v>1873</v>
      </c>
      <c r="AG323" s="645" t="s">
        <v>120</v>
      </c>
    </row>
    <row r="324" spans="1:33" ht="272.45" customHeight="1" x14ac:dyDescent="0.35">
      <c r="A324" s="757">
        <v>295</v>
      </c>
      <c r="B324" s="831"/>
      <c r="C324" s="832" t="s">
        <v>120</v>
      </c>
      <c r="D324" s="833">
        <v>80101706</v>
      </c>
      <c r="E324" s="834" t="s">
        <v>1777</v>
      </c>
      <c r="F324" s="835" t="s">
        <v>61</v>
      </c>
      <c r="G324" s="835">
        <v>1</v>
      </c>
      <c r="H324" s="836" t="s">
        <v>85</v>
      </c>
      <c r="I324" s="637">
        <v>3.5</v>
      </c>
      <c r="J324" s="837" t="s">
        <v>92</v>
      </c>
      <c r="K324" s="836" t="s">
        <v>100</v>
      </c>
      <c r="L324" s="836" t="s">
        <v>378</v>
      </c>
      <c r="M324" s="761">
        <v>25000000</v>
      </c>
      <c r="N324" s="761">
        <v>25000000</v>
      </c>
      <c r="O324" s="836" t="s">
        <v>65</v>
      </c>
      <c r="P324" s="836" t="s">
        <v>66</v>
      </c>
      <c r="Q324" s="808" t="s">
        <v>1776</v>
      </c>
      <c r="R324" s="697"/>
      <c r="S324" s="633" t="s">
        <v>1941</v>
      </c>
      <c r="T324" s="663" t="s">
        <v>1942</v>
      </c>
      <c r="U324" s="664">
        <v>44462</v>
      </c>
      <c r="V324" s="645" t="s">
        <v>1943</v>
      </c>
      <c r="W324" s="647" t="s">
        <v>714</v>
      </c>
      <c r="X324" s="773">
        <v>21750000</v>
      </c>
      <c r="Y324" s="771">
        <v>0</v>
      </c>
      <c r="Z324" s="773">
        <v>21750000</v>
      </c>
      <c r="AA324" s="645" t="s">
        <v>1944</v>
      </c>
      <c r="AB324" s="828" t="s">
        <v>2179</v>
      </c>
      <c r="AC324" s="645" t="s">
        <v>1936</v>
      </c>
      <c r="AD324" s="648">
        <v>44463</v>
      </c>
      <c r="AE324" s="648">
        <v>44550</v>
      </c>
      <c r="AF324" s="645" t="s">
        <v>1873</v>
      </c>
      <c r="AG324" s="645" t="s">
        <v>120</v>
      </c>
    </row>
    <row r="325" spans="1:33" ht="272.45" customHeight="1" x14ac:dyDescent="0.35">
      <c r="A325" s="756">
        <v>296</v>
      </c>
      <c r="B325" s="633"/>
      <c r="C325" s="807" t="s">
        <v>118</v>
      </c>
      <c r="D325" s="640">
        <v>80101706</v>
      </c>
      <c r="E325" s="641" t="s">
        <v>1778</v>
      </c>
      <c r="F325" s="809" t="s">
        <v>61</v>
      </c>
      <c r="G325" s="809">
        <v>1</v>
      </c>
      <c r="H325" s="633" t="s">
        <v>85</v>
      </c>
      <c r="I325" s="637">
        <v>3.5</v>
      </c>
      <c r="J325" s="636" t="s">
        <v>92</v>
      </c>
      <c r="K325" s="633" t="s">
        <v>100</v>
      </c>
      <c r="L325" s="633" t="s">
        <v>378</v>
      </c>
      <c r="M325" s="761">
        <v>19500000</v>
      </c>
      <c r="N325" s="761">
        <v>19500000</v>
      </c>
      <c r="O325" s="633" t="s">
        <v>65</v>
      </c>
      <c r="P325" s="633" t="s">
        <v>66</v>
      </c>
      <c r="Q325" s="782" t="s">
        <v>1776</v>
      </c>
      <c r="R325" s="697"/>
      <c r="S325" s="633" t="s">
        <v>1977</v>
      </c>
      <c r="T325" s="663" t="s">
        <v>1978</v>
      </c>
      <c r="U325" s="664">
        <v>44476</v>
      </c>
      <c r="V325" s="645" t="s">
        <v>1979</v>
      </c>
      <c r="W325" s="647" t="s">
        <v>714</v>
      </c>
      <c r="X325" s="773">
        <v>15816651</v>
      </c>
      <c r="Y325" s="771">
        <v>0</v>
      </c>
      <c r="Z325" s="773">
        <v>15816651</v>
      </c>
      <c r="AA325" s="645" t="s">
        <v>1980</v>
      </c>
      <c r="AB325" s="828" t="s">
        <v>1981</v>
      </c>
      <c r="AC325" s="645" t="s">
        <v>1982</v>
      </c>
      <c r="AD325" s="648">
        <v>44477</v>
      </c>
      <c r="AE325" s="648">
        <v>44550</v>
      </c>
      <c r="AF325" s="645" t="s">
        <v>1983</v>
      </c>
      <c r="AG325" s="645" t="s">
        <v>118</v>
      </c>
    </row>
    <row r="326" spans="1:33" s="25" customFormat="1" ht="272.45" customHeight="1" x14ac:dyDescent="0.35">
      <c r="A326" s="756">
        <v>297</v>
      </c>
      <c r="B326" s="633"/>
      <c r="C326" s="807" t="s">
        <v>367</v>
      </c>
      <c r="D326" s="640" t="s">
        <v>1779</v>
      </c>
      <c r="E326" s="641" t="s">
        <v>1780</v>
      </c>
      <c r="F326" s="809" t="s">
        <v>61</v>
      </c>
      <c r="G326" s="809">
        <v>1</v>
      </c>
      <c r="H326" s="633" t="s">
        <v>74</v>
      </c>
      <c r="I326" s="802">
        <v>3</v>
      </c>
      <c r="J326" s="636" t="s">
        <v>1781</v>
      </c>
      <c r="K326" s="633" t="s">
        <v>100</v>
      </c>
      <c r="L326" s="633" t="s">
        <v>396</v>
      </c>
      <c r="M326" s="761">
        <v>24652343</v>
      </c>
      <c r="N326" s="761">
        <v>24652343</v>
      </c>
      <c r="O326" s="633" t="s">
        <v>65</v>
      </c>
      <c r="P326" s="633" t="s">
        <v>66</v>
      </c>
      <c r="Q326" s="782" t="s">
        <v>1719</v>
      </c>
      <c r="R326" s="697"/>
      <c r="S326" s="633" t="s">
        <v>1984</v>
      </c>
      <c r="T326" s="663" t="s">
        <v>1985</v>
      </c>
      <c r="U326" s="664">
        <v>44470</v>
      </c>
      <c r="V326" s="645" t="s">
        <v>1986</v>
      </c>
      <c r="W326" s="647" t="s">
        <v>1177</v>
      </c>
      <c r="X326" s="773">
        <v>20271000</v>
      </c>
      <c r="Y326" s="771">
        <v>0</v>
      </c>
      <c r="Z326" s="773">
        <v>20271000</v>
      </c>
      <c r="AA326" s="645" t="s">
        <v>1987</v>
      </c>
      <c r="AB326" s="828" t="s">
        <v>1988</v>
      </c>
      <c r="AC326" s="645" t="s">
        <v>1989</v>
      </c>
      <c r="AD326" s="648">
        <v>44481</v>
      </c>
      <c r="AE326" s="648">
        <v>44526</v>
      </c>
      <c r="AF326" s="645" t="s">
        <v>1959</v>
      </c>
      <c r="AG326" s="645" t="s">
        <v>809</v>
      </c>
    </row>
    <row r="327" spans="1:33" ht="272.45" customHeight="1" x14ac:dyDescent="0.9">
      <c r="A327" s="715">
        <v>298</v>
      </c>
      <c r="B327" s="811"/>
      <c r="C327" s="945" t="s">
        <v>367</v>
      </c>
      <c r="D327" s="824" t="s">
        <v>1813</v>
      </c>
      <c r="E327" s="825" t="s">
        <v>1782</v>
      </c>
      <c r="F327" s="946" t="s">
        <v>61</v>
      </c>
      <c r="G327" s="946">
        <v>1</v>
      </c>
      <c r="H327" s="811" t="s">
        <v>105</v>
      </c>
      <c r="I327" s="947">
        <v>2</v>
      </c>
      <c r="J327" s="814" t="s">
        <v>1783</v>
      </c>
      <c r="K327" s="811" t="s">
        <v>100</v>
      </c>
      <c r="L327" s="811" t="s">
        <v>396</v>
      </c>
      <c r="M327" s="948"/>
      <c r="N327" s="948"/>
      <c r="O327" s="811" t="s">
        <v>65</v>
      </c>
      <c r="P327" s="811" t="s">
        <v>66</v>
      </c>
      <c r="Q327" s="949" t="s">
        <v>1719</v>
      </c>
      <c r="R327" s="697"/>
      <c r="S327" s="755"/>
      <c r="T327" s="25"/>
      <c r="U327" s="25"/>
      <c r="V327" s="25"/>
      <c r="W327" s="25"/>
      <c r="X327" s="780"/>
      <c r="Y327" s="780"/>
      <c r="Z327" s="779"/>
      <c r="AA327" s="754"/>
      <c r="AB327" s="754"/>
      <c r="AC327" s="25"/>
      <c r="AD327" s="648"/>
      <c r="AE327" s="648"/>
      <c r="AF327" s="25"/>
      <c r="AG327" s="25"/>
    </row>
    <row r="328" spans="1:33" ht="272.45" customHeight="1" x14ac:dyDescent="0.9">
      <c r="A328" s="756">
        <v>299</v>
      </c>
      <c r="B328" s="811"/>
      <c r="C328" s="945" t="s">
        <v>367</v>
      </c>
      <c r="D328" s="824">
        <v>39121600</v>
      </c>
      <c r="E328" s="825" t="s">
        <v>1784</v>
      </c>
      <c r="F328" s="946" t="s">
        <v>61</v>
      </c>
      <c r="G328" s="946">
        <v>1</v>
      </c>
      <c r="H328" s="811" t="s">
        <v>85</v>
      </c>
      <c r="I328" s="947">
        <v>3</v>
      </c>
      <c r="J328" s="814" t="s">
        <v>1785</v>
      </c>
      <c r="K328" s="811" t="s">
        <v>100</v>
      </c>
      <c r="L328" s="811" t="s">
        <v>396</v>
      </c>
      <c r="M328" s="948"/>
      <c r="N328" s="948"/>
      <c r="O328" s="811" t="s">
        <v>65</v>
      </c>
      <c r="P328" s="811" t="s">
        <v>66</v>
      </c>
      <c r="Q328" s="949" t="s">
        <v>1719</v>
      </c>
      <c r="R328" s="697"/>
      <c r="S328" s="755"/>
      <c r="T328" s="25"/>
      <c r="U328" s="25"/>
      <c r="V328" s="25"/>
      <c r="W328" s="25"/>
      <c r="X328" s="780"/>
      <c r="Y328" s="780"/>
      <c r="Z328" s="779"/>
      <c r="AA328" s="754"/>
      <c r="AB328" s="754"/>
      <c r="AC328" s="25"/>
      <c r="AD328" s="648"/>
      <c r="AE328" s="648"/>
      <c r="AF328" s="25"/>
      <c r="AG328" s="25"/>
    </row>
    <row r="329" spans="1:33" ht="272.45" customHeight="1" x14ac:dyDescent="0.35">
      <c r="A329" s="715">
        <v>300</v>
      </c>
      <c r="B329" s="633"/>
      <c r="C329" s="807" t="s">
        <v>367</v>
      </c>
      <c r="D329" s="809" t="s">
        <v>1786</v>
      </c>
      <c r="E329" s="641" t="s">
        <v>1787</v>
      </c>
      <c r="F329" s="809" t="s">
        <v>61</v>
      </c>
      <c r="G329" s="809">
        <v>1</v>
      </c>
      <c r="H329" s="633" t="s">
        <v>74</v>
      </c>
      <c r="I329" s="802">
        <v>3</v>
      </c>
      <c r="J329" s="636" t="s">
        <v>70</v>
      </c>
      <c r="K329" s="633" t="s">
        <v>100</v>
      </c>
      <c r="L329" s="633" t="s">
        <v>396</v>
      </c>
      <c r="M329" s="761">
        <v>446725683</v>
      </c>
      <c r="N329" s="761">
        <v>446725683</v>
      </c>
      <c r="O329" s="633" t="s">
        <v>65</v>
      </c>
      <c r="P329" s="633" t="s">
        <v>66</v>
      </c>
      <c r="Q329" s="782" t="s">
        <v>1719</v>
      </c>
      <c r="R329" s="697"/>
      <c r="S329" s="633" t="s">
        <v>1960</v>
      </c>
      <c r="T329" s="663" t="s">
        <v>1961</v>
      </c>
      <c r="U329" s="664">
        <v>44462</v>
      </c>
      <c r="V329" s="645" t="s">
        <v>1956</v>
      </c>
      <c r="W329" s="647" t="s">
        <v>1177</v>
      </c>
      <c r="X329" s="773">
        <v>20236674</v>
      </c>
      <c r="Y329" s="771">
        <v>0</v>
      </c>
      <c r="Z329" s="773">
        <v>20236674</v>
      </c>
      <c r="AA329" s="645" t="s">
        <v>1957</v>
      </c>
      <c r="AB329" s="762">
        <v>35221</v>
      </c>
      <c r="AC329" s="645" t="s">
        <v>1958</v>
      </c>
      <c r="AD329" s="648">
        <v>44462</v>
      </c>
      <c r="AE329" s="648">
        <v>44550</v>
      </c>
      <c r="AF329" s="645" t="s">
        <v>1959</v>
      </c>
      <c r="AG329" s="645" t="s">
        <v>809</v>
      </c>
    </row>
    <row r="330" spans="1:33" ht="272.45" customHeight="1" x14ac:dyDescent="0.35">
      <c r="A330" s="715">
        <v>300</v>
      </c>
      <c r="B330" s="633"/>
      <c r="C330" s="807" t="s">
        <v>367</v>
      </c>
      <c r="D330" s="809" t="s">
        <v>1786</v>
      </c>
      <c r="E330" s="641" t="s">
        <v>1787</v>
      </c>
      <c r="F330" s="809" t="s">
        <v>61</v>
      </c>
      <c r="G330" s="809">
        <v>1</v>
      </c>
      <c r="H330" s="633" t="s">
        <v>74</v>
      </c>
      <c r="I330" s="802">
        <v>3</v>
      </c>
      <c r="J330" s="636" t="s">
        <v>70</v>
      </c>
      <c r="K330" s="633" t="s">
        <v>100</v>
      </c>
      <c r="L330" s="633" t="s">
        <v>396</v>
      </c>
      <c r="M330" s="761">
        <v>223362841.5</v>
      </c>
      <c r="N330" s="761">
        <v>223362841.5</v>
      </c>
      <c r="O330" s="633" t="s">
        <v>65</v>
      </c>
      <c r="P330" s="633" t="s">
        <v>66</v>
      </c>
      <c r="Q330" s="782" t="s">
        <v>1719</v>
      </c>
      <c r="R330" s="697"/>
      <c r="S330" s="633" t="s">
        <v>1954</v>
      </c>
      <c r="T330" s="663" t="s">
        <v>1955</v>
      </c>
      <c r="U330" s="664">
        <v>44462</v>
      </c>
      <c r="V330" s="645" t="s">
        <v>1956</v>
      </c>
      <c r="W330" s="647" t="s">
        <v>1177</v>
      </c>
      <c r="X330" s="773">
        <v>85211459</v>
      </c>
      <c r="Y330" s="771">
        <v>0</v>
      </c>
      <c r="Z330" s="773">
        <v>85211459</v>
      </c>
      <c r="AA330" s="645" t="s">
        <v>1957</v>
      </c>
      <c r="AB330" s="762">
        <v>35221</v>
      </c>
      <c r="AC330" s="645" t="s">
        <v>1958</v>
      </c>
      <c r="AD330" s="648">
        <v>44462</v>
      </c>
      <c r="AE330" s="648">
        <v>44550</v>
      </c>
      <c r="AF330" s="645" t="s">
        <v>1959</v>
      </c>
      <c r="AG330" s="645" t="s">
        <v>809</v>
      </c>
    </row>
    <row r="331" spans="1:33" ht="272.45" customHeight="1" x14ac:dyDescent="0.35">
      <c r="A331" s="715">
        <v>300</v>
      </c>
      <c r="B331" s="633"/>
      <c r="C331" s="807" t="s">
        <v>367</v>
      </c>
      <c r="D331" s="809" t="s">
        <v>1786</v>
      </c>
      <c r="E331" s="641" t="s">
        <v>1787</v>
      </c>
      <c r="F331" s="809" t="s">
        <v>61</v>
      </c>
      <c r="G331" s="809">
        <v>1</v>
      </c>
      <c r="H331" s="633" t="s">
        <v>74</v>
      </c>
      <c r="I331" s="802">
        <v>3</v>
      </c>
      <c r="J331" s="636" t="s">
        <v>70</v>
      </c>
      <c r="K331" s="633" t="s">
        <v>100</v>
      </c>
      <c r="L331" s="633" t="s">
        <v>396</v>
      </c>
      <c r="M331" s="761">
        <v>223362841.5</v>
      </c>
      <c r="N331" s="761">
        <v>223362841.5</v>
      </c>
      <c r="O331" s="633" t="s">
        <v>65</v>
      </c>
      <c r="P331" s="633" t="s">
        <v>66</v>
      </c>
      <c r="Q331" s="782" t="s">
        <v>1719</v>
      </c>
      <c r="R331" s="697"/>
      <c r="S331" s="633" t="s">
        <v>2040</v>
      </c>
      <c r="T331" s="663" t="s">
        <v>2041</v>
      </c>
      <c r="U331" s="664">
        <v>44503</v>
      </c>
      <c r="V331" s="645" t="s">
        <v>2042</v>
      </c>
      <c r="W331" s="647" t="s">
        <v>1177</v>
      </c>
      <c r="X331" s="773">
        <v>287616911.39999998</v>
      </c>
      <c r="Y331" s="771">
        <v>0</v>
      </c>
      <c r="Z331" s="773">
        <v>287616911.39999998</v>
      </c>
      <c r="AA331" s="645" t="s">
        <v>2043</v>
      </c>
      <c r="AB331" s="762">
        <v>35221</v>
      </c>
      <c r="AC331" s="645" t="s">
        <v>1958</v>
      </c>
      <c r="AD331" s="648">
        <v>44503</v>
      </c>
      <c r="AE331" s="648">
        <v>44550</v>
      </c>
      <c r="AF331" s="645" t="s">
        <v>1959</v>
      </c>
      <c r="AG331" s="645" t="s">
        <v>809</v>
      </c>
    </row>
    <row r="332" spans="1:33" ht="272.45" customHeight="1" x14ac:dyDescent="0.35">
      <c r="A332" s="715">
        <v>301</v>
      </c>
      <c r="B332" s="633"/>
      <c r="C332" s="807" t="s">
        <v>367</v>
      </c>
      <c r="D332" s="640" t="s">
        <v>1814</v>
      </c>
      <c r="E332" s="641" t="s">
        <v>1788</v>
      </c>
      <c r="F332" s="809" t="s">
        <v>61</v>
      </c>
      <c r="G332" s="809">
        <v>1</v>
      </c>
      <c r="H332" s="633" t="s">
        <v>85</v>
      </c>
      <c r="I332" s="802">
        <v>3</v>
      </c>
      <c r="J332" s="636" t="s">
        <v>62</v>
      </c>
      <c r="K332" s="633" t="s">
        <v>100</v>
      </c>
      <c r="L332" s="633" t="s">
        <v>396</v>
      </c>
      <c r="M332" s="761">
        <v>25438728</v>
      </c>
      <c r="N332" s="761">
        <v>25438728</v>
      </c>
      <c r="O332" s="633" t="s">
        <v>65</v>
      </c>
      <c r="P332" s="633" t="s">
        <v>66</v>
      </c>
      <c r="Q332" s="782" t="s">
        <v>1719</v>
      </c>
      <c r="R332" s="697"/>
      <c r="S332" s="633" t="s">
        <v>1990</v>
      </c>
      <c r="T332" s="663" t="s">
        <v>1991</v>
      </c>
      <c r="U332" s="664">
        <v>44470</v>
      </c>
      <c r="V332" s="645" t="s">
        <v>1992</v>
      </c>
      <c r="W332" s="647" t="s">
        <v>1177</v>
      </c>
      <c r="X332" s="773">
        <v>25392101</v>
      </c>
      <c r="Y332" s="771">
        <v>0</v>
      </c>
      <c r="Z332" s="773">
        <v>25392101</v>
      </c>
      <c r="AA332" s="645" t="s">
        <v>1993</v>
      </c>
      <c r="AB332" s="762">
        <v>35821</v>
      </c>
      <c r="AC332" s="645" t="s">
        <v>1662</v>
      </c>
      <c r="AD332" s="648">
        <v>44470</v>
      </c>
      <c r="AE332" s="648">
        <v>44500</v>
      </c>
      <c r="AF332" s="645" t="s">
        <v>1652</v>
      </c>
      <c r="AG332" s="645" t="s">
        <v>710</v>
      </c>
    </row>
    <row r="333" spans="1:33" ht="272.45" customHeight="1" x14ac:dyDescent="0.35">
      <c r="A333" s="756">
        <v>302</v>
      </c>
      <c r="B333" s="633"/>
      <c r="C333" s="807" t="s">
        <v>367</v>
      </c>
      <c r="D333" s="640">
        <v>80101706</v>
      </c>
      <c r="E333" s="641" t="s">
        <v>1789</v>
      </c>
      <c r="F333" s="809" t="s">
        <v>61</v>
      </c>
      <c r="G333" s="809">
        <v>1</v>
      </c>
      <c r="H333" s="633" t="s">
        <v>74</v>
      </c>
      <c r="I333" s="637">
        <v>4</v>
      </c>
      <c r="J333" s="636" t="s">
        <v>92</v>
      </c>
      <c r="K333" s="633" t="s">
        <v>100</v>
      </c>
      <c r="L333" s="633" t="s">
        <v>396</v>
      </c>
      <c r="M333" s="761">
        <v>26920520.833333299</v>
      </c>
      <c r="N333" s="761">
        <v>26920520.833333299</v>
      </c>
      <c r="O333" s="633" t="s">
        <v>65</v>
      </c>
      <c r="P333" s="633" t="s">
        <v>66</v>
      </c>
      <c r="Q333" s="782" t="s">
        <v>1719</v>
      </c>
      <c r="R333" s="697"/>
      <c r="S333" s="633" t="s">
        <v>1874</v>
      </c>
      <c r="T333" s="663" t="s">
        <v>1875</v>
      </c>
      <c r="U333" s="664">
        <v>44440</v>
      </c>
      <c r="V333" s="645" t="s">
        <v>1876</v>
      </c>
      <c r="W333" s="647" t="s">
        <v>714</v>
      </c>
      <c r="X333" s="773">
        <v>23690058</v>
      </c>
      <c r="Y333" s="771">
        <v>0</v>
      </c>
      <c r="Z333" s="773">
        <v>23690058</v>
      </c>
      <c r="AA333" s="645" t="s">
        <v>1877</v>
      </c>
      <c r="AB333" s="762">
        <v>35721</v>
      </c>
      <c r="AC333" s="645" t="s">
        <v>708</v>
      </c>
      <c r="AD333" s="648">
        <v>44440</v>
      </c>
      <c r="AE333" s="648">
        <v>44550</v>
      </c>
      <c r="AF333" s="645" t="s">
        <v>1878</v>
      </c>
      <c r="AG333" s="645" t="s">
        <v>809</v>
      </c>
    </row>
    <row r="334" spans="1:33" ht="272.45" customHeight="1" x14ac:dyDescent="0.35">
      <c r="A334" s="756">
        <v>303</v>
      </c>
      <c r="B334" s="633"/>
      <c r="C334" s="807" t="s">
        <v>367</v>
      </c>
      <c r="D334" s="640">
        <v>80101706</v>
      </c>
      <c r="E334" s="641" t="s">
        <v>1790</v>
      </c>
      <c r="F334" s="809" t="s">
        <v>61</v>
      </c>
      <c r="G334" s="809">
        <v>1</v>
      </c>
      <c r="H334" s="633" t="s">
        <v>74</v>
      </c>
      <c r="I334" s="637">
        <v>4</v>
      </c>
      <c r="J334" s="636" t="s">
        <v>92</v>
      </c>
      <c r="K334" s="633" t="s">
        <v>100</v>
      </c>
      <c r="L334" s="633" t="s">
        <v>378</v>
      </c>
      <c r="M334" s="761">
        <v>38864405.333333336</v>
      </c>
      <c r="N334" s="761">
        <v>38864405.333333336</v>
      </c>
      <c r="O334" s="633" t="s">
        <v>65</v>
      </c>
      <c r="P334" s="633" t="s">
        <v>66</v>
      </c>
      <c r="Q334" s="782" t="s">
        <v>1719</v>
      </c>
      <c r="R334" s="697"/>
      <c r="S334" s="633" t="s">
        <v>1879</v>
      </c>
      <c r="T334" s="663" t="s">
        <v>1880</v>
      </c>
      <c r="U334" s="664">
        <v>44446</v>
      </c>
      <c r="V334" s="645" t="s">
        <v>1881</v>
      </c>
      <c r="W334" s="647" t="s">
        <v>714</v>
      </c>
      <c r="X334" s="773">
        <v>31273701</v>
      </c>
      <c r="Y334" s="771">
        <v>0</v>
      </c>
      <c r="Z334" s="773">
        <v>31273701</v>
      </c>
      <c r="AA334" s="645" t="s">
        <v>1882</v>
      </c>
      <c r="AB334" s="828" t="s">
        <v>2180</v>
      </c>
      <c r="AC334" s="645" t="s">
        <v>708</v>
      </c>
      <c r="AD334" s="648">
        <v>44447</v>
      </c>
      <c r="AE334" s="648">
        <v>44550</v>
      </c>
      <c r="AF334" s="645" t="s">
        <v>819</v>
      </c>
      <c r="AG334" s="645" t="s">
        <v>809</v>
      </c>
    </row>
    <row r="335" spans="1:33" ht="272.45" customHeight="1" x14ac:dyDescent="0.35">
      <c r="A335" s="756">
        <v>304</v>
      </c>
      <c r="B335" s="633"/>
      <c r="C335" s="807" t="s">
        <v>367</v>
      </c>
      <c r="D335" s="640">
        <v>80101706</v>
      </c>
      <c r="E335" s="641" t="s">
        <v>1791</v>
      </c>
      <c r="F335" s="809" t="s">
        <v>61</v>
      </c>
      <c r="G335" s="809">
        <v>1</v>
      </c>
      <c r="H335" s="633" t="s">
        <v>74</v>
      </c>
      <c r="I335" s="637">
        <v>4</v>
      </c>
      <c r="J335" s="636" t="s">
        <v>92</v>
      </c>
      <c r="K335" s="633" t="s">
        <v>100</v>
      </c>
      <c r="L335" s="633" t="s">
        <v>396</v>
      </c>
      <c r="M335" s="761">
        <v>38864405.333333336</v>
      </c>
      <c r="N335" s="761">
        <v>38864405.333333336</v>
      </c>
      <c r="O335" s="633" t="s">
        <v>65</v>
      </c>
      <c r="P335" s="633" t="s">
        <v>66</v>
      </c>
      <c r="Q335" s="782" t="s">
        <v>1719</v>
      </c>
      <c r="R335" s="697"/>
      <c r="S335" s="633" t="s">
        <v>1883</v>
      </c>
      <c r="T335" s="663" t="s">
        <v>1884</v>
      </c>
      <c r="U335" s="664">
        <v>44439</v>
      </c>
      <c r="V335" s="645" t="s">
        <v>1885</v>
      </c>
      <c r="W335" s="647" t="s">
        <v>714</v>
      </c>
      <c r="X335" s="773">
        <v>33399098</v>
      </c>
      <c r="Y335" s="771">
        <v>0</v>
      </c>
      <c r="Z335" s="773">
        <v>33399098</v>
      </c>
      <c r="AA335" s="645" t="s">
        <v>1886</v>
      </c>
      <c r="AB335" s="762">
        <v>34721</v>
      </c>
      <c r="AC335" s="645" t="s">
        <v>1858</v>
      </c>
      <c r="AD335" s="648">
        <v>44440</v>
      </c>
      <c r="AE335" s="648">
        <v>44550</v>
      </c>
      <c r="AF335" s="645" t="s">
        <v>1561</v>
      </c>
      <c r="AG335" s="645" t="s">
        <v>809</v>
      </c>
    </row>
    <row r="336" spans="1:33" ht="272.45" customHeight="1" x14ac:dyDescent="0.35">
      <c r="A336" s="756">
        <v>305</v>
      </c>
      <c r="B336" s="633"/>
      <c r="C336" s="807" t="s">
        <v>367</v>
      </c>
      <c r="D336" s="640">
        <v>80101706</v>
      </c>
      <c r="E336" s="641" t="s">
        <v>1792</v>
      </c>
      <c r="F336" s="809" t="s">
        <v>61</v>
      </c>
      <c r="G336" s="809">
        <v>1</v>
      </c>
      <c r="H336" s="633" t="s">
        <v>74</v>
      </c>
      <c r="I336" s="637">
        <v>4</v>
      </c>
      <c r="J336" s="636" t="s">
        <v>92</v>
      </c>
      <c r="K336" s="633" t="s">
        <v>100</v>
      </c>
      <c r="L336" s="633" t="s">
        <v>396</v>
      </c>
      <c r="M336" s="761">
        <v>9490145.2799999993</v>
      </c>
      <c r="N336" s="761">
        <v>9490145.2799999993</v>
      </c>
      <c r="O336" s="633" t="s">
        <v>65</v>
      </c>
      <c r="P336" s="633" t="s">
        <v>66</v>
      </c>
      <c r="Q336" s="782" t="s">
        <v>1719</v>
      </c>
      <c r="R336" s="697"/>
      <c r="S336" s="633" t="s">
        <v>1887</v>
      </c>
      <c r="T336" s="663" t="s">
        <v>1888</v>
      </c>
      <c r="U336" s="664">
        <v>44459</v>
      </c>
      <c r="V336" s="645" t="s">
        <v>1889</v>
      </c>
      <c r="W336" s="647" t="s">
        <v>706</v>
      </c>
      <c r="X336" s="773">
        <v>6672758</v>
      </c>
      <c r="Y336" s="771">
        <v>0</v>
      </c>
      <c r="Z336" s="773">
        <v>6672758</v>
      </c>
      <c r="AA336" s="645" t="s">
        <v>1890</v>
      </c>
      <c r="AB336" s="828" t="s">
        <v>2181</v>
      </c>
      <c r="AC336" s="645" t="s">
        <v>708</v>
      </c>
      <c r="AD336" s="648">
        <v>44460</v>
      </c>
      <c r="AE336" s="648">
        <v>44550</v>
      </c>
      <c r="AF336" s="645" t="s">
        <v>1561</v>
      </c>
      <c r="AG336" s="645" t="s">
        <v>809</v>
      </c>
    </row>
    <row r="337" spans="1:34" ht="272.45" customHeight="1" x14ac:dyDescent="0.35">
      <c r="A337" s="715">
        <v>306</v>
      </c>
      <c r="B337" s="633" t="s">
        <v>410</v>
      </c>
      <c r="C337" s="633" t="s">
        <v>1793</v>
      </c>
      <c r="D337" s="633" t="s">
        <v>295</v>
      </c>
      <c r="E337" s="803" t="s">
        <v>1794</v>
      </c>
      <c r="F337" s="633" t="s">
        <v>61</v>
      </c>
      <c r="G337" s="633">
        <v>1</v>
      </c>
      <c r="H337" s="802" t="s">
        <v>74</v>
      </c>
      <c r="I337" s="633">
        <v>3</v>
      </c>
      <c r="J337" s="803" t="s">
        <v>1162</v>
      </c>
      <c r="K337" s="633" t="s">
        <v>100</v>
      </c>
      <c r="L337" s="633" t="s">
        <v>378</v>
      </c>
      <c r="M337" s="804">
        <v>321665383</v>
      </c>
      <c r="N337" s="804">
        <v>321665383</v>
      </c>
      <c r="O337" s="633" t="s">
        <v>65</v>
      </c>
      <c r="P337" s="633" t="s">
        <v>66</v>
      </c>
      <c r="Q337" s="636" t="s">
        <v>67</v>
      </c>
      <c r="R337" s="697"/>
      <c r="S337" s="633" t="s">
        <v>1994</v>
      </c>
      <c r="T337" s="663" t="s">
        <v>1995</v>
      </c>
      <c r="U337" s="664">
        <v>44484</v>
      </c>
      <c r="V337" s="645" t="s">
        <v>1996</v>
      </c>
      <c r="W337" s="647" t="s">
        <v>1177</v>
      </c>
      <c r="X337" s="773">
        <v>257367042</v>
      </c>
      <c r="Y337" s="771">
        <v>0</v>
      </c>
      <c r="Z337" s="773">
        <v>257367042</v>
      </c>
      <c r="AA337" s="645" t="s">
        <v>1997</v>
      </c>
      <c r="AB337" s="828" t="s">
        <v>2182</v>
      </c>
      <c r="AC337" s="645" t="s">
        <v>1998</v>
      </c>
      <c r="AD337" s="648">
        <v>44490</v>
      </c>
      <c r="AE337" s="648">
        <v>44560</v>
      </c>
      <c r="AF337" s="645" t="s">
        <v>1478</v>
      </c>
      <c r="AG337" s="645" t="s">
        <v>710</v>
      </c>
    </row>
    <row r="338" spans="1:34" ht="188.25" customHeight="1" x14ac:dyDescent="0.35">
      <c r="A338" s="715">
        <v>306</v>
      </c>
      <c r="B338" s="633"/>
      <c r="C338" s="633" t="s">
        <v>1793</v>
      </c>
      <c r="D338" s="633" t="s">
        <v>295</v>
      </c>
      <c r="E338" s="803" t="s">
        <v>1794</v>
      </c>
      <c r="F338" s="633" t="s">
        <v>61</v>
      </c>
      <c r="G338" s="633">
        <v>1</v>
      </c>
      <c r="H338" s="802" t="s">
        <v>74</v>
      </c>
      <c r="I338" s="802">
        <v>3</v>
      </c>
      <c r="J338" s="803" t="s">
        <v>1162</v>
      </c>
      <c r="K338" s="633" t="s">
        <v>100</v>
      </c>
      <c r="L338" s="634" t="s">
        <v>306</v>
      </c>
      <c r="M338" s="759">
        <f>60160016+1208990</f>
        <v>61369006</v>
      </c>
      <c r="N338" s="759">
        <f>60160016+1208990</f>
        <v>61369006</v>
      </c>
      <c r="O338" s="634" t="s">
        <v>65</v>
      </c>
      <c r="P338" s="634" t="s">
        <v>66</v>
      </c>
      <c r="Q338" s="781" t="s">
        <v>67</v>
      </c>
      <c r="R338" s="697"/>
      <c r="S338" s="633" t="s">
        <v>1994</v>
      </c>
      <c r="T338" s="663" t="s">
        <v>1995</v>
      </c>
      <c r="U338" s="664">
        <v>44484</v>
      </c>
      <c r="V338" s="645" t="s">
        <v>1996</v>
      </c>
      <c r="W338" s="647" t="s">
        <v>1177</v>
      </c>
      <c r="X338" s="773">
        <v>49131758</v>
      </c>
      <c r="Y338" s="771">
        <v>0</v>
      </c>
      <c r="Z338" s="773">
        <v>49131758</v>
      </c>
      <c r="AA338" s="645" t="s">
        <v>1997</v>
      </c>
      <c r="AB338" s="828" t="s">
        <v>2183</v>
      </c>
      <c r="AC338" s="645" t="s">
        <v>1998</v>
      </c>
      <c r="AD338" s="648">
        <v>44490</v>
      </c>
      <c r="AE338" s="648">
        <v>44560</v>
      </c>
      <c r="AF338" s="645" t="s">
        <v>1478</v>
      </c>
      <c r="AG338" s="645" t="s">
        <v>710</v>
      </c>
    </row>
    <row r="339" spans="1:34" ht="272.45" customHeight="1" x14ac:dyDescent="0.35">
      <c r="A339" s="756">
        <v>307</v>
      </c>
      <c r="B339" s="633"/>
      <c r="C339" s="633" t="s">
        <v>1793</v>
      </c>
      <c r="D339" s="802" t="s">
        <v>1727</v>
      </c>
      <c r="E339" s="803" t="s">
        <v>1795</v>
      </c>
      <c r="F339" s="633" t="s">
        <v>61</v>
      </c>
      <c r="G339" s="633">
        <v>1</v>
      </c>
      <c r="H339" s="802" t="s">
        <v>74</v>
      </c>
      <c r="I339" s="802">
        <v>2</v>
      </c>
      <c r="J339" s="803" t="s">
        <v>62</v>
      </c>
      <c r="K339" s="633" t="s">
        <v>100</v>
      </c>
      <c r="L339" s="633" t="s">
        <v>396</v>
      </c>
      <c r="M339" s="804">
        <v>24616310</v>
      </c>
      <c r="N339" s="804">
        <v>24616310</v>
      </c>
      <c r="O339" s="633" t="s">
        <v>65</v>
      </c>
      <c r="P339" s="633" t="s">
        <v>66</v>
      </c>
      <c r="Q339" s="636" t="s">
        <v>67</v>
      </c>
      <c r="R339" s="697"/>
      <c r="S339" s="633" t="s">
        <v>1804</v>
      </c>
      <c r="T339" s="663" t="s">
        <v>1891</v>
      </c>
      <c r="U339" s="664">
        <v>44434</v>
      </c>
      <c r="V339" s="645" t="s">
        <v>1892</v>
      </c>
      <c r="W339" s="647" t="s">
        <v>1177</v>
      </c>
      <c r="X339" s="773">
        <v>24574400</v>
      </c>
      <c r="Y339" s="771">
        <v>0</v>
      </c>
      <c r="Z339" s="773">
        <v>24574400</v>
      </c>
      <c r="AA339" s="645" t="s">
        <v>1893</v>
      </c>
      <c r="AB339" s="762">
        <v>34621</v>
      </c>
      <c r="AC339" s="645" t="s">
        <v>1894</v>
      </c>
      <c r="AD339" s="763">
        <v>44435</v>
      </c>
      <c r="AE339" s="648">
        <v>44495</v>
      </c>
      <c r="AF339" s="645" t="s">
        <v>1652</v>
      </c>
      <c r="AG339" s="645" t="s">
        <v>710</v>
      </c>
    </row>
    <row r="340" spans="1:34" ht="272.45" customHeight="1" x14ac:dyDescent="0.35">
      <c r="A340" s="715">
        <v>308</v>
      </c>
      <c r="B340" s="633"/>
      <c r="C340" s="633" t="s">
        <v>374</v>
      </c>
      <c r="D340" s="633">
        <v>80101706</v>
      </c>
      <c r="E340" s="636" t="s">
        <v>1796</v>
      </c>
      <c r="F340" s="633" t="s">
        <v>61</v>
      </c>
      <c r="G340" s="633">
        <v>1</v>
      </c>
      <c r="H340" s="633" t="s">
        <v>74</v>
      </c>
      <c r="I340" s="802">
        <v>4</v>
      </c>
      <c r="J340" s="636" t="s">
        <v>92</v>
      </c>
      <c r="K340" s="633" t="s">
        <v>100</v>
      </c>
      <c r="L340" s="633" t="s">
        <v>396</v>
      </c>
      <c r="M340" s="804">
        <v>12400000</v>
      </c>
      <c r="N340" s="804">
        <v>12400000</v>
      </c>
      <c r="O340" s="633" t="s">
        <v>65</v>
      </c>
      <c r="P340" s="633" t="s">
        <v>66</v>
      </c>
      <c r="Q340" s="636" t="s">
        <v>1797</v>
      </c>
      <c r="R340" s="697"/>
      <c r="S340" s="633" t="s">
        <v>1895</v>
      </c>
      <c r="T340" s="663" t="s">
        <v>1896</v>
      </c>
      <c r="U340" s="664">
        <v>44439</v>
      </c>
      <c r="V340" s="645" t="s">
        <v>1897</v>
      </c>
      <c r="W340" s="647" t="s">
        <v>714</v>
      </c>
      <c r="X340" s="773">
        <v>11000000</v>
      </c>
      <c r="Y340" s="771">
        <v>0</v>
      </c>
      <c r="Z340" s="773">
        <v>11000000</v>
      </c>
      <c r="AA340" s="645" t="s">
        <v>1898</v>
      </c>
      <c r="AB340" s="762">
        <v>36721</v>
      </c>
      <c r="AC340" s="645" t="s">
        <v>1858</v>
      </c>
      <c r="AD340" s="763">
        <v>44440</v>
      </c>
      <c r="AE340" s="648">
        <v>44550</v>
      </c>
      <c r="AF340" s="645" t="s">
        <v>1899</v>
      </c>
      <c r="AG340" s="645" t="s">
        <v>920</v>
      </c>
      <c r="AH340" s="226"/>
    </row>
    <row r="341" spans="1:34" ht="272.45" customHeight="1" x14ac:dyDescent="0.35">
      <c r="A341" s="715">
        <v>308</v>
      </c>
      <c r="B341" s="633"/>
      <c r="C341" s="633" t="s">
        <v>374</v>
      </c>
      <c r="D341" s="633">
        <v>80101706</v>
      </c>
      <c r="E341" s="636" t="s">
        <v>1796</v>
      </c>
      <c r="F341" s="633" t="s">
        <v>61</v>
      </c>
      <c r="G341" s="633">
        <v>1</v>
      </c>
      <c r="H341" s="633" t="s">
        <v>74</v>
      </c>
      <c r="I341" s="802">
        <v>4</v>
      </c>
      <c r="J341" s="636" t="s">
        <v>92</v>
      </c>
      <c r="K341" s="633" t="s">
        <v>100</v>
      </c>
      <c r="L341" s="633" t="s">
        <v>378</v>
      </c>
      <c r="M341" s="804">
        <v>12400000</v>
      </c>
      <c r="N341" s="804">
        <v>12400000</v>
      </c>
      <c r="O341" s="633" t="s">
        <v>65</v>
      </c>
      <c r="P341" s="633" t="s">
        <v>66</v>
      </c>
      <c r="Q341" s="636" t="s">
        <v>1797</v>
      </c>
      <c r="R341" s="697"/>
      <c r="S341" s="633" t="s">
        <v>1895</v>
      </c>
      <c r="T341" s="663" t="s">
        <v>1896</v>
      </c>
      <c r="U341" s="664">
        <v>44439</v>
      </c>
      <c r="V341" s="645" t="s">
        <v>1897</v>
      </c>
      <c r="W341" s="647" t="s">
        <v>714</v>
      </c>
      <c r="X341" s="773">
        <v>11000000</v>
      </c>
      <c r="Y341" s="771">
        <v>0</v>
      </c>
      <c r="Z341" s="773">
        <v>11000000</v>
      </c>
      <c r="AA341" s="645" t="s">
        <v>1898</v>
      </c>
      <c r="AB341" s="762">
        <v>36721</v>
      </c>
      <c r="AC341" s="645" t="s">
        <v>1858</v>
      </c>
      <c r="AD341" s="763">
        <v>44440</v>
      </c>
      <c r="AE341" s="648">
        <v>44550</v>
      </c>
      <c r="AF341" s="645" t="s">
        <v>1899</v>
      </c>
      <c r="AG341" s="645" t="s">
        <v>920</v>
      </c>
      <c r="AH341" s="226"/>
    </row>
    <row r="342" spans="1:34" ht="272.45" customHeight="1" x14ac:dyDescent="0.35">
      <c r="A342" s="715">
        <v>309</v>
      </c>
      <c r="B342" s="633"/>
      <c r="C342" s="633" t="s">
        <v>374</v>
      </c>
      <c r="D342" s="633">
        <v>80101706</v>
      </c>
      <c r="E342" s="636" t="s">
        <v>1798</v>
      </c>
      <c r="F342" s="633" t="s">
        <v>61</v>
      </c>
      <c r="G342" s="633">
        <v>1</v>
      </c>
      <c r="H342" s="633" t="s">
        <v>1806</v>
      </c>
      <c r="I342" s="802">
        <v>2</v>
      </c>
      <c r="J342" s="636" t="s">
        <v>92</v>
      </c>
      <c r="K342" s="633" t="s">
        <v>100</v>
      </c>
      <c r="L342" s="633" t="s">
        <v>396</v>
      </c>
      <c r="M342" s="804">
        <v>6143000</v>
      </c>
      <c r="N342" s="804">
        <v>6143000</v>
      </c>
      <c r="O342" s="633" t="s">
        <v>65</v>
      </c>
      <c r="P342" s="633" t="s">
        <v>66</v>
      </c>
      <c r="Q342" s="636" t="s">
        <v>1797</v>
      </c>
      <c r="R342" s="697"/>
      <c r="S342" s="633" t="s">
        <v>2020</v>
      </c>
      <c r="T342" s="663" t="s">
        <v>2021</v>
      </c>
      <c r="U342" s="664">
        <v>44508</v>
      </c>
      <c r="V342" s="645" t="s">
        <v>2022</v>
      </c>
      <c r="W342" s="647" t="s">
        <v>714</v>
      </c>
      <c r="X342" s="773">
        <v>4300099</v>
      </c>
      <c r="Y342" s="771">
        <v>0</v>
      </c>
      <c r="Z342" s="773">
        <v>4300099</v>
      </c>
      <c r="AA342" s="645" t="s">
        <v>2023</v>
      </c>
      <c r="AB342" s="762" t="s">
        <v>2024</v>
      </c>
      <c r="AC342" s="645" t="s">
        <v>2025</v>
      </c>
      <c r="AD342" s="763">
        <v>44509</v>
      </c>
      <c r="AE342" s="648">
        <v>44550</v>
      </c>
      <c r="AF342" s="645" t="s">
        <v>1899</v>
      </c>
      <c r="AG342" s="645" t="s">
        <v>920</v>
      </c>
    </row>
    <row r="343" spans="1:34" ht="272.45" customHeight="1" x14ac:dyDescent="0.35">
      <c r="A343" s="715">
        <v>309</v>
      </c>
      <c r="B343" s="633"/>
      <c r="C343" s="633" t="s">
        <v>374</v>
      </c>
      <c r="D343" s="633">
        <v>80101706</v>
      </c>
      <c r="E343" s="636" t="s">
        <v>1798</v>
      </c>
      <c r="F343" s="633" t="s">
        <v>61</v>
      </c>
      <c r="G343" s="633">
        <v>1</v>
      </c>
      <c r="H343" s="633" t="s">
        <v>1806</v>
      </c>
      <c r="I343" s="802">
        <v>2</v>
      </c>
      <c r="J343" s="636" t="s">
        <v>92</v>
      </c>
      <c r="K343" s="633" t="s">
        <v>100</v>
      </c>
      <c r="L343" s="633" t="s">
        <v>378</v>
      </c>
      <c r="M343" s="804">
        <v>6143000</v>
      </c>
      <c r="N343" s="804">
        <v>6143000</v>
      </c>
      <c r="O343" s="633" t="s">
        <v>65</v>
      </c>
      <c r="P343" s="633" t="s">
        <v>66</v>
      </c>
      <c r="Q343" s="636" t="s">
        <v>1797</v>
      </c>
      <c r="R343" s="697"/>
      <c r="S343" s="633" t="s">
        <v>2020</v>
      </c>
      <c r="T343" s="663" t="s">
        <v>2021</v>
      </c>
      <c r="U343" s="664">
        <v>44508</v>
      </c>
      <c r="V343" s="645" t="s">
        <v>2022</v>
      </c>
      <c r="W343" s="647" t="s">
        <v>714</v>
      </c>
      <c r="X343" s="773">
        <v>4300099</v>
      </c>
      <c r="Y343" s="771">
        <v>0</v>
      </c>
      <c r="Z343" s="773">
        <v>4300099</v>
      </c>
      <c r="AA343" s="645" t="s">
        <v>2023</v>
      </c>
      <c r="AB343" s="762" t="s">
        <v>2024</v>
      </c>
      <c r="AC343" s="645" t="s">
        <v>2025</v>
      </c>
      <c r="AD343" s="763">
        <v>44509</v>
      </c>
      <c r="AE343" s="648">
        <v>44550</v>
      </c>
      <c r="AF343" s="645" t="s">
        <v>1899</v>
      </c>
      <c r="AG343" s="645" t="s">
        <v>920</v>
      </c>
    </row>
    <row r="344" spans="1:34" ht="272.45" customHeight="1" x14ac:dyDescent="0.35">
      <c r="A344" s="715">
        <v>310</v>
      </c>
      <c r="B344" s="633"/>
      <c r="C344" s="633" t="s">
        <v>374</v>
      </c>
      <c r="D344" s="633">
        <v>80101706</v>
      </c>
      <c r="E344" s="636" t="s">
        <v>1799</v>
      </c>
      <c r="F344" s="633" t="s">
        <v>61</v>
      </c>
      <c r="G344" s="633">
        <v>1</v>
      </c>
      <c r="H344" s="633" t="s">
        <v>74</v>
      </c>
      <c r="I344" s="802">
        <v>4</v>
      </c>
      <c r="J344" s="636" t="s">
        <v>92</v>
      </c>
      <c r="K344" s="633" t="s">
        <v>100</v>
      </c>
      <c r="L344" s="633" t="s">
        <v>396</v>
      </c>
      <c r="M344" s="804">
        <v>12400000</v>
      </c>
      <c r="N344" s="804">
        <v>12400000</v>
      </c>
      <c r="O344" s="633" t="s">
        <v>65</v>
      </c>
      <c r="P344" s="633" t="s">
        <v>66</v>
      </c>
      <c r="Q344" s="636" t="s">
        <v>1797</v>
      </c>
      <c r="R344" s="697"/>
      <c r="S344" s="633" t="s">
        <v>1900</v>
      </c>
      <c r="T344" s="663" t="s">
        <v>1901</v>
      </c>
      <c r="U344" s="664">
        <v>44440</v>
      </c>
      <c r="V344" s="645" t="s">
        <v>1902</v>
      </c>
      <c r="W344" s="647" t="s">
        <v>714</v>
      </c>
      <c r="X344" s="773">
        <v>11262166.5</v>
      </c>
      <c r="Y344" s="771">
        <v>0</v>
      </c>
      <c r="Z344" s="773">
        <v>11262166.5</v>
      </c>
      <c r="AA344" s="645" t="s">
        <v>1903</v>
      </c>
      <c r="AB344" s="762" t="s">
        <v>1904</v>
      </c>
      <c r="AC344" s="645" t="s">
        <v>1858</v>
      </c>
      <c r="AD344" s="763">
        <v>44440</v>
      </c>
      <c r="AE344" s="648">
        <v>44550</v>
      </c>
      <c r="AF344" s="645" t="s">
        <v>1899</v>
      </c>
      <c r="AG344" s="645" t="s">
        <v>920</v>
      </c>
    </row>
    <row r="345" spans="1:34" ht="272.45" customHeight="1" x14ac:dyDescent="0.35">
      <c r="A345" s="715">
        <v>310</v>
      </c>
      <c r="B345" s="633"/>
      <c r="C345" s="633" t="s">
        <v>374</v>
      </c>
      <c r="D345" s="633">
        <v>80101706</v>
      </c>
      <c r="E345" s="636" t="s">
        <v>1799</v>
      </c>
      <c r="F345" s="633" t="s">
        <v>61</v>
      </c>
      <c r="G345" s="633">
        <v>1</v>
      </c>
      <c r="H345" s="633" t="s">
        <v>74</v>
      </c>
      <c r="I345" s="802">
        <v>4</v>
      </c>
      <c r="J345" s="636" t="s">
        <v>92</v>
      </c>
      <c r="K345" s="633" t="s">
        <v>100</v>
      </c>
      <c r="L345" s="633" t="s">
        <v>378</v>
      </c>
      <c r="M345" s="804">
        <v>12400000</v>
      </c>
      <c r="N345" s="804">
        <v>12400000</v>
      </c>
      <c r="O345" s="633" t="s">
        <v>65</v>
      </c>
      <c r="P345" s="633" t="s">
        <v>66</v>
      </c>
      <c r="Q345" s="636" t="s">
        <v>1797</v>
      </c>
      <c r="R345" s="697"/>
      <c r="S345" s="633" t="s">
        <v>1900</v>
      </c>
      <c r="T345" s="663" t="s">
        <v>1901</v>
      </c>
      <c r="U345" s="664">
        <v>44440</v>
      </c>
      <c r="V345" s="645" t="s">
        <v>1902</v>
      </c>
      <c r="W345" s="647" t="s">
        <v>714</v>
      </c>
      <c r="X345" s="773">
        <v>11262166.5</v>
      </c>
      <c r="Y345" s="771">
        <v>0</v>
      </c>
      <c r="Z345" s="773">
        <v>11262166.5</v>
      </c>
      <c r="AA345" s="645" t="s">
        <v>1903</v>
      </c>
      <c r="AB345" s="762" t="s">
        <v>1904</v>
      </c>
      <c r="AC345" s="645" t="s">
        <v>1858</v>
      </c>
      <c r="AD345" s="763">
        <v>44440</v>
      </c>
      <c r="AE345" s="648">
        <v>44550</v>
      </c>
      <c r="AF345" s="645" t="s">
        <v>1899</v>
      </c>
      <c r="AG345" s="645" t="s">
        <v>920</v>
      </c>
    </row>
    <row r="346" spans="1:34" ht="272.45" customHeight="1" x14ac:dyDescent="0.35">
      <c r="A346" s="715">
        <v>311</v>
      </c>
      <c r="B346" s="683"/>
      <c r="C346" s="807" t="s">
        <v>404</v>
      </c>
      <c r="D346" s="640">
        <v>80101706</v>
      </c>
      <c r="E346" s="641" t="s">
        <v>1800</v>
      </c>
      <c r="F346" s="809" t="s">
        <v>61</v>
      </c>
      <c r="G346" s="809">
        <v>1</v>
      </c>
      <c r="H346" s="633" t="s">
        <v>74</v>
      </c>
      <c r="I346" s="802">
        <v>4</v>
      </c>
      <c r="J346" s="636" t="s">
        <v>92</v>
      </c>
      <c r="K346" s="633" t="s">
        <v>100</v>
      </c>
      <c r="L346" s="633" t="s">
        <v>378</v>
      </c>
      <c r="M346" s="761">
        <v>19000000</v>
      </c>
      <c r="N346" s="761">
        <v>19000000</v>
      </c>
      <c r="O346" s="633" t="s">
        <v>65</v>
      </c>
      <c r="P346" s="633" t="s">
        <v>66</v>
      </c>
      <c r="Q346" s="782" t="s">
        <v>405</v>
      </c>
      <c r="R346" s="697"/>
      <c r="S346" s="633" t="s">
        <v>1905</v>
      </c>
      <c r="T346" s="663" t="s">
        <v>1906</v>
      </c>
      <c r="U346" s="664">
        <v>44439</v>
      </c>
      <c r="V346" s="645" t="s">
        <v>1907</v>
      </c>
      <c r="W346" s="647" t="s">
        <v>714</v>
      </c>
      <c r="X346" s="773">
        <v>13592656</v>
      </c>
      <c r="Y346" s="771">
        <v>0</v>
      </c>
      <c r="Z346" s="773">
        <v>13592656</v>
      </c>
      <c r="AA346" s="645" t="s">
        <v>1908</v>
      </c>
      <c r="AB346" s="762">
        <v>36521</v>
      </c>
      <c r="AC346" s="645" t="s">
        <v>1858</v>
      </c>
      <c r="AD346" s="763">
        <v>44440</v>
      </c>
      <c r="AE346" s="648">
        <v>44550</v>
      </c>
      <c r="AF346" s="645" t="s">
        <v>919</v>
      </c>
      <c r="AG346" s="645" t="s">
        <v>920</v>
      </c>
    </row>
    <row r="347" spans="1:34" ht="272.45" customHeight="1" x14ac:dyDescent="0.35">
      <c r="A347" s="715">
        <v>312</v>
      </c>
      <c r="B347" s="683"/>
      <c r="C347" s="807" t="s">
        <v>367</v>
      </c>
      <c r="D347" s="640" t="s">
        <v>1815</v>
      </c>
      <c r="E347" s="641" t="s">
        <v>1802</v>
      </c>
      <c r="F347" s="809" t="s">
        <v>61</v>
      </c>
      <c r="G347" s="809">
        <v>1</v>
      </c>
      <c r="H347" s="633" t="s">
        <v>74</v>
      </c>
      <c r="I347" s="802">
        <v>36</v>
      </c>
      <c r="J347" s="636" t="s">
        <v>117</v>
      </c>
      <c r="K347" s="633" t="s">
        <v>100</v>
      </c>
      <c r="L347" s="633" t="s">
        <v>396</v>
      </c>
      <c r="M347" s="761">
        <v>436918161</v>
      </c>
      <c r="N347" s="761">
        <v>436918161</v>
      </c>
      <c r="O347" s="633" t="s">
        <v>65</v>
      </c>
      <c r="P347" s="633" t="s">
        <v>66</v>
      </c>
      <c r="Q347" s="782" t="s">
        <v>1719</v>
      </c>
      <c r="R347" s="697"/>
      <c r="S347" s="633" t="s">
        <v>2095</v>
      </c>
      <c r="T347" s="663" t="s">
        <v>2096</v>
      </c>
      <c r="U347" s="664">
        <v>44531</v>
      </c>
      <c r="V347" s="645" t="s">
        <v>2097</v>
      </c>
      <c r="W347" s="647" t="s">
        <v>1452</v>
      </c>
      <c r="X347" s="773">
        <v>93720661</v>
      </c>
      <c r="Y347" s="771">
        <v>0</v>
      </c>
      <c r="Z347" s="773">
        <v>93720661</v>
      </c>
      <c r="AA347" s="645" t="s">
        <v>2098</v>
      </c>
      <c r="AB347" s="762">
        <v>35921</v>
      </c>
      <c r="AC347" s="645" t="s">
        <v>2099</v>
      </c>
      <c r="AD347" s="648">
        <v>44540</v>
      </c>
      <c r="AE347" s="648">
        <v>44551</v>
      </c>
      <c r="AF347" s="645" t="s">
        <v>1959</v>
      </c>
      <c r="AG347" s="645" t="s">
        <v>2100</v>
      </c>
    </row>
    <row r="348" spans="1:34" ht="244.5" customHeight="1" x14ac:dyDescent="0.35">
      <c r="A348" s="715">
        <v>312</v>
      </c>
      <c r="B348" s="683"/>
      <c r="C348" s="807" t="s">
        <v>367</v>
      </c>
      <c r="D348" s="640" t="s">
        <v>1801</v>
      </c>
      <c r="E348" s="641" t="s">
        <v>1802</v>
      </c>
      <c r="F348" s="809" t="s">
        <v>61</v>
      </c>
      <c r="G348" s="809">
        <v>1</v>
      </c>
      <c r="H348" s="633" t="s">
        <v>74</v>
      </c>
      <c r="I348" s="802">
        <v>36</v>
      </c>
      <c r="J348" s="636" t="s">
        <v>117</v>
      </c>
      <c r="K348" s="633" t="s">
        <v>100</v>
      </c>
      <c r="L348" s="634" t="s">
        <v>378</v>
      </c>
      <c r="M348" s="758">
        <v>182279339</v>
      </c>
      <c r="N348" s="758">
        <v>182279339</v>
      </c>
      <c r="O348" s="633" t="s">
        <v>65</v>
      </c>
      <c r="P348" s="633" t="s">
        <v>66</v>
      </c>
      <c r="Q348" s="782" t="s">
        <v>1719</v>
      </c>
      <c r="R348" s="697"/>
      <c r="S348" s="633" t="s">
        <v>2095</v>
      </c>
      <c r="T348" s="663" t="s">
        <v>2096</v>
      </c>
      <c r="U348" s="664">
        <v>44531</v>
      </c>
      <c r="V348" s="645" t="s">
        <v>2097</v>
      </c>
      <c r="W348" s="647" t="s">
        <v>1452</v>
      </c>
      <c r="X348" s="773">
        <v>182279339</v>
      </c>
      <c r="Y348" s="771">
        <v>0</v>
      </c>
      <c r="Z348" s="773">
        <v>182279339</v>
      </c>
      <c r="AA348" s="645" t="s">
        <v>2098</v>
      </c>
      <c r="AB348" s="762">
        <v>35921</v>
      </c>
      <c r="AC348" s="645" t="s">
        <v>2099</v>
      </c>
      <c r="AD348" s="648">
        <v>44540</v>
      </c>
      <c r="AE348" s="648">
        <v>44551</v>
      </c>
      <c r="AF348" s="645" t="s">
        <v>1959</v>
      </c>
      <c r="AG348" s="645" t="s">
        <v>2100</v>
      </c>
    </row>
    <row r="349" spans="1:34" ht="142.5" customHeight="1" x14ac:dyDescent="0.9">
      <c r="A349" s="715">
        <v>313</v>
      </c>
      <c r="B349" s="914"/>
      <c r="C349" s="940" t="s">
        <v>292</v>
      </c>
      <c r="D349" s="941" t="s">
        <v>1807</v>
      </c>
      <c r="E349" s="929" t="s">
        <v>1809</v>
      </c>
      <c r="F349" s="914" t="s">
        <v>61</v>
      </c>
      <c r="G349" s="940">
        <v>1</v>
      </c>
      <c r="H349" s="940" t="s">
        <v>1968</v>
      </c>
      <c r="I349" s="942">
        <v>1</v>
      </c>
      <c r="J349" s="940" t="s">
        <v>62</v>
      </c>
      <c r="K349" s="940" t="s">
        <v>63</v>
      </c>
      <c r="L349" s="940" t="s">
        <v>111</v>
      </c>
      <c r="M349" s="943"/>
      <c r="N349" s="943"/>
      <c r="O349" s="914" t="s">
        <v>65</v>
      </c>
      <c r="P349" s="914" t="s">
        <v>66</v>
      </c>
      <c r="Q349" s="929" t="s">
        <v>67</v>
      </c>
      <c r="R349" s="697"/>
      <c r="S349" s="755"/>
      <c r="T349" s="25"/>
      <c r="U349" s="25"/>
      <c r="V349" s="25"/>
      <c r="W349" s="25"/>
      <c r="X349" s="780"/>
      <c r="Y349" s="780"/>
      <c r="Z349" s="779"/>
      <c r="AA349" s="754"/>
      <c r="AB349" s="754"/>
      <c r="AC349" s="25"/>
      <c r="AD349" s="25"/>
      <c r="AE349" s="25"/>
      <c r="AF349" s="25"/>
      <c r="AG349" s="25"/>
    </row>
    <row r="350" spans="1:34" ht="142.5" customHeight="1" x14ac:dyDescent="0.9">
      <c r="A350" s="715">
        <v>314</v>
      </c>
      <c r="B350" s="914"/>
      <c r="C350" s="940" t="s">
        <v>292</v>
      </c>
      <c r="D350" s="914" t="s">
        <v>1808</v>
      </c>
      <c r="E350" s="929" t="s">
        <v>1812</v>
      </c>
      <c r="F350" s="914" t="s">
        <v>61</v>
      </c>
      <c r="G350" s="914">
        <v>1</v>
      </c>
      <c r="H350" s="914" t="s">
        <v>1968</v>
      </c>
      <c r="I350" s="914">
        <v>1</v>
      </c>
      <c r="J350" s="914" t="s">
        <v>62</v>
      </c>
      <c r="K350" s="914" t="s">
        <v>63</v>
      </c>
      <c r="L350" s="914" t="s">
        <v>2013</v>
      </c>
      <c r="M350" s="954"/>
      <c r="N350" s="954"/>
      <c r="O350" s="914" t="s">
        <v>65</v>
      </c>
      <c r="P350" s="914" t="s">
        <v>66</v>
      </c>
      <c r="Q350" s="929" t="s">
        <v>67</v>
      </c>
      <c r="R350" s="697"/>
      <c r="S350" s="755"/>
      <c r="T350" s="25"/>
      <c r="U350" s="25"/>
      <c r="V350" s="25"/>
      <c r="W350" s="25"/>
      <c r="X350" s="780"/>
      <c r="Y350" s="780"/>
      <c r="Z350" s="779"/>
      <c r="AA350" s="754"/>
      <c r="AB350" s="754"/>
      <c r="AC350" s="25"/>
      <c r="AD350" s="25"/>
      <c r="AE350" s="25"/>
      <c r="AF350" s="25"/>
      <c r="AG350" s="25"/>
    </row>
    <row r="351" spans="1:34" ht="142.5" customHeight="1" x14ac:dyDescent="0.9">
      <c r="A351" s="715">
        <v>315</v>
      </c>
      <c r="B351" s="914"/>
      <c r="C351" s="940" t="s">
        <v>292</v>
      </c>
      <c r="D351" s="914">
        <v>40151500</v>
      </c>
      <c r="E351" s="929" t="s">
        <v>1810</v>
      </c>
      <c r="F351" s="914" t="s">
        <v>61</v>
      </c>
      <c r="G351" s="914">
        <v>1</v>
      </c>
      <c r="H351" s="914" t="s">
        <v>1968</v>
      </c>
      <c r="I351" s="914">
        <v>1</v>
      </c>
      <c r="J351" s="914" t="s">
        <v>81</v>
      </c>
      <c r="K351" s="914" t="s">
        <v>63</v>
      </c>
      <c r="L351" s="914" t="s">
        <v>111</v>
      </c>
      <c r="M351" s="954"/>
      <c r="N351" s="954"/>
      <c r="O351" s="914" t="s">
        <v>65</v>
      </c>
      <c r="P351" s="914" t="s">
        <v>66</v>
      </c>
      <c r="Q351" s="929" t="s">
        <v>67</v>
      </c>
      <c r="R351" s="697"/>
      <c r="S351" s="755"/>
      <c r="T351" s="25"/>
      <c r="U351" s="25"/>
      <c r="V351" s="25"/>
      <c r="W351" s="25"/>
      <c r="X351" s="780"/>
      <c r="Y351" s="780"/>
      <c r="Z351" s="779"/>
      <c r="AA351" s="754"/>
      <c r="AB351" s="754"/>
      <c r="AC351" s="25"/>
      <c r="AD351" s="25"/>
      <c r="AE351" s="25"/>
      <c r="AF351" s="25"/>
      <c r="AG351" s="25"/>
    </row>
    <row r="352" spans="1:34" ht="222.75" customHeight="1" x14ac:dyDescent="0.35">
      <c r="A352" s="715">
        <v>316</v>
      </c>
      <c r="B352" s="633"/>
      <c r="C352" s="634" t="s">
        <v>120</v>
      </c>
      <c r="D352" s="633">
        <v>80101706</v>
      </c>
      <c r="E352" s="636" t="s">
        <v>1816</v>
      </c>
      <c r="F352" s="633" t="s">
        <v>61</v>
      </c>
      <c r="G352" s="633">
        <v>1</v>
      </c>
      <c r="H352" s="633" t="s">
        <v>85</v>
      </c>
      <c r="I352" s="633">
        <v>3</v>
      </c>
      <c r="J352" s="633" t="s">
        <v>92</v>
      </c>
      <c r="K352" s="633" t="s">
        <v>100</v>
      </c>
      <c r="L352" s="633" t="s">
        <v>378</v>
      </c>
      <c r="M352" s="761">
        <v>15410894</v>
      </c>
      <c r="N352" s="761">
        <v>15410894</v>
      </c>
      <c r="O352" s="633" t="s">
        <v>65</v>
      </c>
      <c r="P352" s="633" t="s">
        <v>66</v>
      </c>
      <c r="Q352" s="636" t="s">
        <v>1776</v>
      </c>
      <c r="R352" s="697"/>
      <c r="S352" s="633" t="s">
        <v>2026</v>
      </c>
      <c r="T352" s="663" t="s">
        <v>2027</v>
      </c>
      <c r="U352" s="664">
        <v>44497</v>
      </c>
      <c r="V352" s="645" t="s">
        <v>2028</v>
      </c>
      <c r="W352" s="647" t="s">
        <v>714</v>
      </c>
      <c r="X352" s="773">
        <v>8261510</v>
      </c>
      <c r="Y352" s="771">
        <v>0</v>
      </c>
      <c r="Z352" s="773">
        <v>8261510</v>
      </c>
      <c r="AA352" s="645" t="s">
        <v>2029</v>
      </c>
      <c r="AB352" s="828" t="s">
        <v>2191</v>
      </c>
      <c r="AC352" s="645" t="s">
        <v>1858</v>
      </c>
      <c r="AD352" s="648">
        <v>44498</v>
      </c>
      <c r="AE352" s="648">
        <v>44550</v>
      </c>
      <c r="AF352" s="645" t="s">
        <v>1008</v>
      </c>
      <c r="AG352" s="645" t="s">
        <v>118</v>
      </c>
    </row>
    <row r="353" spans="1:33" ht="214.5" customHeight="1" x14ac:dyDescent="0.35">
      <c r="A353" s="715">
        <v>317</v>
      </c>
      <c r="B353" s="633"/>
      <c r="C353" s="634" t="s">
        <v>120</v>
      </c>
      <c r="D353" s="633">
        <v>80101706</v>
      </c>
      <c r="E353" s="636" t="s">
        <v>1817</v>
      </c>
      <c r="F353" s="633" t="s">
        <v>61</v>
      </c>
      <c r="G353" s="633">
        <v>1</v>
      </c>
      <c r="H353" s="633" t="s">
        <v>85</v>
      </c>
      <c r="I353" s="633">
        <v>3</v>
      </c>
      <c r="J353" s="633" t="s">
        <v>92</v>
      </c>
      <c r="K353" s="633" t="s">
        <v>100</v>
      </c>
      <c r="L353" s="633" t="s">
        <v>378</v>
      </c>
      <c r="M353" s="761">
        <v>15410894</v>
      </c>
      <c r="N353" s="761">
        <v>15410894</v>
      </c>
      <c r="O353" s="633" t="s">
        <v>65</v>
      </c>
      <c r="P353" s="633" t="s">
        <v>66</v>
      </c>
      <c r="Q353" s="636" t="s">
        <v>1776</v>
      </c>
      <c r="R353" s="697"/>
      <c r="S353" s="633" t="s">
        <v>1999</v>
      </c>
      <c r="T353" s="663" t="s">
        <v>2000</v>
      </c>
      <c r="U353" s="664">
        <v>44489</v>
      </c>
      <c r="V353" s="645" t="s">
        <v>2001</v>
      </c>
      <c r="W353" s="647" t="s">
        <v>714</v>
      </c>
      <c r="X353" s="773">
        <v>9532512</v>
      </c>
      <c r="Y353" s="771">
        <v>0</v>
      </c>
      <c r="Z353" s="773">
        <v>9532512</v>
      </c>
      <c r="AA353" s="645" t="s">
        <v>2002</v>
      </c>
      <c r="AB353" s="828" t="s">
        <v>2184</v>
      </c>
      <c r="AC353" s="645" t="s">
        <v>1858</v>
      </c>
      <c r="AD353" s="648">
        <v>44490</v>
      </c>
      <c r="AE353" s="648">
        <v>44550</v>
      </c>
      <c r="AF353" s="645" t="s">
        <v>1008</v>
      </c>
      <c r="AG353" s="645" t="s">
        <v>118</v>
      </c>
    </row>
    <row r="354" spans="1:33" ht="142.5" customHeight="1" x14ac:dyDescent="0.35">
      <c r="A354" s="715">
        <v>318</v>
      </c>
      <c r="B354" s="633"/>
      <c r="C354" s="634" t="s">
        <v>367</v>
      </c>
      <c r="D354" s="633">
        <v>80101706</v>
      </c>
      <c r="E354" s="636" t="s">
        <v>1818</v>
      </c>
      <c r="F354" s="633" t="s">
        <v>61</v>
      </c>
      <c r="G354" s="633">
        <v>1</v>
      </c>
      <c r="H354" s="633" t="s">
        <v>85</v>
      </c>
      <c r="I354" s="633">
        <v>3</v>
      </c>
      <c r="J354" s="633" t="s">
        <v>92</v>
      </c>
      <c r="K354" s="633" t="s">
        <v>100</v>
      </c>
      <c r="L354" s="633" t="s">
        <v>396</v>
      </c>
      <c r="M354" s="761">
        <v>28741055</v>
      </c>
      <c r="N354" s="761">
        <v>28741055</v>
      </c>
      <c r="O354" s="633" t="s">
        <v>65</v>
      </c>
      <c r="P354" s="633" t="s">
        <v>66</v>
      </c>
      <c r="Q354" s="636" t="s">
        <v>1719</v>
      </c>
      <c r="R354" s="697"/>
      <c r="S354" s="633" t="s">
        <v>1945</v>
      </c>
      <c r="T354" s="663" t="s">
        <v>1946</v>
      </c>
      <c r="U354" s="664">
        <v>44467</v>
      </c>
      <c r="V354" s="645" t="s">
        <v>1947</v>
      </c>
      <c r="W354" s="647" t="s">
        <v>714</v>
      </c>
      <c r="X354" s="773">
        <v>19516000</v>
      </c>
      <c r="Y354" s="771">
        <v>0</v>
      </c>
      <c r="Z354" s="773">
        <v>19516000</v>
      </c>
      <c r="AA354" s="645" t="s">
        <v>1948</v>
      </c>
      <c r="AB354" s="762">
        <v>38021</v>
      </c>
      <c r="AC354" s="645" t="s">
        <v>708</v>
      </c>
      <c r="AD354" s="648">
        <v>44468</v>
      </c>
      <c r="AE354" s="648">
        <v>44550</v>
      </c>
      <c r="AF354" s="645" t="s">
        <v>1561</v>
      </c>
      <c r="AG354" s="645" t="s">
        <v>809</v>
      </c>
    </row>
    <row r="355" spans="1:33" ht="223.5" customHeight="1" x14ac:dyDescent="0.35">
      <c r="A355" s="715">
        <v>319</v>
      </c>
      <c r="B355" s="633"/>
      <c r="C355" s="634" t="s">
        <v>282</v>
      </c>
      <c r="D355" s="958">
        <v>60106604</v>
      </c>
      <c r="E355" s="636" t="s">
        <v>1819</v>
      </c>
      <c r="F355" s="633" t="s">
        <v>61</v>
      </c>
      <c r="G355" s="633">
        <v>1</v>
      </c>
      <c r="H355" s="633" t="s">
        <v>85</v>
      </c>
      <c r="I355" s="633">
        <v>3</v>
      </c>
      <c r="J355" s="633" t="s">
        <v>92</v>
      </c>
      <c r="K355" s="633" t="s">
        <v>100</v>
      </c>
      <c r="L355" s="633" t="s">
        <v>362</v>
      </c>
      <c r="M355" s="761">
        <v>15000000</v>
      </c>
      <c r="N355" s="761">
        <v>15000000</v>
      </c>
      <c r="O355" s="633" t="s">
        <v>65</v>
      </c>
      <c r="P355" s="633" t="s">
        <v>66</v>
      </c>
      <c r="Q355" s="636" t="s">
        <v>1820</v>
      </c>
      <c r="R355" s="697"/>
      <c r="S355" s="633" t="s">
        <v>2030</v>
      </c>
      <c r="T355" s="663" t="s">
        <v>2031</v>
      </c>
      <c r="U355" s="664">
        <v>44502</v>
      </c>
      <c r="V355" s="645" t="s">
        <v>2032</v>
      </c>
      <c r="W355" s="647" t="s">
        <v>1171</v>
      </c>
      <c r="X355" s="773">
        <v>14850000</v>
      </c>
      <c r="Y355" s="771">
        <v>0</v>
      </c>
      <c r="Z355" s="773">
        <v>14850000</v>
      </c>
      <c r="AA355" s="645" t="s">
        <v>2033</v>
      </c>
      <c r="AB355" s="828" t="s">
        <v>2185</v>
      </c>
      <c r="AC355" s="645" t="s">
        <v>2034</v>
      </c>
      <c r="AD355" s="648">
        <v>44503</v>
      </c>
      <c r="AE355" s="648">
        <v>45048</v>
      </c>
      <c r="AF355" s="645" t="s">
        <v>2035</v>
      </c>
      <c r="AG355" s="645" t="s">
        <v>970</v>
      </c>
    </row>
    <row r="356" spans="1:33" ht="223.5" customHeight="1" x14ac:dyDescent="0.35">
      <c r="A356" s="715">
        <v>320</v>
      </c>
      <c r="B356" s="633"/>
      <c r="C356" s="634" t="s">
        <v>404</v>
      </c>
      <c r="D356" s="633">
        <v>80101706</v>
      </c>
      <c r="E356" s="636" t="s">
        <v>1821</v>
      </c>
      <c r="F356" s="633" t="s">
        <v>61</v>
      </c>
      <c r="G356" s="633">
        <v>1</v>
      </c>
      <c r="H356" s="633" t="s">
        <v>85</v>
      </c>
      <c r="I356" s="633">
        <v>3.5</v>
      </c>
      <c r="J356" s="633" t="s">
        <v>92</v>
      </c>
      <c r="K356" s="633" t="s">
        <v>100</v>
      </c>
      <c r="L356" s="633" t="s">
        <v>378</v>
      </c>
      <c r="M356" s="761">
        <v>14400000</v>
      </c>
      <c r="N356" s="761">
        <v>14400000</v>
      </c>
      <c r="O356" s="633" t="s">
        <v>65</v>
      </c>
      <c r="P356" s="633" t="s">
        <v>66</v>
      </c>
      <c r="Q356" s="636" t="s">
        <v>405</v>
      </c>
      <c r="R356" s="697"/>
      <c r="S356" s="633" t="s">
        <v>1949</v>
      </c>
      <c r="T356" s="663" t="s">
        <v>1950</v>
      </c>
      <c r="U356" s="664">
        <v>44470</v>
      </c>
      <c r="V356" s="645" t="s">
        <v>1951</v>
      </c>
      <c r="W356" s="647" t="s">
        <v>714</v>
      </c>
      <c r="X356" s="773">
        <v>12320000</v>
      </c>
      <c r="Y356" s="771">
        <v>0</v>
      </c>
      <c r="Z356" s="773">
        <v>12320000</v>
      </c>
      <c r="AA356" s="645" t="s">
        <v>1952</v>
      </c>
      <c r="AB356" s="828" t="s">
        <v>2186</v>
      </c>
      <c r="AC356" s="645" t="s">
        <v>1953</v>
      </c>
      <c r="AD356" s="648">
        <v>44473</v>
      </c>
      <c r="AE356" s="648">
        <v>44550</v>
      </c>
      <c r="AF356" s="645" t="s">
        <v>919</v>
      </c>
      <c r="AG356" s="645" t="s">
        <v>920</v>
      </c>
    </row>
    <row r="357" spans="1:33" ht="223.5" customHeight="1" x14ac:dyDescent="0.35">
      <c r="A357" s="715">
        <v>321</v>
      </c>
      <c r="B357" s="635"/>
      <c r="C357" s="634" t="s">
        <v>292</v>
      </c>
      <c r="D357" s="635">
        <v>80101706</v>
      </c>
      <c r="E357" s="636" t="s">
        <v>1962</v>
      </c>
      <c r="F357" s="633" t="s">
        <v>61</v>
      </c>
      <c r="G357" s="634">
        <v>1</v>
      </c>
      <c r="H357" s="634" t="s">
        <v>1806</v>
      </c>
      <c r="I357" s="637">
        <v>1.5</v>
      </c>
      <c r="J357" s="634" t="s">
        <v>92</v>
      </c>
      <c r="K357" s="634" t="s">
        <v>63</v>
      </c>
      <c r="L357" s="634" t="s">
        <v>108</v>
      </c>
      <c r="M357" s="758">
        <v>3019000</v>
      </c>
      <c r="N357" s="759">
        <v>3019000</v>
      </c>
      <c r="O357" s="634" t="s">
        <v>65</v>
      </c>
      <c r="P357" s="634" t="s">
        <v>66</v>
      </c>
      <c r="Q357" s="638" t="s">
        <v>67</v>
      </c>
      <c r="R357" s="697"/>
      <c r="S357" s="633" t="s">
        <v>2111</v>
      </c>
      <c r="T357" s="663" t="s">
        <v>2112</v>
      </c>
      <c r="U357" s="664">
        <v>44519</v>
      </c>
      <c r="V357" s="645" t="s">
        <v>2113</v>
      </c>
      <c r="W357" s="647" t="s">
        <v>706</v>
      </c>
      <c r="X357" s="773">
        <v>2079500</v>
      </c>
      <c r="Y357" s="771">
        <v>0</v>
      </c>
      <c r="Z357" s="773">
        <v>2079500</v>
      </c>
      <c r="AA357" s="645" t="s">
        <v>2114</v>
      </c>
      <c r="AB357" s="828" t="s">
        <v>2115</v>
      </c>
      <c r="AC357" s="645" t="s">
        <v>2116</v>
      </c>
      <c r="AD357" s="648">
        <v>44519</v>
      </c>
      <c r="AE357" s="648">
        <v>44550</v>
      </c>
      <c r="AF357" s="645" t="s">
        <v>709</v>
      </c>
      <c r="AG357" s="645" t="s">
        <v>710</v>
      </c>
    </row>
    <row r="358" spans="1:33" ht="223.5" customHeight="1" x14ac:dyDescent="0.35">
      <c r="A358" s="715">
        <v>322</v>
      </c>
      <c r="B358" s="914"/>
      <c r="C358" s="940" t="s">
        <v>292</v>
      </c>
      <c r="D358" s="941" t="s">
        <v>1964</v>
      </c>
      <c r="E358" s="929" t="s">
        <v>1965</v>
      </c>
      <c r="F358" s="914" t="s">
        <v>61</v>
      </c>
      <c r="G358" s="940">
        <v>1</v>
      </c>
      <c r="H358" s="940" t="s">
        <v>1968</v>
      </c>
      <c r="I358" s="942">
        <v>1</v>
      </c>
      <c r="J358" s="940" t="s">
        <v>62</v>
      </c>
      <c r="K358" s="940" t="s">
        <v>63</v>
      </c>
      <c r="L358" s="940" t="s">
        <v>1963</v>
      </c>
      <c r="M358" s="943"/>
      <c r="N358" s="957"/>
      <c r="O358" s="940" t="s">
        <v>65</v>
      </c>
      <c r="P358" s="940" t="s">
        <v>66</v>
      </c>
      <c r="Q358" s="944" t="s">
        <v>67</v>
      </c>
      <c r="R358" s="697"/>
      <c r="S358" s="930"/>
      <c r="T358" s="931"/>
      <c r="U358" s="932"/>
      <c r="V358" s="933"/>
      <c r="W358" s="934"/>
      <c r="X358" s="935"/>
      <c r="Y358" s="936"/>
      <c r="Z358" s="935"/>
      <c r="AA358" s="933"/>
      <c r="AB358" s="937"/>
      <c r="AC358" s="933"/>
      <c r="AD358" s="648"/>
      <c r="AE358" s="648"/>
      <c r="AF358" s="933"/>
      <c r="AG358" s="933"/>
    </row>
    <row r="359" spans="1:33" ht="223.5" customHeight="1" x14ac:dyDescent="0.35">
      <c r="A359" s="715">
        <v>323</v>
      </c>
      <c r="B359" s="914"/>
      <c r="C359" s="940" t="s">
        <v>292</v>
      </c>
      <c r="D359" s="941">
        <v>52161600</v>
      </c>
      <c r="E359" s="929" t="s">
        <v>1967</v>
      </c>
      <c r="F359" s="914" t="s">
        <v>61</v>
      </c>
      <c r="G359" s="940">
        <v>1</v>
      </c>
      <c r="H359" s="940" t="s">
        <v>1968</v>
      </c>
      <c r="I359" s="942">
        <v>1</v>
      </c>
      <c r="J359" s="940" t="s">
        <v>62</v>
      </c>
      <c r="K359" s="940" t="s">
        <v>63</v>
      </c>
      <c r="L359" s="940" t="s">
        <v>111</v>
      </c>
      <c r="M359" s="943"/>
      <c r="N359" s="957"/>
      <c r="O359" s="940" t="s">
        <v>65</v>
      </c>
      <c r="P359" s="940" t="s">
        <v>66</v>
      </c>
      <c r="Q359" s="944" t="s">
        <v>67</v>
      </c>
      <c r="R359" s="697"/>
      <c r="S359" s="930"/>
      <c r="T359" s="931"/>
      <c r="U359" s="932"/>
      <c r="V359" s="933"/>
      <c r="W359" s="934"/>
      <c r="X359" s="935"/>
      <c r="Y359" s="936"/>
      <c r="Z359" s="935"/>
      <c r="AA359" s="933"/>
      <c r="AB359" s="937"/>
      <c r="AC359" s="933"/>
      <c r="AD359" s="648"/>
      <c r="AE359" s="648"/>
      <c r="AF359" s="933"/>
      <c r="AG359" s="933"/>
    </row>
    <row r="360" spans="1:33" ht="223.5" customHeight="1" x14ac:dyDescent="0.35">
      <c r="A360" s="715">
        <v>324</v>
      </c>
      <c r="B360" s="633"/>
      <c r="C360" s="633" t="s">
        <v>1970</v>
      </c>
      <c r="D360" s="633">
        <v>80101706</v>
      </c>
      <c r="E360" s="636" t="s">
        <v>1971</v>
      </c>
      <c r="F360" s="633" t="s">
        <v>61</v>
      </c>
      <c r="G360" s="634">
        <v>1</v>
      </c>
      <c r="H360" s="634" t="s">
        <v>1806</v>
      </c>
      <c r="I360" s="637">
        <v>2</v>
      </c>
      <c r="J360" s="633" t="s">
        <v>92</v>
      </c>
      <c r="K360" s="633" t="s">
        <v>100</v>
      </c>
      <c r="L360" s="633" t="s">
        <v>378</v>
      </c>
      <c r="M360" s="761">
        <v>5825424</v>
      </c>
      <c r="N360" s="804">
        <v>5825424</v>
      </c>
      <c r="O360" s="634" t="s">
        <v>65</v>
      </c>
      <c r="P360" s="634" t="s">
        <v>66</v>
      </c>
      <c r="Q360" s="636" t="s">
        <v>405</v>
      </c>
      <c r="R360" s="697"/>
      <c r="S360" s="633" t="s">
        <v>2036</v>
      </c>
      <c r="T360" s="663" t="s">
        <v>2037</v>
      </c>
      <c r="U360" s="664">
        <v>44503</v>
      </c>
      <c r="V360" s="645" t="s">
        <v>923</v>
      </c>
      <c r="W360" s="647" t="s">
        <v>714</v>
      </c>
      <c r="X360" s="773">
        <v>4236672</v>
      </c>
      <c r="Y360" s="771">
        <v>0</v>
      </c>
      <c r="Z360" s="773">
        <v>4236672</v>
      </c>
      <c r="AA360" s="645" t="s">
        <v>2038</v>
      </c>
      <c r="AB360" s="828" t="s">
        <v>2039</v>
      </c>
      <c r="AC360" s="645" t="s">
        <v>1858</v>
      </c>
      <c r="AD360" s="648">
        <v>44505</v>
      </c>
      <c r="AE360" s="648">
        <v>44550</v>
      </c>
      <c r="AF360" s="645" t="s">
        <v>919</v>
      </c>
      <c r="AG360" s="645" t="s">
        <v>920</v>
      </c>
    </row>
    <row r="361" spans="1:33" ht="223.5" customHeight="1" x14ac:dyDescent="0.35">
      <c r="A361" s="715">
        <v>325</v>
      </c>
      <c r="B361" s="633"/>
      <c r="C361" s="633" t="s">
        <v>120</v>
      </c>
      <c r="D361" s="633">
        <v>80101706</v>
      </c>
      <c r="E361" s="636" t="s">
        <v>2016</v>
      </c>
      <c r="F361" s="633" t="s">
        <v>61</v>
      </c>
      <c r="G361" s="634">
        <v>1</v>
      </c>
      <c r="H361" s="634" t="s">
        <v>1806</v>
      </c>
      <c r="I361" s="637">
        <v>1</v>
      </c>
      <c r="J361" s="633" t="s">
        <v>92</v>
      </c>
      <c r="K361" s="633" t="s">
        <v>100</v>
      </c>
      <c r="L361" s="633" t="s">
        <v>378</v>
      </c>
      <c r="M361" s="761">
        <v>11000000</v>
      </c>
      <c r="N361" s="804">
        <v>11000000</v>
      </c>
      <c r="O361" s="634" t="s">
        <v>65</v>
      </c>
      <c r="P361" s="634" t="s">
        <v>66</v>
      </c>
      <c r="Q361" s="636" t="s">
        <v>1776</v>
      </c>
      <c r="R361" s="697"/>
      <c r="S361" s="633" t="s">
        <v>2101</v>
      </c>
      <c r="T361" s="663" t="s">
        <v>2102</v>
      </c>
      <c r="U361" s="664">
        <v>44532</v>
      </c>
      <c r="V361" s="645" t="s">
        <v>2103</v>
      </c>
      <c r="W361" s="647" t="s">
        <v>714</v>
      </c>
      <c r="X361" s="773">
        <v>4670931</v>
      </c>
      <c r="Y361" s="771">
        <v>0</v>
      </c>
      <c r="Z361" s="773">
        <v>4670931</v>
      </c>
      <c r="AA361" s="645" t="s">
        <v>2104</v>
      </c>
      <c r="AB361" s="828" t="s">
        <v>2187</v>
      </c>
      <c r="AC361" s="645" t="s">
        <v>2105</v>
      </c>
      <c r="AD361" s="648">
        <v>44532</v>
      </c>
      <c r="AE361" s="648">
        <v>44550</v>
      </c>
      <c r="AF361" s="645" t="s">
        <v>2106</v>
      </c>
      <c r="AG361" s="645" t="s">
        <v>120</v>
      </c>
    </row>
    <row r="362" spans="1:33" ht="223.5" customHeight="1" x14ac:dyDescent="0.35">
      <c r="A362" s="715">
        <v>326</v>
      </c>
      <c r="B362" s="633"/>
      <c r="C362" s="633" t="s">
        <v>2017</v>
      </c>
      <c r="D362" s="633">
        <v>80101706</v>
      </c>
      <c r="E362" s="636" t="s">
        <v>2018</v>
      </c>
      <c r="F362" s="633" t="s">
        <v>61</v>
      </c>
      <c r="G362" s="634">
        <v>1</v>
      </c>
      <c r="H362" s="634" t="s">
        <v>1806</v>
      </c>
      <c r="I362" s="637">
        <v>1</v>
      </c>
      <c r="J362" s="633" t="s">
        <v>92</v>
      </c>
      <c r="K362" s="633" t="s">
        <v>100</v>
      </c>
      <c r="L362" s="633" t="s">
        <v>362</v>
      </c>
      <c r="M362" s="761">
        <v>6143174</v>
      </c>
      <c r="N362" s="804">
        <v>6143174</v>
      </c>
      <c r="O362" s="634" t="s">
        <v>65</v>
      </c>
      <c r="P362" s="634" t="s">
        <v>66</v>
      </c>
      <c r="Q362" s="636" t="s">
        <v>2019</v>
      </c>
      <c r="R362" s="697"/>
      <c r="S362" s="633" t="s">
        <v>2063</v>
      </c>
      <c r="T362" s="663" t="s">
        <v>2064</v>
      </c>
      <c r="U362" s="664">
        <v>44519</v>
      </c>
      <c r="V362" s="645" t="s">
        <v>2065</v>
      </c>
      <c r="W362" s="647" t="s">
        <v>714</v>
      </c>
      <c r="X362" s="773">
        <v>6143174</v>
      </c>
      <c r="Y362" s="771">
        <v>0</v>
      </c>
      <c r="Z362" s="773">
        <v>6143174</v>
      </c>
      <c r="AA362" s="645" t="s">
        <v>2066</v>
      </c>
      <c r="AB362" s="828" t="s">
        <v>2188</v>
      </c>
      <c r="AC362" s="645" t="s">
        <v>2067</v>
      </c>
      <c r="AD362" s="763">
        <v>44520</v>
      </c>
      <c r="AE362" s="648">
        <v>44550</v>
      </c>
      <c r="AF362" s="645" t="s">
        <v>836</v>
      </c>
      <c r="AG362" s="645" t="s">
        <v>282</v>
      </c>
    </row>
    <row r="363" spans="1:33" ht="223.5" customHeight="1" x14ac:dyDescent="0.35">
      <c r="A363" s="715">
        <v>327</v>
      </c>
      <c r="B363" s="633"/>
      <c r="C363" s="634" t="s">
        <v>367</v>
      </c>
      <c r="D363" s="633">
        <v>81112500</v>
      </c>
      <c r="E363" s="636" t="s">
        <v>2046</v>
      </c>
      <c r="F363" s="633" t="s">
        <v>61</v>
      </c>
      <c r="G363" s="633">
        <v>1</v>
      </c>
      <c r="H363" s="633" t="s">
        <v>1968</v>
      </c>
      <c r="I363" s="633">
        <v>1</v>
      </c>
      <c r="J363" s="633" t="s">
        <v>70</v>
      </c>
      <c r="K363" s="633" t="s">
        <v>100</v>
      </c>
      <c r="L363" s="633" t="s">
        <v>396</v>
      </c>
      <c r="M363" s="761">
        <v>259463300</v>
      </c>
      <c r="N363" s="761">
        <v>259463300</v>
      </c>
      <c r="O363" s="633" t="s">
        <v>65</v>
      </c>
      <c r="P363" s="633" t="s">
        <v>66</v>
      </c>
      <c r="Q363" s="636" t="s">
        <v>1719</v>
      </c>
      <c r="R363" s="697"/>
      <c r="S363" s="633" t="s">
        <v>2155</v>
      </c>
      <c r="T363" s="663" t="s">
        <v>1757</v>
      </c>
      <c r="U363" s="664">
        <v>44553</v>
      </c>
      <c r="V363" s="645" t="s">
        <v>2156</v>
      </c>
      <c r="W363" s="647" t="s">
        <v>1452</v>
      </c>
      <c r="X363" s="773">
        <v>96175280</v>
      </c>
      <c r="Y363" s="771">
        <v>0</v>
      </c>
      <c r="Z363" s="773">
        <v>96175280</v>
      </c>
      <c r="AA363" s="645" t="s">
        <v>2157</v>
      </c>
      <c r="AB363" s="828" t="s">
        <v>2159</v>
      </c>
      <c r="AC363" s="645" t="s">
        <v>2158</v>
      </c>
      <c r="AD363" s="763">
        <v>44557</v>
      </c>
      <c r="AE363" s="648">
        <v>44560</v>
      </c>
      <c r="AF363" s="645" t="s">
        <v>1698</v>
      </c>
      <c r="AG363" s="645" t="s">
        <v>809</v>
      </c>
    </row>
    <row r="364" spans="1:33" ht="223.5" customHeight="1" x14ac:dyDescent="0.35">
      <c r="A364" s="715">
        <v>327</v>
      </c>
      <c r="B364" s="633"/>
      <c r="C364" s="633" t="s">
        <v>367</v>
      </c>
      <c r="D364" s="633">
        <v>81112500</v>
      </c>
      <c r="E364" s="636" t="s">
        <v>2046</v>
      </c>
      <c r="F364" s="633" t="s">
        <v>61</v>
      </c>
      <c r="G364" s="633">
        <v>1</v>
      </c>
      <c r="H364" s="633" t="s">
        <v>1968</v>
      </c>
      <c r="I364" s="633">
        <v>1</v>
      </c>
      <c r="J364" s="633" t="s">
        <v>70</v>
      </c>
      <c r="K364" s="633" t="s">
        <v>100</v>
      </c>
      <c r="L364" s="633" t="s">
        <v>378</v>
      </c>
      <c r="M364" s="761">
        <v>100000000</v>
      </c>
      <c r="N364" s="761">
        <v>100000000</v>
      </c>
      <c r="O364" s="633" t="s">
        <v>65</v>
      </c>
      <c r="P364" s="633" t="s">
        <v>66</v>
      </c>
      <c r="Q364" s="636" t="s">
        <v>2045</v>
      </c>
      <c r="R364" s="697"/>
      <c r="S364" s="633" t="s">
        <v>2155</v>
      </c>
      <c r="T364" s="663" t="s">
        <v>1757</v>
      </c>
      <c r="U364" s="664">
        <v>44553</v>
      </c>
      <c r="V364" s="645" t="s">
        <v>2156</v>
      </c>
      <c r="W364" s="647" t="s">
        <v>1452</v>
      </c>
      <c r="X364" s="773">
        <v>191835057</v>
      </c>
      <c r="Y364" s="771">
        <v>0</v>
      </c>
      <c r="Z364" s="773">
        <v>191835057</v>
      </c>
      <c r="AA364" s="645" t="s">
        <v>2157</v>
      </c>
      <c r="AB364" s="828" t="s">
        <v>2159</v>
      </c>
      <c r="AC364" s="645" t="s">
        <v>2158</v>
      </c>
      <c r="AD364" s="763">
        <v>44557</v>
      </c>
      <c r="AE364" s="648">
        <v>44560</v>
      </c>
      <c r="AF364" s="645" t="s">
        <v>1698</v>
      </c>
      <c r="AG364" s="645" t="s">
        <v>809</v>
      </c>
    </row>
    <row r="365" spans="1:33" ht="258" customHeight="1" x14ac:dyDescent="0.7">
      <c r="A365" s="1058"/>
      <c r="B365" s="1059"/>
      <c r="C365" s="1059"/>
      <c r="D365" s="1059"/>
      <c r="E365" s="1059"/>
      <c r="F365" s="1059"/>
      <c r="G365" s="1035" t="s">
        <v>1644</v>
      </c>
      <c r="H365" s="1036"/>
      <c r="I365" s="1036"/>
      <c r="J365" s="1036"/>
      <c r="K365" s="1036"/>
      <c r="L365" s="688"/>
      <c r="M365" s="1035" t="s">
        <v>1643</v>
      </c>
      <c r="N365" s="1036"/>
      <c r="O365" s="1036"/>
      <c r="P365" s="1036"/>
      <c r="Q365" s="1036"/>
      <c r="S365" s="25"/>
      <c r="T365" s="25"/>
      <c r="U365" s="25"/>
      <c r="V365" s="25"/>
      <c r="W365" s="25"/>
      <c r="X365" s="754"/>
      <c r="Y365" s="754"/>
      <c r="Z365" s="754"/>
      <c r="AA365" s="25"/>
      <c r="AB365" s="25"/>
      <c r="AC365" s="25"/>
      <c r="AD365" s="25"/>
      <c r="AE365" s="25"/>
      <c r="AF365" s="25"/>
      <c r="AG365" s="25"/>
    </row>
    <row r="366" spans="1:33" ht="272.45" customHeight="1" x14ac:dyDescent="0.7">
      <c r="S366" s="25"/>
      <c r="T366" s="25"/>
      <c r="U366" s="25"/>
      <c r="V366" s="25"/>
      <c r="W366" s="25"/>
      <c r="X366" s="754"/>
      <c r="Y366" s="754"/>
      <c r="Z366" s="754"/>
      <c r="AA366" s="25"/>
      <c r="AB366" s="25"/>
      <c r="AC366" s="25"/>
      <c r="AD366" s="25"/>
      <c r="AE366" s="25"/>
      <c r="AF366" s="25"/>
      <c r="AG366" s="25"/>
    </row>
    <row r="367" spans="1:33" ht="272.45" customHeight="1" x14ac:dyDescent="0.7">
      <c r="S367" s="25"/>
      <c r="T367" s="25"/>
      <c r="U367" s="25"/>
      <c r="V367" s="25"/>
      <c r="W367" s="25"/>
      <c r="X367" s="754"/>
      <c r="Y367" s="754"/>
      <c r="Z367" s="754"/>
      <c r="AA367" s="25"/>
      <c r="AB367" s="25"/>
      <c r="AC367" s="25"/>
      <c r="AD367" s="25"/>
      <c r="AE367" s="25"/>
      <c r="AF367" s="25"/>
      <c r="AG367" s="25"/>
    </row>
  </sheetData>
  <autoFilter ref="A19:AG365"/>
  <mergeCells count="21">
    <mergeCell ref="C2:Q2"/>
    <mergeCell ref="D4:E4"/>
    <mergeCell ref="E5:F5"/>
    <mergeCell ref="J5:N9"/>
    <mergeCell ref="E6:F6"/>
    <mergeCell ref="E7:F7"/>
    <mergeCell ref="E8:F8"/>
    <mergeCell ref="E9:F9"/>
    <mergeCell ref="M365:Q365"/>
    <mergeCell ref="E10:F10"/>
    <mergeCell ref="E11:F11"/>
    <mergeCell ref="J11:N15"/>
    <mergeCell ref="E12:F12"/>
    <mergeCell ref="E13:F13"/>
    <mergeCell ref="E14:F14"/>
    <mergeCell ref="E15:F15"/>
    <mergeCell ref="D17:E17"/>
    <mergeCell ref="H17:I17"/>
    <mergeCell ref="H18:I18"/>
    <mergeCell ref="A365:F365"/>
    <mergeCell ref="G365:K365"/>
  </mergeCells>
  <dataValidations count="1">
    <dataValidation type="list" allowBlank="1" showInputMessage="1" showErrorMessage="1" sqref="AG21">
      <formula1>$A$33:$A$43</formula1>
    </dataValidation>
  </dataValidations>
  <printOptions horizontalCentered="1" verticalCentered="1"/>
  <pageMargins left="0.9055118110236221" right="0.19685039370078741" top="0.15748031496062992" bottom="0.15748031496062992" header="0.11811023622047245" footer="0.11811023622047245"/>
  <pageSetup paperSize="5" scale="18" orientation="landscape" r:id="rId1"/>
  <rowBreaks count="35" manualBreakCount="35">
    <brk id="24" max="16" man="1"/>
    <brk id="33" max="16" man="1"/>
    <brk id="42" max="16" man="1"/>
    <brk id="52" min="22" max="32" man="1"/>
    <brk id="52" max="16" man="1"/>
    <brk id="64" max="16" man="1"/>
    <brk id="72" max="16" man="1"/>
    <brk id="79" max="16" man="1"/>
    <brk id="86" min="22" max="32" man="1"/>
    <brk id="89" max="16" man="1"/>
    <brk id="96" max="16" man="1"/>
    <brk id="103" max="16" man="1"/>
    <brk id="113" max="16" man="1"/>
    <brk id="122" max="16" man="1"/>
    <brk id="124" min="22" max="32" man="1"/>
    <brk id="131" max="16" man="1"/>
    <brk id="140" max="16" man="1"/>
    <brk id="149" max="16" man="1"/>
    <brk id="153" min="22" max="32" man="1"/>
    <brk id="158" max="16" man="1"/>
    <brk id="167" max="16" man="1"/>
    <brk id="177" max="16" man="1"/>
    <brk id="189" max="16" man="1"/>
    <brk id="204" max="16" man="1"/>
    <brk id="218" max="16" man="1"/>
    <brk id="235" max="16" man="1"/>
    <brk id="245" max="16" man="1"/>
    <brk id="266" max="16" man="1"/>
    <brk id="285" max="16" man="1"/>
    <brk id="295" max="16" man="1"/>
    <brk id="307" max="16" man="1"/>
    <brk id="316" max="16" man="1"/>
    <brk id="326" max="16" man="1"/>
    <brk id="348" max="16" man="1"/>
    <brk id="360"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'C:\PLAN COMPRAS\PLAN 2003\[plan_sice2003.xls]LISTAS'!#REF!</xm:f>
          </x14:formula1>
          <xm:sqref>W21</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AG35:AG36 W35:W36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32ab9999-8869-48b6-9aa5-e865c0354275"/>
    <ds:schemaRef ds:uri="559ec1a2-13ee-4c96-b3bf-260cf952dacb"/>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traslados entre subrubros</vt:lpstr>
      <vt:lpstr>PAA-EJECUCION 2021-12-21</vt:lpstr>
      <vt:lpstr>2021-12-23</vt:lpstr>
      <vt:lpstr>'2021-12-23'!Área_de_impresión</vt:lpstr>
      <vt:lpstr>'PAA-EJECUCION 2021-12-21'!Área_de_impresión</vt:lpstr>
      <vt:lpstr>'2021-12-23'!Títulos_a_imprimir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2021-12-23T22:24:33Z</cp:lastPrinted>
  <dcterms:created xsi:type="dcterms:W3CDTF">2019-05-08T16:37:35Z</dcterms:created>
  <dcterms:modified xsi:type="dcterms:W3CDTF">2022-03-03T15:35:59Z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