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6915" firstSheet="2" activeTab="4"/>
  </bookViews>
  <sheets>
    <sheet name="TRASLADOS" sheetId="3" r:id="rId1"/>
    <sheet name="TRASLADOS (2)" sheetId="6" r:id="rId2"/>
    <sheet name="TRASLADOS (3)" sheetId="7" r:id="rId3"/>
    <sheet name="PAA-PRESUP 2019-04-01" sheetId="18" r:id="rId4"/>
    <sheet name="PAA 2019-04-11" sheetId="17" r:id="rId5"/>
  </sheets>
  <externalReferences>
    <externalReference r:id="rId6"/>
    <externalReference r:id="rId7"/>
    <externalReference r:id="rId8"/>
    <externalReference r:id="rId9"/>
    <externalReference r:id="rId10"/>
  </externalReferences>
  <definedNames>
    <definedName name="_xlnm._FilterDatabase" localSheetId="4" hidden="1">'PAA 2019-04-11'!$A$19:$AG$271</definedName>
    <definedName name="_xlnm._FilterDatabase" localSheetId="3" hidden="1">'PAA-PRESUP 2019-04-01'!$A$5:$WXD$5</definedName>
    <definedName name="_xlnm.Print_Area" localSheetId="4">'PAA 2019-04-11'!$A$1:$AG$271</definedName>
    <definedName name="_xlnm.Print_Area" localSheetId="3">'PAA-PRESUP 2019-04-01'!$A$6:$O$105</definedName>
    <definedName name="_xlnm.Print_Area" localSheetId="2">'TRASLADOS (3)'!$A$1:$Q$34</definedName>
    <definedName name="base_1">[1]BASE_DATOS!$A$1:$C$147</definedName>
    <definedName name="ELEMENTOS_DE_ASEO">"BASE_DATOS"</definedName>
    <definedName name="Fuente3">[2]Hoja2!$A$1:$C$207</definedName>
    <definedName name="gloria" localSheetId="4">#REF!</definedName>
    <definedName name="gloria" localSheetId="2">#REF!</definedName>
    <definedName name="JUAN" localSheetId="4">#REF!</definedName>
    <definedName name="JUAN" localSheetId="3">#REF!</definedName>
    <definedName name="JUAN" localSheetId="2">#REF!</definedName>
    <definedName name="julian" localSheetId="4">#REF!</definedName>
    <definedName name="julian" localSheetId="3">#REF!</definedName>
    <definedName name="julian" localSheetId="2">#REF!</definedName>
    <definedName name="MAO">'[3]PLAN COMPRAS_2003'!$A$4:$D$382</definedName>
    <definedName name="MOA">'[3]PLAN COMPRAS_2003'!$A$4:$D$382</definedName>
    <definedName name="RUTH" localSheetId="4">#REF!</definedName>
    <definedName name="RUTH" localSheetId="3">#REF!</definedName>
    <definedName name="RUTH" localSheetId="2">#REF!</definedName>
    <definedName name="_xlnm.Print_Titles" localSheetId="4">'PAA 2019-04-11'!$19:$19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9" i="17" l="1"/>
  <c r="P142" i="18" l="1"/>
  <c r="AC134" i="18"/>
  <c r="AB134" i="18"/>
  <c r="AL132" i="18"/>
  <c r="AK132" i="18"/>
  <c r="AJ132" i="18"/>
  <c r="AF127" i="18"/>
  <c r="AF125" i="18"/>
  <c r="AF131" i="18" s="1"/>
  <c r="AC125" i="18"/>
  <c r="AB125" i="18"/>
  <c r="AB131" i="18" s="1"/>
  <c r="Z125" i="18"/>
  <c r="X125" i="18"/>
  <c r="W125" i="18"/>
  <c r="U125" i="18"/>
  <c r="Q125" i="18"/>
  <c r="P125" i="18"/>
  <c r="O125" i="18"/>
  <c r="AH124" i="18"/>
  <c r="AA124" i="18"/>
  <c r="AE124" i="18" s="1"/>
  <c r="R124" i="18"/>
  <c r="AH123" i="18"/>
  <c r="AD123" i="18"/>
  <c r="Y123" i="18"/>
  <c r="R123" i="18"/>
  <c r="AA123" i="18" s="1"/>
  <c r="AE123" i="18" s="1"/>
  <c r="AH122" i="18"/>
  <c r="AG122" i="18"/>
  <c r="AI122" i="18" s="1"/>
  <c r="AD122" i="18"/>
  <c r="Y122" i="18"/>
  <c r="AA122" i="18" s="1"/>
  <c r="AE122" i="18" s="1"/>
  <c r="AL122" i="18" s="1"/>
  <c r="R122" i="18"/>
  <c r="AH121" i="18"/>
  <c r="R121" i="18"/>
  <c r="AH120" i="18"/>
  <c r="AD120" i="18"/>
  <c r="AA120" i="18"/>
  <c r="Y120" i="18"/>
  <c r="R120" i="18"/>
  <c r="AH119" i="18"/>
  <c r="AA119" i="18"/>
  <c r="AE119" i="18" s="1"/>
  <c r="R119" i="18"/>
  <c r="AH118" i="18"/>
  <c r="AD118" i="18"/>
  <c r="Y118" i="18"/>
  <c r="Y125" i="18" s="1"/>
  <c r="R118" i="18"/>
  <c r="AA118" i="18" s="1"/>
  <c r="AL116" i="18"/>
  <c r="AB116" i="18"/>
  <c r="W116" i="18"/>
  <c r="U116" i="18"/>
  <c r="R116" i="18"/>
  <c r="Q116" i="18"/>
  <c r="P116" i="18"/>
  <c r="O116" i="18"/>
  <c r="AL115" i="18"/>
  <c r="AA115" i="18"/>
  <c r="AA116" i="18" s="1"/>
  <c r="AE116" i="18" s="1"/>
  <c r="R115" i="18"/>
  <c r="AL111" i="18"/>
  <c r="AE111" i="18"/>
  <c r="AA111" i="18"/>
  <c r="R111" i="18"/>
  <c r="AF110" i="18"/>
  <c r="M106" i="18"/>
  <c r="L106" i="18"/>
  <c r="K106" i="18"/>
  <c r="AH105" i="18"/>
  <c r="AD105" i="18"/>
  <c r="V105" i="18"/>
  <c r="U105" i="18"/>
  <c r="R105" i="18"/>
  <c r="AF104" i="18"/>
  <c r="AI104" i="18" s="1"/>
  <c r="AL104" i="18" s="1"/>
  <c r="AD104" i="18"/>
  <c r="AC104" i="18"/>
  <c r="AB104" i="18"/>
  <c r="Z104" i="18"/>
  <c r="X104" i="18"/>
  <c r="W104" i="18"/>
  <c r="U104" i="18"/>
  <c r="T104" i="18"/>
  <c r="S104" i="18"/>
  <c r="Q104" i="18"/>
  <c r="P104" i="18"/>
  <c r="O104" i="18"/>
  <c r="N104" i="18"/>
  <c r="AH103" i="18"/>
  <c r="U103" i="18"/>
  <c r="R103" i="18"/>
  <c r="AH102" i="18"/>
  <c r="AA102" i="18"/>
  <c r="AE102" i="18" s="1"/>
  <c r="AG102" i="18" s="1"/>
  <c r="AI102" i="18" s="1"/>
  <c r="V102" i="18"/>
  <c r="Y102" i="18" s="1"/>
  <c r="R102" i="18"/>
  <c r="AH101" i="18"/>
  <c r="AD101" i="18"/>
  <c r="Y101" i="18"/>
  <c r="V101" i="18"/>
  <c r="R101" i="18"/>
  <c r="AH100" i="18"/>
  <c r="AE100" i="18"/>
  <c r="AG100" i="18" s="1"/>
  <c r="AI100" i="18" s="1"/>
  <c r="Y100" i="18"/>
  <c r="V100" i="18"/>
  <c r="R100" i="18"/>
  <c r="AA100" i="18" s="1"/>
  <c r="AH99" i="18"/>
  <c r="AD99" i="18"/>
  <c r="V99" i="18"/>
  <c r="Y99" i="18" s="1"/>
  <c r="P99" i="18"/>
  <c r="R99" i="18" s="1"/>
  <c r="AH98" i="18"/>
  <c r="AH96" i="18" s="1"/>
  <c r="AD98" i="18"/>
  <c r="V98" i="18"/>
  <c r="Y98" i="18" s="1"/>
  <c r="AA98" i="18" s="1"/>
  <c r="AE98" i="18" s="1"/>
  <c r="R98" i="18"/>
  <c r="AH97" i="18"/>
  <c r="AD97" i="18"/>
  <c r="AD96" i="18" s="1"/>
  <c r="Y97" i="18"/>
  <c r="V97" i="18"/>
  <c r="R97" i="18"/>
  <c r="AK96" i="18"/>
  <c r="AJ96" i="18"/>
  <c r="AF96" i="18"/>
  <c r="AC96" i="18"/>
  <c r="AB96" i="18"/>
  <c r="Z96" i="18"/>
  <c r="X96" i="18"/>
  <c r="W96" i="18"/>
  <c r="T96" i="18"/>
  <c r="S96" i="18"/>
  <c r="Q96" i="18"/>
  <c r="P96" i="18"/>
  <c r="O96" i="18"/>
  <c r="AH95" i="18"/>
  <c r="V95" i="18"/>
  <c r="Y95" i="18" s="1"/>
  <c r="AA95" i="18" s="1"/>
  <c r="AE95" i="18" s="1"/>
  <c r="AG95" i="18" s="1"/>
  <c r="AI95" i="18" s="1"/>
  <c r="R95" i="18"/>
  <c r="AI94" i="18"/>
  <c r="AH94" i="18"/>
  <c r="V94" i="18"/>
  <c r="Y94" i="18" s="1"/>
  <c r="AA94" i="18" s="1"/>
  <c r="AE94" i="18" s="1"/>
  <c r="AG94" i="18" s="1"/>
  <c r="R94" i="18"/>
  <c r="AM93" i="18"/>
  <c r="AH93" i="18"/>
  <c r="AD93" i="18"/>
  <c r="Y93" i="18"/>
  <c r="V93" i="18"/>
  <c r="R93" i="18"/>
  <c r="AA93" i="18" s="1"/>
  <c r="AE93" i="18" s="1"/>
  <c r="AL93" i="18" s="1"/>
  <c r="AH92" i="18"/>
  <c r="AD92" i="18"/>
  <c r="V92" i="18"/>
  <c r="Y92" i="18" s="1"/>
  <c r="O92" i="18"/>
  <c r="R92" i="18" s="1"/>
  <c r="AH91" i="18"/>
  <c r="AD91" i="18"/>
  <c r="V91" i="18"/>
  <c r="Y91" i="18" s="1"/>
  <c r="U91" i="18"/>
  <c r="R91" i="18"/>
  <c r="P91" i="18"/>
  <c r="AH90" i="18"/>
  <c r="V90" i="18"/>
  <c r="Y90" i="18" s="1"/>
  <c r="AA90" i="18" s="1"/>
  <c r="AE90" i="18" s="1"/>
  <c r="AG90" i="18" s="1"/>
  <c r="AI90" i="18" s="1"/>
  <c r="R90" i="18"/>
  <c r="AM89" i="18"/>
  <c r="AH89" i="18"/>
  <c r="AD89" i="18"/>
  <c r="Y89" i="18"/>
  <c r="V89" i="18"/>
  <c r="R89" i="18"/>
  <c r="AA89" i="18" s="1"/>
  <c r="AE89" i="18" s="1"/>
  <c r="Q89" i="18"/>
  <c r="O89" i="18"/>
  <c r="AH88" i="18"/>
  <c r="AD88" i="18"/>
  <c r="AA88" i="18"/>
  <c r="AE88" i="18" s="1"/>
  <c r="V88" i="18"/>
  <c r="Y88" i="18" s="1"/>
  <c r="R88" i="18"/>
  <c r="O88" i="18"/>
  <c r="AH87" i="18"/>
  <c r="AD87" i="18"/>
  <c r="V87" i="18"/>
  <c r="Y87" i="18" s="1"/>
  <c r="O87" i="18"/>
  <c r="AD86" i="18"/>
  <c r="AA86" i="18"/>
  <c r="AE86" i="18" s="1"/>
  <c r="X86" i="18"/>
  <c r="AH86" i="18" s="1"/>
  <c r="V86" i="18"/>
  <c r="Y86" i="18" s="1"/>
  <c r="R86" i="18"/>
  <c r="O86" i="18"/>
  <c r="AH85" i="18"/>
  <c r="AD85" i="18"/>
  <c r="Y85" i="18"/>
  <c r="V85" i="18"/>
  <c r="R85" i="18"/>
  <c r="AH84" i="18"/>
  <c r="AD84" i="18"/>
  <c r="AA84" i="18"/>
  <c r="AE84" i="18" s="1"/>
  <c r="V84" i="18"/>
  <c r="Y84" i="18" s="1"/>
  <c r="R84" i="18"/>
  <c r="AH83" i="18"/>
  <c r="AD83" i="18"/>
  <c r="Y83" i="18"/>
  <c r="V83" i="18"/>
  <c r="R83" i="18"/>
  <c r="AH82" i="18"/>
  <c r="AD82" i="18"/>
  <c r="V82" i="18"/>
  <c r="Y82" i="18" s="1"/>
  <c r="P82" i="18"/>
  <c r="AH81" i="18"/>
  <c r="AD81" i="18"/>
  <c r="V81" i="18"/>
  <c r="R81" i="18"/>
  <c r="AK80" i="18"/>
  <c r="AJ80" i="18"/>
  <c r="AF80" i="18"/>
  <c r="AC80" i="18"/>
  <c r="AB80" i="18"/>
  <c r="Z80" i="18"/>
  <c r="X80" i="18"/>
  <c r="W80" i="18"/>
  <c r="U80" i="18"/>
  <c r="T80" i="18"/>
  <c r="S80" i="18"/>
  <c r="Q80" i="18"/>
  <c r="AH79" i="18"/>
  <c r="AD79" i="18"/>
  <c r="AA79" i="18"/>
  <c r="AE79" i="18" s="1"/>
  <c r="V79" i="18"/>
  <c r="Y79" i="18" s="1"/>
  <c r="R79" i="18"/>
  <c r="AH78" i="18"/>
  <c r="AD78" i="18"/>
  <c r="Y78" i="18"/>
  <c r="V78" i="18"/>
  <c r="R78" i="18"/>
  <c r="AH77" i="18"/>
  <c r="AH76" i="18" s="1"/>
  <c r="AD77" i="18"/>
  <c r="AD76" i="18" s="1"/>
  <c r="V77" i="18"/>
  <c r="R77" i="18"/>
  <c r="AK76" i="18"/>
  <c r="AJ76" i="18"/>
  <c r="AF76" i="18"/>
  <c r="AC76" i="18"/>
  <c r="AB76" i="18"/>
  <c r="Z76" i="18"/>
  <c r="X76" i="18"/>
  <c r="W76" i="18"/>
  <c r="U76" i="18"/>
  <c r="T76" i="18"/>
  <c r="S76" i="18"/>
  <c r="Q76" i="18"/>
  <c r="P76" i="18"/>
  <c r="O76" i="18"/>
  <c r="AH75" i="18"/>
  <c r="AE75" i="18"/>
  <c r="AD75" i="18"/>
  <c r="AA75" i="18"/>
  <c r="V75" i="18"/>
  <c r="Y75" i="18" s="1"/>
  <c r="R75" i="18"/>
  <c r="AM75" i="18" s="1"/>
  <c r="AH74" i="18"/>
  <c r="AD74" i="18"/>
  <c r="Y74" i="18"/>
  <c r="V74" i="18"/>
  <c r="R74" i="18"/>
  <c r="AH73" i="18"/>
  <c r="AD73" i="18"/>
  <c r="AA73" i="18"/>
  <c r="AE73" i="18" s="1"/>
  <c r="V73" i="18"/>
  <c r="Y73" i="18" s="1"/>
  <c r="O73" i="18"/>
  <c r="R73" i="18" s="1"/>
  <c r="AH72" i="18"/>
  <c r="Y72" i="18"/>
  <c r="V72" i="18"/>
  <c r="R72" i="18"/>
  <c r="AA72" i="18" s="1"/>
  <c r="AE72" i="18" s="1"/>
  <c r="AG72" i="18" s="1"/>
  <c r="AI72" i="18" s="1"/>
  <c r="AH71" i="18"/>
  <c r="AD71" i="18"/>
  <c r="V71" i="18"/>
  <c r="Y71" i="18" s="1"/>
  <c r="AA71" i="18" s="1"/>
  <c r="AE71" i="18" s="1"/>
  <c r="R71" i="18"/>
  <c r="AD70" i="18"/>
  <c r="Y70" i="18"/>
  <c r="V70" i="18"/>
  <c r="U70" i="18"/>
  <c r="AH70" i="18" s="1"/>
  <c r="R70" i="18"/>
  <c r="AH69" i="18"/>
  <c r="AD69" i="18"/>
  <c r="V69" i="18"/>
  <c r="Y69" i="18" s="1"/>
  <c r="R69" i="18"/>
  <c r="Q69" i="18"/>
  <c r="AD68" i="18"/>
  <c r="Y68" i="18"/>
  <c r="V68" i="18"/>
  <c r="U68" i="18"/>
  <c r="AH68" i="18" s="1"/>
  <c r="Q68" i="18"/>
  <c r="AH67" i="18"/>
  <c r="AD67" i="18"/>
  <c r="Y67" i="18"/>
  <c r="AA67" i="18" s="1"/>
  <c r="AE67" i="18" s="1"/>
  <c r="V67" i="18"/>
  <c r="R67" i="18"/>
  <c r="AH66" i="18"/>
  <c r="AD66" i="18"/>
  <c r="Y66" i="18"/>
  <c r="V66" i="18"/>
  <c r="R66" i="18"/>
  <c r="AH65" i="18"/>
  <c r="AD65" i="18"/>
  <c r="V65" i="18"/>
  <c r="R65" i="18"/>
  <c r="AK64" i="18"/>
  <c r="AJ64" i="18"/>
  <c r="AF64" i="18"/>
  <c r="AC64" i="18"/>
  <c r="AB64" i="18"/>
  <c r="Z64" i="18"/>
  <c r="X64" i="18"/>
  <c r="W64" i="18"/>
  <c r="U64" i="18"/>
  <c r="T64" i="18"/>
  <c r="S64" i="18"/>
  <c r="P64" i="18"/>
  <c r="O64" i="18"/>
  <c r="AH63" i="18"/>
  <c r="AD63" i="18"/>
  <c r="V63" i="18"/>
  <c r="Y63" i="18" s="1"/>
  <c r="R63" i="18"/>
  <c r="AH62" i="18"/>
  <c r="AE62" i="18"/>
  <c r="AG62" i="18" s="1"/>
  <c r="AI62" i="18" s="1"/>
  <c r="AA62" i="18"/>
  <c r="V62" i="18"/>
  <c r="Y62" i="18" s="1"/>
  <c r="R62" i="18"/>
  <c r="AH61" i="18"/>
  <c r="AD61" i="18"/>
  <c r="AD60" i="18" s="1"/>
  <c r="Y61" i="18"/>
  <c r="V61" i="18"/>
  <c r="R61" i="18"/>
  <c r="Q61" i="18"/>
  <c r="Q60" i="18" s="1"/>
  <c r="AH60" i="18"/>
  <c r="AF60" i="18"/>
  <c r="AC60" i="18"/>
  <c r="AC59" i="18" s="1"/>
  <c r="AB60" i="18"/>
  <c r="Z60" i="18"/>
  <c r="Z59" i="18" s="1"/>
  <c r="Y60" i="18"/>
  <c r="X60" i="18"/>
  <c r="W60" i="18"/>
  <c r="W59" i="18" s="1"/>
  <c r="V60" i="18"/>
  <c r="U60" i="18"/>
  <c r="T60" i="18"/>
  <c r="S60" i="18"/>
  <c r="S59" i="18" s="1"/>
  <c r="P60" i="18"/>
  <c r="O60" i="18"/>
  <c r="AF59" i="18"/>
  <c r="AB59" i="18"/>
  <c r="X59" i="18"/>
  <c r="T59" i="18"/>
  <c r="N59" i="18"/>
  <c r="AH58" i="18"/>
  <c r="AD58" i="18"/>
  <c r="V58" i="18"/>
  <c r="R58" i="18"/>
  <c r="AH57" i="18"/>
  <c r="AH56" i="18" s="1"/>
  <c r="AD57" i="18"/>
  <c r="AD56" i="18" s="1"/>
  <c r="Y57" i="18"/>
  <c r="V57" i="18"/>
  <c r="R57" i="18"/>
  <c r="AK56" i="18"/>
  <c r="AJ56" i="18"/>
  <c r="AF56" i="18"/>
  <c r="AC56" i="18"/>
  <c r="AB56" i="18"/>
  <c r="Z56" i="18"/>
  <c r="X56" i="18"/>
  <c r="X42" i="18" s="1"/>
  <c r="X41" i="18" s="1"/>
  <c r="W56" i="18"/>
  <c r="U56" i="18"/>
  <c r="T56" i="18"/>
  <c r="S56" i="18"/>
  <c r="O56" i="18"/>
  <c r="AH55" i="18"/>
  <c r="AD55" i="18"/>
  <c r="Y55" i="18"/>
  <c r="V55" i="18"/>
  <c r="R55" i="18"/>
  <c r="AA55" i="18" s="1"/>
  <c r="AE55" i="18" s="1"/>
  <c r="AL55" i="18" s="1"/>
  <c r="AH54" i="18"/>
  <c r="AD54" i="18"/>
  <c r="V54" i="18"/>
  <c r="Y54" i="18" s="1"/>
  <c r="R54" i="18"/>
  <c r="AH53" i="18"/>
  <c r="AD53" i="18"/>
  <c r="Y53" i="18"/>
  <c r="V53" i="18"/>
  <c r="R53" i="18"/>
  <c r="AH52" i="18"/>
  <c r="AD52" i="18"/>
  <c r="AA52" i="18"/>
  <c r="AE52" i="18" s="1"/>
  <c r="Y52" i="18"/>
  <c r="V52" i="18"/>
  <c r="R52" i="18"/>
  <c r="AH51" i="18"/>
  <c r="AD51" i="18"/>
  <c r="Y51" i="18"/>
  <c r="V51" i="18"/>
  <c r="R51" i="18"/>
  <c r="AA51" i="18" s="1"/>
  <c r="AE51" i="18" s="1"/>
  <c r="AL51" i="18" s="1"/>
  <c r="AH50" i="18"/>
  <c r="AD50" i="18"/>
  <c r="V50" i="18"/>
  <c r="R50" i="18"/>
  <c r="AH49" i="18"/>
  <c r="AD49" i="18"/>
  <c r="Y49" i="18"/>
  <c r="V49" i="18"/>
  <c r="R49" i="18"/>
  <c r="AH48" i="18"/>
  <c r="AG48" i="18"/>
  <c r="Y48" i="18"/>
  <c r="R48" i="18"/>
  <c r="AH47" i="18"/>
  <c r="AD47" i="18"/>
  <c r="Y47" i="18"/>
  <c r="V47" i="18"/>
  <c r="R47" i="18"/>
  <c r="AH46" i="18"/>
  <c r="AH45" i="18" s="1"/>
  <c r="AD46" i="18"/>
  <c r="AA46" i="18"/>
  <c r="AE46" i="18" s="1"/>
  <c r="Y46" i="18"/>
  <c r="V46" i="18"/>
  <c r="R46" i="18"/>
  <c r="AK45" i="18"/>
  <c r="AJ45" i="18"/>
  <c r="AF45" i="18"/>
  <c r="AC45" i="18"/>
  <c r="AB45" i="18"/>
  <c r="Z45" i="18"/>
  <c r="X45" i="18"/>
  <c r="W45" i="18"/>
  <c r="U45" i="18"/>
  <c r="T45" i="18"/>
  <c r="S45" i="18"/>
  <c r="Q45" i="18"/>
  <c r="P45" i="18"/>
  <c r="O45" i="18"/>
  <c r="AH44" i="18"/>
  <c r="AH43" i="18" s="1"/>
  <c r="AH42" i="18" s="1"/>
  <c r="AD44" i="18"/>
  <c r="AA44" i="18"/>
  <c r="AE44" i="18" s="1"/>
  <c r="AE43" i="18" s="1"/>
  <c r="Y44" i="18"/>
  <c r="Y43" i="18" s="1"/>
  <c r="V44" i="18"/>
  <c r="R44" i="18"/>
  <c r="AK43" i="18"/>
  <c r="AJ43" i="18"/>
  <c r="AF43" i="18"/>
  <c r="AD43" i="18"/>
  <c r="AC43" i="18"/>
  <c r="AB43" i="18"/>
  <c r="Z43" i="18"/>
  <c r="Z42" i="18" s="1"/>
  <c r="Z41" i="18" s="1"/>
  <c r="X43" i="18"/>
  <c r="W43" i="18"/>
  <c r="V43" i="18"/>
  <c r="U43" i="18"/>
  <c r="T43" i="18"/>
  <c r="S43" i="18"/>
  <c r="S42" i="18" s="1"/>
  <c r="S41" i="18" s="1"/>
  <c r="R43" i="18"/>
  <c r="Q43" i="18"/>
  <c r="P43" i="18"/>
  <c r="O43" i="18"/>
  <c r="AK42" i="18"/>
  <c r="AJ42" i="18"/>
  <c r="AC42" i="18"/>
  <c r="AC41" i="18" s="1"/>
  <c r="AB42" i="18"/>
  <c r="AB41" i="18" s="1"/>
  <c r="W42" i="18"/>
  <c r="W41" i="18" s="1"/>
  <c r="U42" i="18"/>
  <c r="T42" i="18"/>
  <c r="T41" i="18" s="1"/>
  <c r="Q42" i="18"/>
  <c r="P42" i="18"/>
  <c r="O42" i="18"/>
  <c r="N42" i="18"/>
  <c r="N41" i="18"/>
  <c r="M40" i="18"/>
  <c r="L40" i="18"/>
  <c r="K40" i="18"/>
  <c r="AH39" i="18"/>
  <c r="AE39" i="18"/>
  <c r="AL39" i="18" s="1"/>
  <c r="AD39" i="18"/>
  <c r="Y39" i="18"/>
  <c r="AA39" i="18" s="1"/>
  <c r="V39" i="18"/>
  <c r="R39" i="18"/>
  <c r="AH38" i="18"/>
  <c r="AD38" i="18"/>
  <c r="Y38" i="18"/>
  <c r="V38" i="18"/>
  <c r="R38" i="18"/>
  <c r="AH37" i="18"/>
  <c r="AD37" i="18"/>
  <c r="Y37" i="18"/>
  <c r="V37" i="18"/>
  <c r="R37" i="18"/>
  <c r="AA37" i="18" s="1"/>
  <c r="AE37" i="18" s="1"/>
  <c r="AH36" i="18"/>
  <c r="AD36" i="18"/>
  <c r="V36" i="18"/>
  <c r="Y36" i="18" s="1"/>
  <c r="R36" i="18"/>
  <c r="AA36" i="18" s="1"/>
  <c r="AE36" i="18" s="1"/>
  <c r="AH35" i="18"/>
  <c r="AD35" i="18"/>
  <c r="Y35" i="18"/>
  <c r="V35" i="18"/>
  <c r="R35" i="18"/>
  <c r="AA35" i="18" s="1"/>
  <c r="AE35" i="18" s="1"/>
  <c r="AH34" i="18"/>
  <c r="AD34" i="18"/>
  <c r="AA34" i="18"/>
  <c r="AE34" i="18" s="1"/>
  <c r="Y34" i="18"/>
  <c r="V34" i="18"/>
  <c r="R34" i="18"/>
  <c r="AH33" i="18"/>
  <c r="AD33" i="18"/>
  <c r="Y33" i="18"/>
  <c r="V33" i="18"/>
  <c r="R33" i="18"/>
  <c r="AA33" i="18" s="1"/>
  <c r="AE33" i="18" s="1"/>
  <c r="AH32" i="18"/>
  <c r="AD32" i="18"/>
  <c r="V32" i="18"/>
  <c r="Y32" i="18" s="1"/>
  <c r="R32" i="18"/>
  <c r="AA32" i="18" s="1"/>
  <c r="AE32" i="18" s="1"/>
  <c r="AH31" i="18"/>
  <c r="AD31" i="18"/>
  <c r="Y31" i="18"/>
  <c r="V31" i="18"/>
  <c r="R31" i="18"/>
  <c r="AA31" i="18" s="1"/>
  <c r="AE31" i="18" s="1"/>
  <c r="AH30" i="18"/>
  <c r="AD30" i="18"/>
  <c r="AA30" i="18"/>
  <c r="AE30" i="18" s="1"/>
  <c r="Y30" i="18"/>
  <c r="V30" i="18"/>
  <c r="R30" i="18"/>
  <c r="AH29" i="18"/>
  <c r="AD29" i="18"/>
  <c r="Y29" i="18"/>
  <c r="V29" i="18"/>
  <c r="R29" i="18"/>
  <c r="AA29" i="18" s="1"/>
  <c r="AE29" i="18" s="1"/>
  <c r="AH28" i="18"/>
  <c r="AD28" i="18"/>
  <c r="V28" i="18"/>
  <c r="Y28" i="18" s="1"/>
  <c r="R28" i="18"/>
  <c r="AA28" i="18" s="1"/>
  <c r="AE28" i="18" s="1"/>
  <c r="AH27" i="18"/>
  <c r="AD27" i="18"/>
  <c r="Y27" i="18"/>
  <c r="V27" i="18"/>
  <c r="R27" i="18"/>
  <c r="AA27" i="18" s="1"/>
  <c r="AE27" i="18" s="1"/>
  <c r="AH26" i="18"/>
  <c r="AD26" i="18"/>
  <c r="AA26" i="18"/>
  <c r="AE26" i="18" s="1"/>
  <c r="Y26" i="18"/>
  <c r="V26" i="18"/>
  <c r="R26" i="18"/>
  <c r="AH25" i="18"/>
  <c r="AD25" i="18"/>
  <c r="Y25" i="18"/>
  <c r="Y24" i="18" s="1"/>
  <c r="V25" i="18"/>
  <c r="R25" i="18"/>
  <c r="AA25" i="18" s="1"/>
  <c r="AK24" i="18"/>
  <c r="AJ24" i="18"/>
  <c r="AH24" i="18"/>
  <c r="AF24" i="18"/>
  <c r="AD24" i="18"/>
  <c r="AC24" i="18"/>
  <c r="AB24" i="18"/>
  <c r="Z24" i="18"/>
  <c r="Z17" i="18" s="1"/>
  <c r="Z16" i="18" s="1"/>
  <c r="X24" i="18"/>
  <c r="W24" i="18"/>
  <c r="V24" i="18"/>
  <c r="U24" i="18"/>
  <c r="T24" i="18"/>
  <c r="S24" i="18"/>
  <c r="R24" i="18"/>
  <c r="Q24" i="18"/>
  <c r="P24" i="18"/>
  <c r="O24" i="18"/>
  <c r="AH23" i="18"/>
  <c r="AD23" i="18"/>
  <c r="Y23" i="18"/>
  <c r="V23" i="18"/>
  <c r="R23" i="18"/>
  <c r="AA23" i="18" s="1"/>
  <c r="AE23" i="18" s="1"/>
  <c r="AH22" i="18"/>
  <c r="AD22" i="18"/>
  <c r="V22" i="18"/>
  <c r="Y22" i="18" s="1"/>
  <c r="R22" i="18"/>
  <c r="AH21" i="18"/>
  <c r="AD21" i="18"/>
  <c r="Y21" i="18"/>
  <c r="V21" i="18"/>
  <c r="R21" i="18"/>
  <c r="AA21" i="18" s="1"/>
  <c r="AE21" i="18" s="1"/>
  <c r="AH20" i="18"/>
  <c r="AH18" i="18" s="1"/>
  <c r="AH17" i="18" s="1"/>
  <c r="AH16" i="18" s="1"/>
  <c r="AD20" i="18"/>
  <c r="AA20" i="18"/>
  <c r="AE20" i="18" s="1"/>
  <c r="Y20" i="18"/>
  <c r="V20" i="18"/>
  <c r="R20" i="18"/>
  <c r="AH19" i="18"/>
  <c r="AD19" i="18"/>
  <c r="Y19" i="18"/>
  <c r="V19" i="18"/>
  <c r="V18" i="18" s="1"/>
  <c r="V17" i="18" s="1"/>
  <c r="V16" i="18" s="1"/>
  <c r="R19" i="18"/>
  <c r="AA19" i="18" s="1"/>
  <c r="AF18" i="18"/>
  <c r="AC18" i="18"/>
  <c r="AC17" i="18" s="1"/>
  <c r="AC16" i="18" s="1"/>
  <c r="AB18" i="18"/>
  <c r="AB17" i="18" s="1"/>
  <c r="AB16" i="18" s="1"/>
  <c r="AB15" i="18" s="1"/>
  <c r="Z18" i="18"/>
  <c r="X18" i="18"/>
  <c r="X17" i="18" s="1"/>
  <c r="X16" i="18" s="1"/>
  <c r="X15" i="18" s="1"/>
  <c r="X107" i="18" s="1"/>
  <c r="X109" i="18" s="1"/>
  <c r="W18" i="18"/>
  <c r="U18" i="18"/>
  <c r="T18" i="18"/>
  <c r="T17" i="18" s="1"/>
  <c r="T16" i="18" s="1"/>
  <c r="T15" i="18" s="1"/>
  <c r="T107" i="18" s="1"/>
  <c r="T109" i="18" s="1"/>
  <c r="S18" i="18"/>
  <c r="Q18" i="18"/>
  <c r="P18" i="18"/>
  <c r="P17" i="18" s="1"/>
  <c r="P16" i="18" s="1"/>
  <c r="O18" i="18"/>
  <c r="W17" i="18"/>
  <c r="U17" i="18"/>
  <c r="S17" i="18"/>
  <c r="Q17" i="18"/>
  <c r="O17" i="18"/>
  <c r="N17" i="18"/>
  <c r="W16" i="18"/>
  <c r="W15" i="18" s="1"/>
  <c r="W107" i="18" s="1"/>
  <c r="W109" i="18" s="1"/>
  <c r="W110" i="18" s="1"/>
  <c r="U16" i="18"/>
  <c r="S16" i="18"/>
  <c r="S15" i="18" s="1"/>
  <c r="Q16" i="18"/>
  <c r="O16" i="18"/>
  <c r="N16" i="18"/>
  <c r="N15" i="18"/>
  <c r="N107" i="18" s="1"/>
  <c r="AL12" i="18"/>
  <c r="AD12" i="18"/>
  <c r="AD11" i="18"/>
  <c r="AM10" i="18"/>
  <c r="AH10" i="18"/>
  <c r="AE10" i="18"/>
  <c r="AL10" i="18" s="1"/>
  <c r="AA10" i="18"/>
  <c r="R10" i="18"/>
  <c r="N10" i="18"/>
  <c r="AM9" i="18"/>
  <c r="AH9" i="18"/>
  <c r="AE9" i="18"/>
  <c r="AL9" i="18" s="1"/>
  <c r="AA9" i="18"/>
  <c r="AA8" i="18" s="1"/>
  <c r="AA7" i="18" s="1"/>
  <c r="AA108" i="18" s="1"/>
  <c r="R9" i="18"/>
  <c r="N9" i="18"/>
  <c r="AH8" i="18"/>
  <c r="AH7" i="18" s="1"/>
  <c r="AF8" i="18"/>
  <c r="AD8" i="18"/>
  <c r="AD7" i="18" s="1"/>
  <c r="AD108" i="18" s="1"/>
  <c r="AC8" i="18"/>
  <c r="AB8" i="18"/>
  <c r="Z8" i="18"/>
  <c r="Z7" i="18" s="1"/>
  <c r="Z108" i="18" s="1"/>
  <c r="Y8" i="18"/>
  <c r="X8" i="18"/>
  <c r="W8" i="18"/>
  <c r="V8" i="18"/>
  <c r="V7" i="18" s="1"/>
  <c r="V108" i="18" s="1"/>
  <c r="U8" i="18"/>
  <c r="T8" i="18"/>
  <c r="S8" i="18"/>
  <c r="R8" i="18"/>
  <c r="R7" i="18" s="1"/>
  <c r="Q8" i="18"/>
  <c r="P8" i="18"/>
  <c r="O8" i="18"/>
  <c r="N8" i="18"/>
  <c r="N7" i="18" s="1"/>
  <c r="N108" i="18" s="1"/>
  <c r="AF7" i="18"/>
  <c r="AF108" i="18" s="1"/>
  <c r="AC7" i="18"/>
  <c r="AC108" i="18" s="1"/>
  <c r="AB7" i="18"/>
  <c r="AB108" i="18" s="1"/>
  <c r="Y7" i="18"/>
  <c r="Y108" i="18" s="1"/>
  <c r="X7" i="18"/>
  <c r="X108" i="18" s="1"/>
  <c r="W7" i="18"/>
  <c r="W108" i="18" s="1"/>
  <c r="U7" i="18"/>
  <c r="U108" i="18" s="1"/>
  <c r="T7" i="18"/>
  <c r="T108" i="18" s="1"/>
  <c r="S7" i="18"/>
  <c r="S108" i="18" s="1"/>
  <c r="Q7" i="18"/>
  <c r="Q108" i="18" s="1"/>
  <c r="P7" i="18"/>
  <c r="P108" i="18" s="1"/>
  <c r="O7" i="18"/>
  <c r="O108" i="18" s="1"/>
  <c r="AS4" i="18"/>
  <c r="AR4" i="18"/>
  <c r="AR2" i="18" s="1"/>
  <c r="AQ4" i="18"/>
  <c r="AP4" i="18"/>
  <c r="AD125" i="18" l="1"/>
  <c r="AD131" i="18" s="1"/>
  <c r="AF42" i="18"/>
  <c r="AF41" i="18" s="1"/>
  <c r="AD45" i="18"/>
  <c r="AD42" i="18" s="1"/>
  <c r="AC15" i="18"/>
  <c r="AC107" i="18" s="1"/>
  <c r="AD18" i="18"/>
  <c r="AD17" i="18" s="1"/>
  <c r="AD16" i="18" s="1"/>
  <c r="S107" i="18"/>
  <c r="S109" i="18" s="1"/>
  <c r="AB107" i="18"/>
  <c r="AD15" i="18"/>
  <c r="AD107" i="18" s="1"/>
  <c r="AD109" i="18" s="1"/>
  <c r="AD130" i="18" s="1"/>
  <c r="Y18" i="18"/>
  <c r="Y17" i="18" s="1"/>
  <c r="Y16" i="18" s="1"/>
  <c r="AG27" i="18"/>
  <c r="AI27" i="18" s="1"/>
  <c r="AL27" i="18"/>
  <c r="AG31" i="18"/>
  <c r="AI31" i="18" s="1"/>
  <c r="AL31" i="18"/>
  <c r="AG35" i="18"/>
  <c r="AI35" i="18" s="1"/>
  <c r="AL35" i="18"/>
  <c r="AF112" i="18"/>
  <c r="AE112" i="18"/>
  <c r="AG21" i="18"/>
  <c r="AI21" i="18" s="1"/>
  <c r="AL21" i="18"/>
  <c r="Z15" i="18"/>
  <c r="Z107" i="18" s="1"/>
  <c r="Z109" i="18" s="1"/>
  <c r="AE25" i="18"/>
  <c r="AA24" i="18"/>
  <c r="AM26" i="18"/>
  <c r="AG26" i="18"/>
  <c r="AI26" i="18" s="1"/>
  <c r="AL26" i="18"/>
  <c r="AL28" i="18"/>
  <c r="AG28" i="18"/>
  <c r="AI28" i="18" s="1"/>
  <c r="AL29" i="18"/>
  <c r="AG29" i="18"/>
  <c r="AI29" i="18" s="1"/>
  <c r="AM29" i="18"/>
  <c r="AM30" i="18"/>
  <c r="AG30" i="18"/>
  <c r="AI30" i="18" s="1"/>
  <c r="AL30" i="18"/>
  <c r="AG32" i="18"/>
  <c r="AI32" i="18" s="1"/>
  <c r="AL32" i="18"/>
  <c r="AL33" i="18"/>
  <c r="AM33" i="18"/>
  <c r="AG33" i="18"/>
  <c r="AI33" i="18" s="1"/>
  <c r="AM34" i="18"/>
  <c r="AG34" i="18"/>
  <c r="AI34" i="18" s="1"/>
  <c r="AL34" i="18"/>
  <c r="AG36" i="18"/>
  <c r="AI36" i="18" s="1"/>
  <c r="AL36" i="18"/>
  <c r="AL37" i="18"/>
  <c r="AG37" i="18"/>
  <c r="AI37" i="18" s="1"/>
  <c r="AM71" i="18"/>
  <c r="AL71" i="18"/>
  <c r="AG71" i="18"/>
  <c r="AI71" i="18" s="1"/>
  <c r="AH108" i="18"/>
  <c r="AM7" i="18"/>
  <c r="AE19" i="18"/>
  <c r="AM20" i="18"/>
  <c r="AG20" i="18"/>
  <c r="AI20" i="18" s="1"/>
  <c r="AL20" i="18"/>
  <c r="AA22" i="18"/>
  <c r="AE22" i="18" s="1"/>
  <c r="AL23" i="18"/>
  <c r="AM23" i="18"/>
  <c r="AG23" i="18"/>
  <c r="AI23" i="18" s="1"/>
  <c r="AA53" i="18"/>
  <c r="AE53" i="18" s="1"/>
  <c r="AM53" i="18" s="1"/>
  <c r="AG86" i="18"/>
  <c r="AI86" i="18" s="1"/>
  <c r="AL86" i="18"/>
  <c r="AE8" i="18"/>
  <c r="AE7" i="18" s="1"/>
  <c r="AG9" i="18"/>
  <c r="AG10" i="18"/>
  <c r="AF17" i="18"/>
  <c r="AM28" i="18"/>
  <c r="AM32" i="18"/>
  <c r="AM36" i="18"/>
  <c r="AG39" i="18"/>
  <c r="AI39" i="18" s="1"/>
  <c r="V42" i="18"/>
  <c r="AA43" i="18"/>
  <c r="AA47" i="18"/>
  <c r="R45" i="18"/>
  <c r="R42" i="18" s="1"/>
  <c r="AM51" i="18"/>
  <c r="AM52" i="18"/>
  <c r="AG52" i="18"/>
  <c r="AI52" i="18" s="1"/>
  <c r="AL52" i="18"/>
  <c r="Y56" i="18"/>
  <c r="AA74" i="18"/>
  <c r="AE74" i="18" s="1"/>
  <c r="AM74" i="18" s="1"/>
  <c r="Y77" i="18"/>
  <c r="V76" i="18"/>
  <c r="N109" i="18"/>
  <c r="AG55" i="18"/>
  <c r="AI55" i="18" s="1"/>
  <c r="AM67" i="18"/>
  <c r="AL67" i="18"/>
  <c r="R68" i="18"/>
  <c r="Q64" i="18"/>
  <c r="Q59" i="18" s="1"/>
  <c r="Q41" i="18" s="1"/>
  <c r="Q15" i="18" s="1"/>
  <c r="Q107" i="18" s="1"/>
  <c r="Q109" i="18" s="1"/>
  <c r="AM79" i="18"/>
  <c r="AG79" i="18"/>
  <c r="AI79" i="18" s="1"/>
  <c r="R112" i="18"/>
  <c r="R108" i="18"/>
  <c r="R18" i="18"/>
  <c r="AM21" i="18"/>
  <c r="AM27" i="18"/>
  <c r="AM31" i="18"/>
  <c r="AM35" i="18"/>
  <c r="AM37" i="18"/>
  <c r="AM44" i="18"/>
  <c r="AM43" i="18" s="1"/>
  <c r="AG44" i="18"/>
  <c r="AL44" i="18"/>
  <c r="AL43" i="18" s="1"/>
  <c r="AM46" i="18"/>
  <c r="AG46" i="18"/>
  <c r="AL46" i="18"/>
  <c r="AL45" i="18" s="1"/>
  <c r="V45" i="18"/>
  <c r="Y50" i="18"/>
  <c r="Y45" i="18" s="1"/>
  <c r="Y42" i="18" s="1"/>
  <c r="AA54" i="18"/>
  <c r="AE54" i="18" s="1"/>
  <c r="AM55" i="18"/>
  <c r="V56" i="18"/>
  <c r="Y58" i="18"/>
  <c r="AA58" i="18" s="1"/>
  <c r="AE58" i="18" s="1"/>
  <c r="O59" i="18"/>
  <c r="O41" i="18" s="1"/>
  <c r="O15" i="18" s="1"/>
  <c r="O107" i="18" s="1"/>
  <c r="AD59" i="18"/>
  <c r="AM63" i="18"/>
  <c r="AA63" i="18"/>
  <c r="AE63" i="18" s="1"/>
  <c r="R64" i="18"/>
  <c r="AG67" i="18"/>
  <c r="AI67" i="18" s="1"/>
  <c r="AG73" i="18"/>
  <c r="AI73" i="18" s="1"/>
  <c r="AL73" i="18"/>
  <c r="R87" i="18"/>
  <c r="O80" i="18"/>
  <c r="AG88" i="18"/>
  <c r="AI88" i="18" s="1"/>
  <c r="AL88" i="18"/>
  <c r="AA38" i="18"/>
  <c r="AE38" i="18" s="1"/>
  <c r="AM38" i="18" s="1"/>
  <c r="AM39" i="18"/>
  <c r="AC130" i="18"/>
  <c r="AC109" i="18"/>
  <c r="AA48" i="18"/>
  <c r="AA49" i="18"/>
  <c r="AE49" i="18" s="1"/>
  <c r="AM49" i="18" s="1"/>
  <c r="AG51" i="18"/>
  <c r="AI51" i="18" s="1"/>
  <c r="AA57" i="18"/>
  <c r="R56" i="18"/>
  <c r="AA61" i="18"/>
  <c r="R60" i="18"/>
  <c r="AA66" i="18"/>
  <c r="AE66" i="18" s="1"/>
  <c r="AM66" i="18" s="1"/>
  <c r="AG75" i="18"/>
  <c r="AI75" i="18" s="1"/>
  <c r="AL75" i="18"/>
  <c r="AL79" i="18"/>
  <c r="AG84" i="18"/>
  <c r="AI84" i="18" s="1"/>
  <c r="AL84" i="18"/>
  <c r="AM92" i="18"/>
  <c r="AA92" i="18"/>
  <c r="AE92" i="18" s="1"/>
  <c r="Y65" i="18"/>
  <c r="Y64" i="18" s="1"/>
  <c r="V64" i="18"/>
  <c r="AH64" i="18"/>
  <c r="AA70" i="18"/>
  <c r="AE70" i="18" s="1"/>
  <c r="AM73" i="18"/>
  <c r="Y81" i="18"/>
  <c r="V80" i="18"/>
  <c r="AH80" i="18"/>
  <c r="AD80" i="18"/>
  <c r="AA85" i="18"/>
  <c r="AE85" i="18" s="1"/>
  <c r="AM99" i="18"/>
  <c r="AA99" i="18"/>
  <c r="AE99" i="18" s="1"/>
  <c r="R96" i="18"/>
  <c r="AE120" i="18"/>
  <c r="AA78" i="18"/>
  <c r="AE78" i="18" s="1"/>
  <c r="AA83" i="18"/>
  <c r="AE83" i="18" s="1"/>
  <c r="AM83" i="18" s="1"/>
  <c r="AM88" i="18"/>
  <c r="AG98" i="18"/>
  <c r="AI98" i="18" s="1"/>
  <c r="AL98" i="18"/>
  <c r="Y105" i="18"/>
  <c r="Y104" i="18" s="1"/>
  <c r="V104" i="18"/>
  <c r="AD64" i="18"/>
  <c r="AA69" i="18"/>
  <c r="AE69" i="18" s="1"/>
  <c r="R82" i="18"/>
  <c r="P80" i="18"/>
  <c r="P59" i="18" s="1"/>
  <c r="P41" i="18" s="1"/>
  <c r="P15" i="18" s="1"/>
  <c r="P107" i="18" s="1"/>
  <c r="P109" i="18" s="1"/>
  <c r="AL89" i="18"/>
  <c r="AG89" i="18"/>
  <c r="AI89" i="18" s="1"/>
  <c r="AM91" i="18"/>
  <c r="AA91" i="18"/>
  <c r="AE91" i="18" s="1"/>
  <c r="AA101" i="18"/>
  <c r="AE101" i="18" s="1"/>
  <c r="R76" i="18"/>
  <c r="AA97" i="18"/>
  <c r="AM98" i="18"/>
  <c r="AE118" i="18"/>
  <c r="AM118" i="18" s="1"/>
  <c r="AG124" i="18"/>
  <c r="AI124" i="18" s="1"/>
  <c r="AM124" i="18"/>
  <c r="AM120" i="18"/>
  <c r="AH125" i="18"/>
  <c r="AM122" i="18"/>
  <c r="AM84" i="18"/>
  <c r="AM86" i="18"/>
  <c r="AG93" i="18"/>
  <c r="AI93" i="18" s="1"/>
  <c r="U96" i="18"/>
  <c r="U59" i="18" s="1"/>
  <c r="U41" i="18" s="1"/>
  <c r="U15" i="18" s="1"/>
  <c r="V103" i="18"/>
  <c r="Y103" i="18" s="1"/>
  <c r="AA103" i="18" s="1"/>
  <c r="AE103" i="18" s="1"/>
  <c r="AG103" i="18" s="1"/>
  <c r="AI103" i="18" s="1"/>
  <c r="R104" i="18"/>
  <c r="AG119" i="18"/>
  <c r="AI119" i="18" s="1"/>
  <c r="AM119" i="18"/>
  <c r="AM121" i="18"/>
  <c r="I116" i="18"/>
  <c r="AA121" i="18"/>
  <c r="AE121" i="18" s="1"/>
  <c r="AG121" i="18" s="1"/>
  <c r="AI121" i="18" s="1"/>
  <c r="AG123" i="18"/>
  <c r="AL123" i="18"/>
  <c r="R125" i="18"/>
  <c r="AC131" i="18"/>
  <c r="AM123" i="18"/>
  <c r="N258" i="17"/>
  <c r="N18" i="17" s="1"/>
  <c r="E12" i="17" s="1"/>
  <c r="B252" i="17"/>
  <c r="B251" i="17"/>
  <c r="N114" i="17"/>
  <c r="A61" i="17"/>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54" i="17"/>
  <c r="A55" i="17" s="1"/>
  <c r="A56" i="17" s="1"/>
  <c r="A57" i="17" s="1"/>
  <c r="A58" i="17" s="1"/>
  <c r="A59" i="17" s="1"/>
  <c r="A32" i="17"/>
  <c r="A33" i="17" s="1"/>
  <c r="A34" i="17" s="1"/>
  <c r="A35" i="17" s="1"/>
  <c r="A36" i="17" s="1"/>
  <c r="A37" i="17" s="1"/>
  <c r="A38" i="17" s="1"/>
  <c r="A39" i="17" s="1"/>
  <c r="A40" i="17" s="1"/>
  <c r="A41" i="17" s="1"/>
  <c r="A43" i="17" s="1"/>
  <c r="A44" i="17" s="1"/>
  <c r="A45" i="17" s="1"/>
  <c r="A46" i="17" s="1"/>
  <c r="A47" i="17" s="1"/>
  <c r="A48" i="17" s="1"/>
  <c r="A49" i="17" s="1"/>
  <c r="A50" i="17" s="1"/>
  <c r="A51" i="17" s="1"/>
  <c r="A52" i="17" s="1"/>
  <c r="A26" i="17"/>
  <c r="A27" i="17" s="1"/>
  <c r="A21" i="17"/>
  <c r="A22" i="17" s="1"/>
  <c r="A23" i="17" s="1"/>
  <c r="A24" i="17" s="1"/>
  <c r="Z18" i="17"/>
  <c r="Y18" i="17"/>
  <c r="X18" i="17"/>
  <c r="M18" i="17"/>
  <c r="U12" i="17"/>
  <c r="V11" i="17"/>
  <c r="U11" i="17"/>
  <c r="T11" i="17"/>
  <c r="V10" i="17"/>
  <c r="V12" i="17" s="1"/>
  <c r="U10" i="17"/>
  <c r="T10" i="17"/>
  <c r="T12" i="17" s="1"/>
  <c r="A110" i="17" l="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V15" i="17"/>
  <c r="AD132" i="18"/>
  <c r="AD41" i="18"/>
  <c r="AD106" i="18" s="1"/>
  <c r="AG58" i="18"/>
  <c r="AI58" i="18" s="1"/>
  <c r="AL58" i="18"/>
  <c r="AM58" i="18"/>
  <c r="U107" i="18"/>
  <c r="U109" i="18" s="1"/>
  <c r="V110" i="18" s="1"/>
  <c r="AH15" i="18"/>
  <c r="AH107" i="18" s="1"/>
  <c r="AH109" i="18" s="1"/>
  <c r="O109" i="18"/>
  <c r="R110" i="18"/>
  <c r="R107" i="18"/>
  <c r="J3" i="18"/>
  <c r="J4" i="18"/>
  <c r="AL69" i="18"/>
  <c r="AG69" i="18"/>
  <c r="AI69" i="18" s="1"/>
  <c r="AM69" i="18"/>
  <c r="AG85" i="18"/>
  <c r="AI85" i="18" s="1"/>
  <c r="AL85" i="18"/>
  <c r="AA56" i="18"/>
  <c r="AE57" i="18"/>
  <c r="AG54" i="18"/>
  <c r="AI54" i="18" s="1"/>
  <c r="AL54" i="18"/>
  <c r="AI46" i="18"/>
  <c r="AA112" i="18"/>
  <c r="Y76" i="18"/>
  <c r="Y59" i="18" s="1"/>
  <c r="Y41" i="18" s="1"/>
  <c r="Y15" i="18" s="1"/>
  <c r="Y107" i="18" s="1"/>
  <c r="Y109" i="18" s="1"/>
  <c r="AA77" i="18"/>
  <c r="AE47" i="18"/>
  <c r="AA45" i="18"/>
  <c r="AA42" i="18" s="1"/>
  <c r="AL22" i="18"/>
  <c r="AG22" i="18"/>
  <c r="AI22" i="18" s="1"/>
  <c r="AA18" i="18"/>
  <c r="AA17" i="18" s="1"/>
  <c r="AA16" i="18" s="1"/>
  <c r="AI123" i="18"/>
  <c r="AE125" i="18"/>
  <c r="AG118" i="18"/>
  <c r="AL118" i="18"/>
  <c r="V96" i="18"/>
  <c r="V59" i="18" s="1"/>
  <c r="V41" i="18" s="1"/>
  <c r="V15" i="18" s="1"/>
  <c r="V107" i="18" s="1"/>
  <c r="V109" i="18" s="1"/>
  <c r="AG91" i="18"/>
  <c r="AI91" i="18" s="1"/>
  <c r="AL91" i="18"/>
  <c r="AL78" i="18"/>
  <c r="AG78" i="18"/>
  <c r="AI78" i="18" s="1"/>
  <c r="AG99" i="18"/>
  <c r="AI99" i="18" s="1"/>
  <c r="AL99" i="18"/>
  <c r="AG92" i="18"/>
  <c r="AI92" i="18" s="1"/>
  <c r="AL92" i="18"/>
  <c r="AA68" i="18"/>
  <c r="AE68" i="18" s="1"/>
  <c r="AA50" i="18"/>
  <c r="AE50" i="18" s="1"/>
  <c r="AG8" i="18"/>
  <c r="AG7" i="18" s="1"/>
  <c r="AM78" i="18"/>
  <c r="AL19" i="18"/>
  <c r="AE18" i="18"/>
  <c r="AM19" i="18"/>
  <c r="AG19" i="18"/>
  <c r="AL25" i="18"/>
  <c r="AL24" i="18" s="1"/>
  <c r="AG25" i="18"/>
  <c r="AE24" i="18"/>
  <c r="AM25" i="18"/>
  <c r="AM24" i="18" s="1"/>
  <c r="AL112" i="18"/>
  <c r="AB109" i="18"/>
  <c r="AD110" i="18" s="1"/>
  <c r="AB130" i="18"/>
  <c r="AB132" i="18" s="1"/>
  <c r="AE97" i="18"/>
  <c r="AA96" i="18"/>
  <c r="AL83" i="18"/>
  <c r="AG83" i="18"/>
  <c r="AI83" i="18" s="1"/>
  <c r="AA81" i="18"/>
  <c r="Y80" i="18"/>
  <c r="AE61" i="18"/>
  <c r="AA60" i="18"/>
  <c r="Y96" i="18"/>
  <c r="AA125" i="18"/>
  <c r="R80" i="18"/>
  <c r="R59" i="18" s="1"/>
  <c r="R41" i="18" s="1"/>
  <c r="AA82" i="18"/>
  <c r="AE82" i="18" s="1"/>
  <c r="AM82" i="18" s="1"/>
  <c r="AA134" i="18"/>
  <c r="AG70" i="18"/>
  <c r="AI70" i="18" s="1"/>
  <c r="AM70" i="18"/>
  <c r="AL70" i="18"/>
  <c r="AG66" i="18"/>
  <c r="AI66" i="18" s="1"/>
  <c r="AL66" i="18"/>
  <c r="AG63" i="18"/>
  <c r="AI63" i="18" s="1"/>
  <c r="AL63" i="18"/>
  <c r="AA105" i="18"/>
  <c r="AL74" i="18"/>
  <c r="AG74" i="18"/>
  <c r="AI74" i="18" s="1"/>
  <c r="AM22" i="18"/>
  <c r="AE108" i="18"/>
  <c r="AL108" i="18" s="1"/>
  <c r="AE11" i="18"/>
  <c r="AL7" i="18"/>
  <c r="AL101" i="18"/>
  <c r="AG101" i="18"/>
  <c r="AI101" i="18" s="1"/>
  <c r="AM125" i="18"/>
  <c r="AM131" i="18" s="1"/>
  <c r="AM132" i="18" s="1"/>
  <c r="AM101" i="18"/>
  <c r="AG120" i="18"/>
  <c r="AI120" i="18" s="1"/>
  <c r="AL120" i="18"/>
  <c r="AM85" i="18"/>
  <c r="AM54" i="18"/>
  <c r="AG49" i="18"/>
  <c r="AI49" i="18" s="1"/>
  <c r="AL49" i="18"/>
  <c r="AC132" i="18"/>
  <c r="AG38" i="18"/>
  <c r="AI38" i="18" s="1"/>
  <c r="AL38" i="18"/>
  <c r="AM87" i="18"/>
  <c r="AA87" i="18"/>
  <c r="AE87" i="18" s="1"/>
  <c r="AA65" i="18"/>
  <c r="AG43" i="18"/>
  <c r="AI44" i="18"/>
  <c r="AI43" i="18" s="1"/>
  <c r="R17" i="18"/>
  <c r="AM18" i="18"/>
  <c r="AF16" i="18"/>
  <c r="AG53" i="18"/>
  <c r="AI53" i="18" s="1"/>
  <c r="AL53" i="18"/>
  <c r="V13" i="17"/>
  <c r="V14" i="17"/>
  <c r="AA104" i="18" l="1"/>
  <c r="AE105" i="18"/>
  <c r="AA80" i="18"/>
  <c r="AE81" i="18"/>
  <c r="AL97" i="18"/>
  <c r="AL96" i="18" s="1"/>
  <c r="AE96" i="18"/>
  <c r="AG97" i="18"/>
  <c r="AM97" i="18"/>
  <c r="AM96" i="18" s="1"/>
  <c r="AI19" i="18"/>
  <c r="AG18" i="18"/>
  <c r="AG68" i="18"/>
  <c r="AI68" i="18" s="1"/>
  <c r="AL68" i="18"/>
  <c r="AG125" i="18"/>
  <c r="AI118" i="18"/>
  <c r="AM108" i="18"/>
  <c r="AA110" i="18"/>
  <c r="AD134" i="18"/>
  <c r="AF134" i="18"/>
  <c r="AG108" i="18"/>
  <c r="AG11" i="18"/>
  <c r="AE131" i="18"/>
  <c r="AG134" i="18" s="1"/>
  <c r="AG126" i="18"/>
  <c r="AL125" i="18"/>
  <c r="AG47" i="18"/>
  <c r="AL47" i="18"/>
  <c r="AE45" i="18"/>
  <c r="AM47" i="18"/>
  <c r="AM45" i="18" s="1"/>
  <c r="AM42" i="18" s="1"/>
  <c r="AA131" i="18"/>
  <c r="AE126" i="18"/>
  <c r="AD126" i="18"/>
  <c r="AL61" i="18"/>
  <c r="AG61" i="18"/>
  <c r="AE60" i="18"/>
  <c r="AM61" i="18"/>
  <c r="AG24" i="18"/>
  <c r="AI25" i="18"/>
  <c r="AI24" i="18" s="1"/>
  <c r="AL18" i="18"/>
  <c r="AE17" i="18"/>
  <c r="AG50" i="18"/>
  <c r="AI50" i="18" s="1"/>
  <c r="AL50" i="18"/>
  <c r="AM50" i="18"/>
  <c r="AE77" i="18"/>
  <c r="AA76" i="18"/>
  <c r="Q112" i="18"/>
  <c r="R109" i="18"/>
  <c r="AA64" i="18"/>
  <c r="AA59" i="18" s="1"/>
  <c r="AA41" i="18" s="1"/>
  <c r="AA15" i="18" s="1"/>
  <c r="AA107" i="18" s="1"/>
  <c r="AE65" i="18"/>
  <c r="AF15" i="18"/>
  <c r="AF107" i="18" s="1"/>
  <c r="R16" i="18"/>
  <c r="AM17" i="18"/>
  <c r="AG87" i="18"/>
  <c r="AI87" i="18" s="1"/>
  <c r="AL87" i="18"/>
  <c r="AL11" i="18"/>
  <c r="AM11" i="18"/>
  <c r="AG82" i="18"/>
  <c r="AI82" i="18" s="1"/>
  <c r="AL82" i="18"/>
  <c r="AM68" i="18"/>
  <c r="AG127" i="18"/>
  <c r="AE56" i="18"/>
  <c r="AG57" i="18"/>
  <c r="AL57" i="18"/>
  <c r="AL56" i="18" s="1"/>
  <c r="AL42" i="18" s="1"/>
  <c r="AM57" i="18"/>
  <c r="AM56" i="18" s="1"/>
  <c r="P7" i="7"/>
  <c r="AA130" i="18" l="1"/>
  <c r="AE110" i="18"/>
  <c r="AL110" i="18" s="1"/>
  <c r="AA109" i="18"/>
  <c r="AG96" i="18"/>
  <c r="AI97" i="18"/>
  <c r="AI96" i="18" s="1"/>
  <c r="AF109" i="18"/>
  <c r="AF130" i="18"/>
  <c r="AG77" i="18"/>
  <c r="AL77" i="18"/>
  <c r="AL76" i="18" s="1"/>
  <c r="AE76" i="18"/>
  <c r="AM77" i="18"/>
  <c r="AM76" i="18" s="1"/>
  <c r="AE16" i="18"/>
  <c r="AM16" i="18" s="1"/>
  <c r="AL17" i="18"/>
  <c r="AE42" i="18"/>
  <c r="AG17" i="18"/>
  <c r="AI18" i="18"/>
  <c r="AG105" i="18"/>
  <c r="AE104" i="18"/>
  <c r="AH104" i="18" s="1"/>
  <c r="AL105" i="18"/>
  <c r="AM105" i="18"/>
  <c r="AG65" i="18"/>
  <c r="AL65" i="18"/>
  <c r="AL64" i="18" s="1"/>
  <c r="AE64" i="18"/>
  <c r="AM65" i="18"/>
  <c r="AM64" i="18" s="1"/>
  <c r="AG131" i="18"/>
  <c r="AH131" i="18" s="1"/>
  <c r="AI125" i="18"/>
  <c r="AG56" i="18"/>
  <c r="AI57" i="18"/>
  <c r="AI56" i="18" s="1"/>
  <c r="R15" i="18"/>
  <c r="AG60" i="18"/>
  <c r="AI61" i="18"/>
  <c r="AI47" i="18"/>
  <c r="AI45" i="18" s="1"/>
  <c r="AI42" i="18" s="1"/>
  <c r="AG45" i="18"/>
  <c r="AM81" i="18"/>
  <c r="AM80" i="18" s="1"/>
  <c r="AG81" i="18"/>
  <c r="AL81" i="18"/>
  <c r="AL80" i="18" s="1"/>
  <c r="AE80" i="18"/>
  <c r="M22" i="7"/>
  <c r="J34" i="7"/>
  <c r="K34" i="7"/>
  <c r="Q7" i="7"/>
  <c r="P6" i="7"/>
  <c r="AE59" i="18" l="1"/>
  <c r="AE41" i="18" s="1"/>
  <c r="AE15" i="18" s="1"/>
  <c r="AI105" i="18"/>
  <c r="AG104" i="18"/>
  <c r="AJ104" i="18" s="1"/>
  <c r="AI81" i="18"/>
  <c r="AI80" i="18" s="1"/>
  <c r="AG80" i="18"/>
  <c r="AL16" i="18"/>
  <c r="AI77" i="18"/>
  <c r="AI76" i="18" s="1"/>
  <c r="AG76" i="18"/>
  <c r="AG135" i="18"/>
  <c r="AA132" i="18"/>
  <c r="AE134" i="18" s="1"/>
  <c r="AL59" i="18"/>
  <c r="AL41" i="18" s="1"/>
  <c r="AG16" i="18"/>
  <c r="AI17" i="18"/>
  <c r="AG42" i="18"/>
  <c r="AG64" i="18"/>
  <c r="AI65" i="18"/>
  <c r="AI64" i="18" s="1"/>
  <c r="AI59" i="18" s="1"/>
  <c r="AI41" i="18" s="1"/>
  <c r="AK104" i="18"/>
  <c r="AK59" i="18" s="1"/>
  <c r="AK41" i="18" s="1"/>
  <c r="AH59" i="18"/>
  <c r="AH41" i="18" s="1"/>
  <c r="AF132" i="18"/>
  <c r="Q33" i="7"/>
  <c r="P33" i="7"/>
  <c r="Q31" i="7"/>
  <c r="P31" i="7"/>
  <c r="Q30" i="7"/>
  <c r="P30" i="7"/>
  <c r="Q28" i="7"/>
  <c r="P28" i="7"/>
  <c r="Q27" i="7"/>
  <c r="P27" i="7"/>
  <c r="Q26" i="7"/>
  <c r="P26" i="7"/>
  <c r="Q25" i="7"/>
  <c r="P25" i="7"/>
  <c r="Q24" i="7"/>
  <c r="P24" i="7"/>
  <c r="Q23" i="7"/>
  <c r="P23" i="7"/>
  <c r="Q22" i="7"/>
  <c r="P22" i="7"/>
  <c r="Q21" i="7"/>
  <c r="P21" i="7"/>
  <c r="Q19" i="7"/>
  <c r="P19" i="7"/>
  <c r="Q18" i="7"/>
  <c r="P18" i="7"/>
  <c r="Q17" i="7"/>
  <c r="P17" i="7"/>
  <c r="Q16" i="7"/>
  <c r="P16" i="7"/>
  <c r="Q14" i="7"/>
  <c r="P14" i="7"/>
  <c r="Q13" i="7"/>
  <c r="P13" i="7"/>
  <c r="Q11" i="7"/>
  <c r="P11" i="7"/>
  <c r="Q10" i="7"/>
  <c r="P10" i="7"/>
  <c r="Q9" i="7"/>
  <c r="P9" i="7"/>
  <c r="AG59" i="18" l="1"/>
  <c r="AE107" i="18"/>
  <c r="AL15" i="18"/>
  <c r="AM15" i="18"/>
  <c r="AI16" i="18"/>
  <c r="AM104" i="18"/>
  <c r="AM59" i="18" s="1"/>
  <c r="AM41" i="18" s="1"/>
  <c r="AJ59" i="18"/>
  <c r="AJ41" i="18" s="1"/>
  <c r="AG41" i="18"/>
  <c r="AG15" i="18" s="1"/>
  <c r="AG107" i="18" s="1"/>
  <c r="P34" i="7"/>
  <c r="AG130" i="18" l="1"/>
  <c r="AG109" i="18"/>
  <c r="AI109" i="18" s="1"/>
  <c r="AI107" i="18"/>
  <c r="AE130" i="18"/>
  <c r="AE132" i="18" s="1"/>
  <c r="AE109" i="18"/>
  <c r="AL107" i="18"/>
  <c r="AM107" i="18"/>
  <c r="N34" i="7"/>
  <c r="AG136" i="18" l="1"/>
  <c r="AE136" i="18"/>
  <c r="AL109" i="18"/>
  <c r="AM109" i="18"/>
  <c r="AG132" i="18"/>
  <c r="AH132" i="18" s="1"/>
  <c r="AH130" i="18"/>
  <c r="M34" i="7"/>
  <c r="N36" i="7" s="1"/>
  <c r="Q34" i="7"/>
  <c r="AF136" i="18" l="1"/>
  <c r="Q43" i="6"/>
  <c r="P43" i="6"/>
  <c r="P42" i="6" s="1"/>
  <c r="Q41" i="6"/>
  <c r="P41" i="6"/>
  <c r="Q40" i="6"/>
  <c r="P40" i="6"/>
  <c r="Q38" i="6"/>
  <c r="P38" i="6"/>
  <c r="Q37" i="6"/>
  <c r="P37" i="6"/>
  <c r="Q36" i="6"/>
  <c r="P36" i="6"/>
  <c r="Q35" i="6"/>
  <c r="P35" i="6"/>
  <c r="P34" i="6"/>
  <c r="Q11" i="6" l="1"/>
  <c r="Q12" i="6"/>
  <c r="Q13" i="6"/>
  <c r="Q16" i="6"/>
  <c r="Q14" i="6" s="1"/>
  <c r="P15" i="6"/>
  <c r="Q42" i="6"/>
  <c r="N42" i="6"/>
  <c r="M42" i="6"/>
  <c r="L42" i="6"/>
  <c r="K42" i="6"/>
  <c r="J42" i="6"/>
  <c r="Q39" i="6"/>
  <c r="P39" i="6"/>
  <c r="N39" i="6"/>
  <c r="M39" i="6"/>
  <c r="K39" i="6"/>
  <c r="J39" i="6"/>
  <c r="Q34" i="6"/>
  <c r="N34" i="6"/>
  <c r="Q27" i="6"/>
  <c r="P27" i="6"/>
  <c r="Q26" i="6"/>
  <c r="P26" i="6"/>
  <c r="Q25" i="6"/>
  <c r="P25" i="6"/>
  <c r="N25" i="6"/>
  <c r="M25" i="6"/>
  <c r="K25" i="6"/>
  <c r="J25" i="6"/>
  <c r="Q24" i="6"/>
  <c r="P24" i="6"/>
  <c r="Q23" i="6"/>
  <c r="Q21" i="6" s="1"/>
  <c r="P23" i="6"/>
  <c r="P21" i="6" s="1"/>
  <c r="N21" i="6"/>
  <c r="M21" i="6"/>
  <c r="K21" i="6"/>
  <c r="J21" i="6"/>
  <c r="Q20" i="6"/>
  <c r="Q19" i="6"/>
  <c r="Q18" i="6" s="1"/>
  <c r="P18" i="6"/>
  <c r="N18" i="6"/>
  <c r="M18" i="6"/>
  <c r="K18" i="6"/>
  <c r="J18" i="6"/>
  <c r="K17" i="6"/>
  <c r="J17" i="6"/>
  <c r="Q15" i="6"/>
  <c r="P14" i="6"/>
  <c r="N14" i="6"/>
  <c r="M14" i="6"/>
  <c r="K14" i="6"/>
  <c r="J14" i="6"/>
  <c r="P13" i="6"/>
  <c r="P12" i="6"/>
  <c r="P11" i="6"/>
  <c r="Q10" i="6"/>
  <c r="P10" i="6"/>
  <c r="P9" i="6" s="1"/>
  <c r="N9" i="6"/>
  <c r="M9" i="6"/>
  <c r="M8" i="6" s="1"/>
  <c r="K9" i="6"/>
  <c r="J9" i="6"/>
  <c r="K8" i="6"/>
  <c r="K7" i="6" s="1"/>
  <c r="J8" i="6"/>
  <c r="J7" i="6" s="1"/>
  <c r="P5" i="6"/>
  <c r="P4" i="6" s="1"/>
  <c r="Q4" i="6"/>
  <c r="N4" i="6"/>
  <c r="M4" i="6"/>
  <c r="K4" i="6"/>
  <c r="K44" i="6" s="1"/>
  <c r="J4" i="6"/>
  <c r="J44" i="6" s="1"/>
  <c r="P17" i="6" l="1"/>
  <c r="N17" i="6"/>
  <c r="Q17" i="6"/>
  <c r="M17" i="6"/>
  <c r="M7" i="6" s="1"/>
  <c r="M44" i="6" s="1"/>
  <c r="Q9" i="6"/>
  <c r="P8" i="6"/>
  <c r="N8" i="6"/>
  <c r="N7" i="6" s="1"/>
  <c r="N44" i="6" s="1"/>
  <c r="Q8" i="6"/>
  <c r="P7" i="6" l="1"/>
  <c r="P44" i="6" s="1"/>
  <c r="Q7" i="6"/>
  <c r="Q44" i="6" s="1"/>
  <c r="Q32" i="3" l="1"/>
  <c r="Q31" i="3"/>
  <c r="P31" i="3"/>
  <c r="N31" i="3"/>
  <c r="K31" i="3"/>
  <c r="Q24" i="3"/>
  <c r="Q22" i="3" s="1"/>
  <c r="P24" i="3"/>
  <c r="Q23" i="3"/>
  <c r="P23" i="3"/>
  <c r="P22" i="3" s="1"/>
  <c r="N22" i="3"/>
  <c r="M22" i="3"/>
  <c r="K22" i="3"/>
  <c r="J22" i="3"/>
  <c r="Q21" i="3"/>
  <c r="P21" i="3"/>
  <c r="P19" i="3" s="1"/>
  <c r="P16" i="3" s="1"/>
  <c r="Q20" i="3"/>
  <c r="Q19" i="3" s="1"/>
  <c r="P20" i="3"/>
  <c r="N19" i="3"/>
  <c r="M19" i="3"/>
  <c r="K19" i="3"/>
  <c r="J19" i="3"/>
  <c r="Q17" i="3"/>
  <c r="P17" i="3"/>
  <c r="N17" i="3"/>
  <c r="M17" i="3"/>
  <c r="M16" i="3" s="1"/>
  <c r="K17" i="3"/>
  <c r="K16" i="3" s="1"/>
  <c r="J17" i="3"/>
  <c r="N16" i="3"/>
  <c r="J16" i="3"/>
  <c r="Q14" i="3"/>
  <c r="P14" i="3"/>
  <c r="N14" i="3"/>
  <c r="M14" i="3"/>
  <c r="K14" i="3"/>
  <c r="J14" i="3"/>
  <c r="Q13" i="3"/>
  <c r="P13" i="3"/>
  <c r="Q12" i="3"/>
  <c r="P12" i="3"/>
  <c r="Q11" i="3"/>
  <c r="P11" i="3"/>
  <c r="Q10" i="3"/>
  <c r="Q9" i="3" s="1"/>
  <c r="Q8" i="3" s="1"/>
  <c r="P10" i="3"/>
  <c r="P9" i="3"/>
  <c r="P8" i="3" s="1"/>
  <c r="P7" i="3" s="1"/>
  <c r="N9" i="3"/>
  <c r="N8" i="3" s="1"/>
  <c r="N7" i="3" s="1"/>
  <c r="M9" i="3"/>
  <c r="K9" i="3"/>
  <c r="J9" i="3"/>
  <c r="J8" i="3" s="1"/>
  <c r="J7" i="3" s="1"/>
  <c r="M8" i="3"/>
  <c r="M7" i="3" s="1"/>
  <c r="K8" i="3"/>
  <c r="K7" i="3" s="1"/>
  <c r="P5" i="3"/>
  <c r="P4" i="3" s="1"/>
  <c r="Q4" i="3"/>
  <c r="N4" i="3"/>
  <c r="N36" i="3" s="1"/>
  <c r="M4" i="3"/>
  <c r="M36" i="3" s="1"/>
  <c r="K4" i="3"/>
  <c r="K36" i="3" s="1"/>
  <c r="J4" i="3"/>
  <c r="J36" i="3" s="1"/>
  <c r="Q16" i="3" l="1"/>
  <c r="Q7" i="3" s="1"/>
  <c r="Q36" i="3" s="1"/>
  <c r="P36" i="3"/>
</calcChain>
</file>

<file path=xl/comments1.xml><?xml version="1.0" encoding="utf-8"?>
<comments xmlns="http://schemas.openxmlformats.org/spreadsheetml/2006/main">
  <authors>
    <author>Julian Mauricio Martínez</author>
  </authors>
  <commentList>
    <comment ref="Z82" authorId="0">
      <text>
        <r>
          <rPr>
            <b/>
            <sz val="9"/>
            <color indexed="81"/>
            <rFont val="Tahoma"/>
            <family val="2"/>
          </rPr>
          <t>Julian Mauricio Martínez:</t>
        </r>
        <r>
          <rPr>
            <sz val="9"/>
            <color indexed="81"/>
            <rFont val="Tahoma"/>
            <family val="2"/>
          </rPr>
          <t xml:space="preserve">
para pagar a CISA S:A:</t>
        </r>
      </text>
    </comment>
    <comment ref="Z91" authorId="0">
      <text>
        <r>
          <rPr>
            <b/>
            <sz val="9"/>
            <color indexed="81"/>
            <rFont val="Tahoma"/>
            <family val="2"/>
          </rPr>
          <t>Julian Mauricio Martínez:</t>
        </r>
        <r>
          <rPr>
            <sz val="9"/>
            <color indexed="81"/>
            <rFont val="Tahoma"/>
            <family val="2"/>
          </rPr>
          <t xml:space="preserve">
ADCION ACTUAL CONTRATO ABC HASTA 15 MAYO.</t>
        </r>
      </text>
    </comment>
  </commentList>
</comments>
</file>

<file path=xl/comments2.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<sst xmlns="http://schemas.openxmlformats.org/spreadsheetml/2006/main" count="5218" uniqueCount="1243">
  <si>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</si>
  <si>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</si>
  <si>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</si>
  <si>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</si>
  <si>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</si>
  <si>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</si>
  <si>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</si>
  <si>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</si>
  <si>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</si>
  <si>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</si>
  <si>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</si>
  <si>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</si>
  <si>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</si>
  <si>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</si>
  <si>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</si>
  <si>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</si>
  <si>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</si>
  <si>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</si>
  <si>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</si>
  <si>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</si>
  <si>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</si>
  <si>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</si>
  <si>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</si>
  <si>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</si>
  <si>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</si>
  <si>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</si>
  <si>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</si>
  <si>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</si>
  <si>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</si>
  <si>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</si>
  <si>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</si>
  <si>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</si>
  <si>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</si>
  <si>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</si>
  <si>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</si>
  <si>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</si>
  <si>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</si>
  <si>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</si>
  <si>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</si>
  <si>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</si>
  <si>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</si>
  <si>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</si>
  <si>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</si>
  <si>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</si>
  <si>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</si>
  <si>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</si>
  <si>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</si>
  <si>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</si>
  <si>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</si>
  <si>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</si>
  <si>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</si>
  <si>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</si>
  <si>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</si>
  <si>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</si>
  <si>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</si>
  <si>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</si>
  <si>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</si>
  <si>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</si>
  <si>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</si>
  <si>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</si>
  <si>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</si>
  <si>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</si>
  <si>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</si>
  <si>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</si>
  <si>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</si>
  <si>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</si>
  <si>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</si>
  <si>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</si>
  <si>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</si>
  <si>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</si>
  <si>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</si>
  <si>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FEBRERO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</si>
  <si>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</si>
  <si>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</si>
  <si>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</si>
  <si>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</si>
  <si>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</si>
  <si>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</si>
  <si>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</si>
  <si>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</si>
  <si>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JUNIO</t>
  </si>
  <si>
    <t>ACUERDO MARCO DE PRECIOS</t>
  </si>
  <si>
    <t>A-02-02-01-003-002-01 PASTA DE PAPEL, PAPEL Y CARTÓN</t>
  </si>
  <si>
    <t xml:space="preserve">Adquisición  y suministro de tóner y cartuchos para impresoras. </t>
  </si>
  <si>
    <t>MARZO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</si>
  <si>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</si>
  <si>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</si>
  <si>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</si>
  <si>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</si>
  <si>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</si>
  <si>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</si>
  <si>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</si>
  <si>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</si>
  <si>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</si>
  <si>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</si>
  <si>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</si>
  <si>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ENERO</t>
  </si>
  <si>
    <t>A-02-02-02-007-001-03-5-07 SERVICIOS DE SEGURO OBLIGATORIO DE ACCIDENTES DE TRÁNSITO (SOAT)</t>
  </si>
  <si>
    <t>MÍNIMA CUANTÍA</t>
  </si>
  <si>
    <t>A-02-02-02-006-005  SERVICIOS DE TRANSPORTE DE CARGA</t>
  </si>
  <si>
    <t>Contratar el servicio de Mantenimiento y cargue de extintores de la Función Pública, incluidos repuestos.</t>
  </si>
  <si>
    <t>A-02-02-02-008-007-01-5 SERVICIOS DE MANTENIMIENTO Y REPARACIÓN DE OTRA MAQUINARIA Y OTRO EQUIPO</t>
  </si>
  <si>
    <t>JULIO</t>
  </si>
  <si>
    <t xml:space="preserve">Revisión, mantenimiento preventivo y correctivo de los sistemas de sonido ambiental- sonido del auditorio, hidráulico, de detección y extinción de incendios y sanitario .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</si>
  <si>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</si>
  <si>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</si>
  <si>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</si>
  <si>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</si>
  <si>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MAYO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</si>
  <si>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</si>
  <si>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</si>
  <si>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</si>
  <si>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</si>
  <si>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</si>
  <si>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CONTRATACIÓN DIRECTA</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</si>
  <si>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</si>
  <si>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</si>
  <si>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</si>
  <si>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</si>
  <si>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</si>
  <si>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ABRIL</t>
  </si>
  <si>
    <t>Adquisición de sillas ergonómicas para el personal del Departamento</t>
  </si>
  <si>
    <t>A-02-01-01-003-08-01-1 ASIENTOS</t>
  </si>
  <si>
    <t>43211714
44103206</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</si>
  <si>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</si>
  <si>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</si>
  <si>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</si>
  <si>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</si>
  <si>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A-02-02-02-006-004 SERVICIOS DE TRANSPORTE DE PASAJEROS</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</si>
  <si>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</si>
  <si>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</si>
  <si>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</si>
  <si>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</si>
  <si>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</si>
  <si>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</si>
  <si>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</si>
  <si>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</si>
  <si>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</si>
  <si>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JUDY MAGALI RODRÍGUEZ SANTANA EXT. 420
jrodriguez@funcionpublica.gov.co</t>
  </si>
  <si>
    <t>Grupo de Gestión Humana</t>
  </si>
  <si>
    <t>53101902 53102102
53101904 53111501
 53111601 53111601
46181503 46181604</t>
  </si>
  <si>
    <t>A-02-02-01-002-008 DOTACIÓN (PRENDAS DE VESTIR Y CALZADO)</t>
  </si>
  <si>
    <t>LUZ MARY RIAÑO CARMARGO EXT. 530
lriano@funcionpublica.gov.co</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</si>
  <si>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</si>
  <si>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</si>
  <si>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</si>
  <si>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</si>
  <si>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</si>
  <si>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</si>
  <si>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</si>
  <si>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</si>
  <si>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</si>
  <si>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</si>
  <si>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</si>
  <si>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</si>
  <si>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</si>
  <si>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</si>
  <si>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</si>
  <si>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</si>
  <si>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</si>
  <si>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Comercialización de bienes muebles dados de baja - cisa</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</si>
  <si>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</si>
  <si>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</si>
  <si>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</si>
  <si>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</si>
  <si>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</si>
  <si>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</si>
  <si>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</si>
  <si>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56112102  56112103  56101522</t>
  </si>
  <si>
    <t>SILLAS TIPO UNIVERSITARIO PARA EL AUDITORIO</t>
  </si>
  <si>
    <t xml:space="preserve">
44102002 
55121807
44111515
44121636
</t>
  </si>
  <si>
    <t xml:space="preserve">Adquirir elementos para la carnetización del personal de la entidad </t>
  </si>
  <si>
    <t xml:space="preserve">14111815
 82121500
 82121503
</t>
  </si>
  <si>
    <t xml:space="preserve">Servicio de impresión de carnet´s para el personal de la entidad </t>
  </si>
  <si>
    <t>52141502 - 52141501 - 42192210</t>
  </si>
  <si>
    <t>A-02-01-01-004-006-09 OTRO EQUIPO ELÉCTRICO Y SUS PARTES Y PIEZAS</t>
  </si>
  <si>
    <t>Planta eléctrica para el edificio sede 50 kva</t>
  </si>
  <si>
    <t>A-02-01-01-004-006-01  MOTORES, GENERADORES Y TRANSFORMADORES ELÉCTRICOS Y SUS PARTES Y PIEZAS</t>
  </si>
  <si>
    <t>Equipos y materiales para  necesidades del plan de austeridad y gestión ambiental - residuos sólidos</t>
  </si>
  <si>
    <t>55121700
55121900</t>
  </si>
  <si>
    <t>Señalización Interna del edificio</t>
  </si>
  <si>
    <t>81101600
81101617</t>
  </si>
  <si>
    <t>Certificación de inspección de acreditación  de los dos ascensores</t>
  </si>
  <si>
    <t>Avalúo comercial de bien inmuebles y bienes muebles</t>
  </si>
  <si>
    <t>81112501 
43231508</t>
  </si>
  <si>
    <t>C-0599-1000-5 RECURSO 11 . CSF
 TECNOLOGÍAS DE LA INFORMACIÓN</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</si>
  <si>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</si>
  <si>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</si>
  <si>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</si>
  <si>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</si>
  <si>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</si>
  <si>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</si>
  <si>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</si>
  <si>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</si>
  <si>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</si>
  <si>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</si>
  <si>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</si>
  <si>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</si>
  <si>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</si>
  <si>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</si>
  <si>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</si>
  <si>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</si>
  <si>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</si>
  <si>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</si>
  <si>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Marzo</t>
  </si>
  <si>
    <t>A-02-01-01-004-007-03 RADIORRECEPTORES Y RECEPTORES DE TELEVISIÓN; APARATOS PARA LA GRABACIÓN Y REPRODUCCIÓN DE SONIDO Y VIDEO; MICRÓFONOS, ALTAVOCES, AMPLIFICADORES, ETC.</t>
  </si>
  <si>
    <t xml:space="preserve">DIANA MARíA BOHÓRQUEZ EXT. 520
dbohorquez@funcionpublica.gov.co </t>
  </si>
  <si>
    <t>A-02-01-01-004-006-04 ACUMULADORES, PILAS Y BATERÍAS PRIMARIAS Y SUS PARTES Y PIEZAS</t>
  </si>
  <si>
    <t>Grabadora digital de audio</t>
  </si>
  <si>
    <t>No</t>
  </si>
  <si>
    <t>Cables de carga para teclados y mouse Mac</t>
  </si>
  <si>
    <t>Febrero</t>
  </si>
  <si>
    <t xml:space="preserve">Flash externo para cámara fotográfica </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</si>
  <si>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</si>
  <si>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</si>
  <si>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</si>
  <si>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Dirección de Empleo Público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</si>
  <si>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</si>
  <si>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FRANCISCO CAMARGO SALAS EXT. 701
fcamargo@funcionpublica.gov.co</t>
  </si>
  <si>
    <t>Equipos de computo portátiles con cámara web incluida</t>
  </si>
  <si>
    <t>Grandes superficies</t>
  </si>
  <si>
    <t>Licencias Project</t>
  </si>
  <si>
    <t>A-02-02-01-004-007-08 PAQUETES DE SOFTWARE</t>
  </si>
  <si>
    <t>Ver lineamientos de la OAP</t>
  </si>
  <si>
    <t>Gobierno Digital</t>
  </si>
  <si>
    <t>Implementación de la estrategias de Gobierno Digital</t>
  </si>
  <si>
    <t>Abril</t>
  </si>
  <si>
    <t>Concurso de Méritos</t>
  </si>
  <si>
    <t>Soporte SAN HUS 110 + Nuevos Discos</t>
  </si>
  <si>
    <t>43212200
43201800
81111500
43201600</t>
  </si>
  <si>
    <t>Soporte de las SAN</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</si>
  <si>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</si>
  <si>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</si>
  <si>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</si>
  <si>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</si>
  <si>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</si>
  <si>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</si>
  <si>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</si>
  <si>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</si>
  <si>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</si>
  <si>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</si>
  <si>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Herramienta de chat</t>
  </si>
  <si>
    <t>Herramienta de Chat para la Función Pública</t>
  </si>
  <si>
    <t>SEPTIEMBRE</t>
  </si>
  <si>
    <t>Contratación Directa</t>
  </si>
  <si>
    <t>Correo Masivo</t>
  </si>
  <si>
    <t>Solución de envío de correo masivo para Función Pública</t>
  </si>
  <si>
    <t>global</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</si>
  <si>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</si>
  <si>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</si>
  <si>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</si>
  <si>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</si>
  <si>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</si>
  <si>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</si>
  <si>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Adquirir la suscripción al Licenciamiento Office 365 según las características señaladas en el anexo técnico.</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</si>
  <si>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</si>
  <si>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</si>
  <si>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</si>
  <si>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</si>
  <si>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</si>
  <si>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</si>
  <si>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</si>
  <si>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</si>
  <si>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</si>
  <si>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</si>
  <si>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</si>
  <si>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</si>
  <si>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</si>
  <si>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</si>
  <si>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</si>
  <si>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</si>
  <si>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</si>
  <si>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</si>
  <si>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</si>
  <si>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</si>
  <si>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</si>
  <si>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</si>
  <si>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</si>
  <si>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</si>
  <si>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C-0505 1000-2 RECURSO 11 - CSF IMPLEMENT Y FORTALECIM  DE LAS POLÍTICAS PÚBLICAS A NIVEL NACIONAL</t>
  </si>
  <si>
    <t>Sistema de contratos</t>
  </si>
  <si>
    <t xml:space="preserve">Adquisición del Sistema de Información de Contratos </t>
  </si>
  <si>
    <t>Contratación directa</t>
  </si>
  <si>
    <t>Renovación SUIT - Diseño</t>
  </si>
  <si>
    <t>Diseño y levantamiento de requerimientos del Sistema de información SUIT</t>
  </si>
  <si>
    <t>Renovación FURAG MiPG - Diseño</t>
  </si>
  <si>
    <t>Gestión del cambio / Estrategia de uso y apropiación</t>
  </si>
  <si>
    <t xml:space="preserve"> UNIDAD</t>
  </si>
  <si>
    <t>Capacitación</t>
  </si>
  <si>
    <t>Contratar servicios de transferencia de conocimiento en capacidades técnicas para el equipo humano de la oficina de TIC</t>
  </si>
  <si>
    <t>Oracle Licenciamiento y soporte</t>
  </si>
  <si>
    <t>Soporte extendido SIGEP</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</si>
  <si>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</si>
  <si>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</si>
  <si>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</si>
  <si>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</si>
  <si>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</si>
  <si>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</si>
  <si>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</si>
  <si>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C-0505-1000-1 RECURSO 11 - SSF - DESARROLLO Y FORTALECIM DE CAPACIDADES DE DE LAS ENTIDADES TERRITORIALES DE LA CIRCUNSCRIPCION NACIONAL</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</si>
  <si>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</si>
  <si>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</si>
  <si>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</si>
  <si>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</si>
  <si>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</si>
  <si>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Prestar servicios de apoyo a la gestión en la Dirección de Desarrollo Organizacional de Función Pública</t>
  </si>
  <si>
    <t>C-0505 1000-2 RECURSO 11 - SSF - IMPLEMENT Y FORTALECIM  DE LAS POLÍTICAS PÚBLICAS A NIVEL NACIONAL</t>
  </si>
  <si>
    <t>Prestar servicios profesionales en la Dirección de Empleo Público de Función Pública</t>
  </si>
  <si>
    <t>Dirección de Gestión del Conocimiento</t>
  </si>
  <si>
    <t>Prestar servicios profesionales en la Dirección de Gestión del Conocimiento de Función Pública</t>
  </si>
  <si>
    <t>MARÍA MAGDALENA FORERO EXT. 921
mforero@funcionpublica.gov.co</t>
  </si>
  <si>
    <t>Dirección de Gestión y Desempeño Institucional</t>
  </si>
  <si>
    <t>Prestar servicios profesionales en la Dirección de Gestión y Desempeño Institucional de Función Pública</t>
  </si>
  <si>
    <t>MARÍA DEL PILAR GARCÍA EXT. 611
mpgarcia@funcionpublica.gov.co</t>
  </si>
  <si>
    <t>Prestar servicios de apoyo a la gestión en la Dirección de Gestión y Desempeño Institucional de Función Pública</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</si>
  <si>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</si>
  <si>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</si>
  <si>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</si>
  <si>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Dirección General</t>
  </si>
  <si>
    <t>Prestar servicios profesionales en la Dirección General de Función Pública</t>
  </si>
  <si>
    <t>SANTIAGO ARANGO CORRALES EXT. 905
sarango@funcionpublica.gov.co</t>
  </si>
  <si>
    <t>Prestar servicios de apoyo a la gestión en la Dirección General de Función Pública</t>
  </si>
  <si>
    <t>Prestar servicios profesionales en la Dirección Jurídica de Función Pública</t>
  </si>
  <si>
    <t>Prestar servicios de apoyo a la gestión en la Dirección Jurídica de Función Pública</t>
  </si>
  <si>
    <t>Subdirección</t>
  </si>
  <si>
    <t>Prestar servicios profesionales en la Subdirección de Función Pública</t>
  </si>
  <si>
    <t>JULIÁN ALBERTO TRUJILLO MARÍN EXT. 915
jtrujillo@funcionpublica.gov.co</t>
  </si>
  <si>
    <t>Prestar servicios de apoyo a la gestión en el Grupo de Gestión Administrativa de Función Pública</t>
  </si>
  <si>
    <t>Prestar servicios profesionales en el Grupo de Gestión Administrativa de Función Pública</t>
  </si>
  <si>
    <t>Grupo de Gestión Contractual</t>
  </si>
  <si>
    <t>Prestar servicios profesionales en el Grupo de Gestión Contractual de Función Pública</t>
  </si>
  <si>
    <t>DORIS ATAHUALPA POLANCO EXT. 410
datahualpa@funcionpublica.gov.co</t>
  </si>
  <si>
    <t>Prestar servicios de apoyo a la gestión en el Grupo de Gestión Contractual de Función Pública</t>
  </si>
  <si>
    <t>Prestar servicios profesionales en el Grupo de Gestión Documental de Función Pública</t>
  </si>
  <si>
    <t>Prestar servicios profesionales en el Grupo de Gestión Humana de Función Pública</t>
  </si>
  <si>
    <t>Grupo de Servicio al Ciudadano Institucional</t>
  </si>
  <si>
    <t>Prestar servicios profesionales en el Grupo de Servicio al Ciudadano Institucional de Función Pública</t>
  </si>
  <si>
    <t>JAIME HUMBERTO JIMÉNEZ VERGEL EXT. 300
jjimenez@funcionpublica.gov.co</t>
  </si>
  <si>
    <t>Prestar servicios profesionales en la Oficina Asesora de Comunicaciones de Función Pública</t>
  </si>
  <si>
    <t>Prestar servicios de apoyo a la gestión en la Oficina Asesora de Comunicaciones de Función Pública</t>
  </si>
  <si>
    <t>Prestar servicios profesionales en la Oficina Asesora de Planeación de Función Pública</t>
  </si>
  <si>
    <t xml:space="preserve">Oficina Asesora de Planeación </t>
  </si>
  <si>
    <t>Prestar servicios profesionales en la Oficina Asesora de Planeación  de Función Pública</t>
  </si>
  <si>
    <t>Prestar servicios de apoyo a la gestión en la Oficina Asesora de Planeación  de Función Pública</t>
  </si>
  <si>
    <t>Prestar servicios profesionales en la Oficina de Control Interno de Función Pública</t>
  </si>
  <si>
    <t>Prestar servicios profesionales en la Oficina de Tecnologías de la Información y las Comunicaciones de Función Pública</t>
  </si>
  <si>
    <t>Secretaría General</t>
  </si>
  <si>
    <t>Prestar servicios profesionales en la Secretaría General de Función Pública</t>
  </si>
  <si>
    <t>NATALIA ASTRID CARDONA EXT. 802
ncardona@funcionpublica.gov.co</t>
  </si>
  <si>
    <t>Servicio de vigilancia y recepción en el edificio sede de Función Pública</t>
  </si>
  <si>
    <t>24 MESES</t>
  </si>
  <si>
    <t>A-02-02-02-008-005-02 SERVICIOS DE INVESTIGACIÓN Y SEGURIDAD</t>
  </si>
  <si>
    <t>JULIAN MAURICIO MARTINEZ ALVARADO
COORDINADOR GRUPO GESTIÓN ADMINISTRATIVA</t>
  </si>
  <si>
    <t>DEPARTAMENTO ADMINISTRATIVO DE LA FUNCIÓN PÚBLICA</t>
  </si>
  <si>
    <t>REPORTE PRESUPUESTO - PLAN ANUAL DE ADQUISICIONES Y OTROS GASTOS</t>
  </si>
  <si>
    <t>PLA</t>
  </si>
  <si>
    <t/>
  </si>
  <si>
    <t>EJECUCIÓN VIGENCIA 2013</t>
  </si>
  <si>
    <t>EJECUCIÓN VIGENCIA 2014</t>
  </si>
  <si>
    <t>EJECUCIÓN VIGENCIA 2015</t>
  </si>
  <si>
    <t>VIGENCIA 2019</t>
  </si>
  <si>
    <t>PLAN ANUAL DE ADQUISICIONES</t>
  </si>
  <si>
    <t>% EJECUCIÓN  POR RUBRO</t>
  </si>
  <si>
    <t>traslado entre rubros</t>
  </si>
  <si>
    <t>TIPO</t>
  </si>
  <si>
    <t>CTA</t>
  </si>
  <si>
    <t>SUB
CTA</t>
  </si>
  <si>
    <t>OBJ</t>
  </si>
  <si>
    <t>ORD</t>
  </si>
  <si>
    <t>SOR
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</si>
  <si>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</si>
  <si>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</si>
  <si>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</si>
  <si>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</si>
  <si>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</si>
  <si>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</si>
  <si>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</si>
  <si>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</si>
  <si>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</si>
  <si>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</si>
  <si>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TOPES PARA REINTEGRO  AÑO 2017</t>
  </si>
  <si>
    <t>MENOS GASTOS CAJA MENOR 2017</t>
  </si>
  <si>
    <t>SALDO PARA GASTOS</t>
  </si>
  <si>
    <t>PAGOS NO ASOCIADOS A CONTRATOS</t>
  </si>
  <si>
    <t>MENOS VIGENCIAS FUTURAS 2018</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</si>
  <si>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</si>
  <si>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</si>
  <si>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</si>
  <si>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</si>
  <si>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</si>
  <si>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</si>
  <si>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</si>
  <si>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</si>
  <si>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</si>
  <si>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</si>
  <si>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</si>
  <si>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</si>
  <si>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</si>
  <si>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</si>
  <si>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</si>
  <si>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</si>
  <si>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</si>
  <si>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</si>
  <si>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</si>
  <si>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</si>
  <si>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</si>
  <si>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</si>
  <si>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</si>
  <si>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</si>
  <si>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</si>
  <si>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</si>
  <si>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</si>
  <si>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</si>
  <si>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</si>
  <si>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</si>
  <si>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</si>
  <si>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</si>
  <si>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</si>
  <si>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</si>
  <si>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</si>
  <si>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</si>
  <si>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</si>
  <si>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</si>
  <si>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</si>
  <si>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</si>
  <si>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</si>
  <si>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</si>
  <si>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</si>
  <si>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</si>
  <si>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</si>
  <si>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</si>
  <si>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</si>
  <si>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MAQUINARIA PARA USOS ESPECIALES</t>
  </si>
  <si>
    <t>MÁQUINAS HERRAMIENTAS Y SUS PARTES, PIEZAS Y ACCESORIOS</t>
  </si>
  <si>
    <t>APARATOS DE USO DOMÉSTICO Y SUS PARTES Y PIEZAS</t>
  </si>
  <si>
    <t>005</t>
  </si>
  <si>
    <t>MAQUINARIA DE OFICINA , CONTABULIDAD  E INFORMÁTICA</t>
  </si>
  <si>
    <t>MAQUINAS PARA OFICINA Y CONTABILIDAD, Y SUS PARTES Y ACCESORIOS</t>
  </si>
  <si>
    <t>MAQUINARIA DE INFORMÁTICA Y SUS PARTES, PIEZAS Y ACCESORI9OS</t>
  </si>
  <si>
    <t>MAQUINARIA Y APARATOS ELÉCTRICOS</t>
  </si>
  <si>
    <t>MOTORES, GENERADORES Y TRANSFORMADORES ELÉCTRICOS Y SUS PARTES Y PIEZAS</t>
  </si>
  <si>
    <t>ACUMULADORES, PILAS Y BATERÍAS PRIMARIAS Y SUS PARTES Y PIEZAS</t>
  </si>
  <si>
    <t>OTRO EQUIPO ELÉCTRICO Y SUS PARTES Y PIEZAS</t>
  </si>
  <si>
    <t>007</t>
  </si>
  <si>
    <t>APARATOS TRANSMISORES DE TELEVISIÓN Y RADIO; TELEVISIÓN , VIDEO Y CÁMARAS DIGITALES; TELÉFONOS</t>
  </si>
  <si>
    <t>03</t>
  </si>
  <si>
    <t>RADIORRECEPTORES Y RECEPTORES DE TELEVISIÓN; APARATOS PARA LA GRABACIÓN Y REPRODUCCIÓN DE SONIDO Y VIDEO; MICRÓFONOS, ALTAVOCES, AMPLIFICADORES, ETC.</t>
  </si>
  <si>
    <t>ADQUISICIÓN DIFERENTES DE ACTIVOS</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</si>
  <si>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</si>
  <si>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</si>
  <si>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</si>
  <si>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</si>
  <si>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</si>
  <si>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PASTA DE PAPEL, PAPEL Y CARTÓN</t>
  </si>
  <si>
    <t>PRODUCTOS DE HORNOS DE COQUE; PRODUCTOS DE REFINACIÓN DE PETRÓLEO Y COMBUSTIBLE NUCLEAR</t>
  </si>
  <si>
    <t>PINTURAS Y BARNICES Y PRODUCTOS RELACIONADOS; COLORES PARA LA PINTURA ARTÍSTICA; TINTAS</t>
  </si>
  <si>
    <t>PRODUCTOS DE CAUCHO Y PLÁSTICO</t>
  </si>
  <si>
    <t>LLANTAS DE CAUCHO Y NEUMÁTICOS (CÁMARAS DE AIRE)</t>
  </si>
  <si>
    <t>VIDRIO Y PRODUCTOS DE VIDRIO Y OTROS PRODUCTOS NO METÁLICOS N.C.P.</t>
  </si>
  <si>
    <t>PASTA O PULPA, PAPEL Y PRODUCTOS DE PAPEL; IMPRESOS Y ARTÍCULOS RELACIONADOS</t>
  </si>
  <si>
    <t>A-02-02-01-004 PRODUCTOS METÁLICOS Y PAQUETES DE SOFTWARE</t>
  </si>
  <si>
    <t>PRODUCTOS METÁLICOS ELABORADOS (EXCEPTO MAQUINARIA Y EQUIPO)</t>
  </si>
  <si>
    <t>A-02-02-02 ADQUISICIÓN DE SERVICIOS</t>
  </si>
  <si>
    <t>A-02-02-02-005 SERVICIOS DE LA CONSTRUCCIÓN</t>
  </si>
  <si>
    <t>9</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</si>
  <si>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</si>
  <si>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</si>
  <si>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</si>
  <si>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</si>
  <si>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</si>
  <si>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</si>
  <si>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</si>
  <si>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</si>
  <si>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</si>
  <si>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</si>
  <si>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</si>
  <si>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</si>
  <si>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</si>
  <si>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</si>
  <si>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</si>
  <si>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</si>
  <si>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</si>
  <si>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</si>
  <si>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</si>
  <si>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</si>
  <si>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</si>
  <si>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SERVICIOS DE MANTENIMIENTO Y REPARACIÓN DE MAQUINARIA Y EQUIPO DE TRANSPORTE</t>
  </si>
  <si>
    <t>A-02-02-02-009 SERVICIOS PARA LA COMUNIDAD, SOCIALES Y PERSONALES</t>
  </si>
  <si>
    <t>SERVICIOS DE ALCANTARILLADO, RECOLECCIÓN, TRATAMIENTO Y DISPOSICIÓN DE DESECHOS Y OTROS SERVICIOS DE SANEAMIENTO AMBIENTAL</t>
  </si>
  <si>
    <t>SERVICIOS DE RECOLECCIÓN DE DESECHOS</t>
  </si>
  <si>
    <t>010</t>
  </si>
  <si>
    <t>A-02-02-02-010 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</si>
  <si>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</si>
  <si>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</si>
  <si>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</si>
  <si>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</si>
  <si>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</si>
  <si>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</si>
  <si>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</si>
  <si>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</si>
  <si>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</si>
  <si>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SSF</t>
  </si>
  <si>
    <t>DESARROLLO Y FORTALECIMIENTO DE LAS CAPACIDADES DE LAS ENTIDADES TERRITORIALES  DE LA CIRCUNSCRIPCIÓN NACIONAL</t>
  </si>
  <si>
    <t>1498</t>
  </si>
  <si>
    <t>1996</t>
  </si>
  <si>
    <t xml:space="preserve">DESARROLLO Y FORTALECIMIENTO DE LAS CAPACIDADES DE LAS ENTIDADES TERRITORIALES  DE LA CIRCUNSCRIPCIÓN NACIONAL </t>
  </si>
  <si>
    <t>IMPLEMENTACIÓN Y FORTALECIMIENTO DE POLÍTICAS LIDERADAS POR FUNCION PUBLICA A NIVEL NACIONAL</t>
  </si>
  <si>
    <t>IMPLEMENTACIÓN Y FORTALECIMIENTO DE POLÍTICAS LIDERADAS POR FUNCION PUBLICA A NIVEL NACIONAL.</t>
  </si>
  <si>
    <t>MEJORAMIENTO DE LA IMAGEN Y FUNCIONALIDAD DEL EDFICIO SEDE DEL DEPARTAMENTO</t>
  </si>
  <si>
    <t>MEJORAMIENTO DE LA GESTION DE LAS POLITICAS PUBLICAS A TRAVES DE LAS TECNOLOGIAS DE INFORMACION TICS</t>
  </si>
  <si>
    <t>SUBTOTAL PROYECTOS DE INVERSIÓN</t>
  </si>
  <si>
    <t>pruebas</t>
  </si>
  <si>
    <t>PLAN ANUAL DE ADQUISICIONES 2018</t>
  </si>
  <si>
    <t>RUBROS PRESUPUESTALES - PAA</t>
  </si>
  <si>
    <t>SALDO PARA COMPROMETER EN EL PAA</t>
  </si>
  <si>
    <t>DIFERENCIA</t>
  </si>
  <si>
    <t>SALDO TOTAL  DISPONIBLE DEL PROYECTO</t>
  </si>
  <si>
    <t>% EJECUCIÓN DEL PAA POR RUBRO</t>
  </si>
  <si>
    <t>SUBTOTAL FUNCIONAMIENTO</t>
  </si>
  <si>
    <t>SUBTOTAL INVERSIÓN</t>
  </si>
  <si>
    <t>GRAN TOTAL</t>
  </si>
  <si>
    <t>TOTAL VALOR TRASLADOS</t>
  </si>
  <si>
    <t xml:space="preserve"> VALOR TRASLADOS ENTRE SUBRUBROS</t>
  </si>
  <si>
    <t>VALOR TRASLADOS ENTRE RUBROS</t>
  </si>
  <si>
    <t>ACREDITAR</t>
  </si>
  <si>
    <t>CONTRAACREDITA</t>
  </si>
  <si>
    <t>TOTAL</t>
  </si>
  <si>
    <t>Prestar servicios profesionales en la Subdirección General de Función Pública</t>
  </si>
  <si>
    <t>C-0599-1000-5 RECURSO 11 . SSF
 TECNOLOGÍAS DE LA INFORMACIÓN</t>
  </si>
  <si>
    <t>Instalación nuevo oda</t>
  </si>
  <si>
    <t xml:space="preserve">Renovación IPV6 </t>
  </si>
  <si>
    <t>Prestar el servicio de apoyo logístico a nivel nacional, para la organización de los eventos de difusión de políticas requeridos por el Departamento Administrativo de la Función Pública</t>
  </si>
  <si>
    <t>Diseño y levantamiento de requerimientos del Sistema de información FURAG MIPG</t>
  </si>
  <si>
    <t>CONTRATACIÓN DE MÍNIMA CUANTÍA</t>
  </si>
  <si>
    <t>LICITACIÓN PÚBLICA</t>
  </si>
  <si>
    <t>SELECCIÓN ABREVIADA. SUBASTA INVERSA</t>
  </si>
  <si>
    <t>VIÁTICOS DE LOS FUNCIONARIOS EN COMISIÓN</t>
  </si>
  <si>
    <t>Estibador para bodega del almacén</t>
  </si>
  <si>
    <t>SE NECESITAN COMPLETAR RECURSOS PARA PREDIAL.</t>
  </si>
  <si>
    <t>SE NECESITA PARA PAGO DE IMPUESTO</t>
  </si>
  <si>
    <t>Compra de sesiones de andamios para construcción.</t>
  </si>
  <si>
    <t>Compra de mesa oficial de  tenis (ping pong) para actividades de bienestar de los funcionarios de la entidad</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</si>
  <si>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</si>
  <si>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</si>
  <si>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OTRAS MAQUINAS PARA USOS GENERALES Y SUS PARTES Y PIEZAS</t>
  </si>
  <si>
    <t>Renovar la suscripción y el soporte técnico del Sistema de Turnos Web de la entidad</t>
  </si>
  <si>
    <t xml:space="preserve">Renovar la suscripción y el soporte técnico del sistema biométrico del Departamento </t>
  </si>
  <si>
    <t xml:space="preserve">30 de abril </t>
  </si>
  <si>
    <t>Suscripción y soporte al servicio del software de inventarios</t>
  </si>
  <si>
    <t>Implementación de la estrategia de uso y apropiación y gestión del cambio</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</si>
  <si>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</si>
  <si>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</si>
  <si>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</si>
  <si>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PRESTACION DE SERVICIOS PROFESIONALES</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</si>
  <si>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</si>
  <si>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</si>
  <si>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</si>
  <si>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 xml:space="preserve">DIRECCION DE DESARROLLO ORGANIZACIONAL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</si>
  <si>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</si>
  <si>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</si>
  <si>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</si>
  <si>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</si>
  <si>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</si>
  <si>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</si>
  <si>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</si>
  <si>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</si>
  <si>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</si>
  <si>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</si>
  <si>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</si>
  <si>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</si>
  <si>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</si>
  <si>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</si>
  <si>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</si>
  <si>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</si>
  <si>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</si>
  <si>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</si>
  <si>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</si>
  <si>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</si>
  <si>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 xml:space="preserve">CLAUDIA GISELA JIMÉNEZ PENAGOS </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</si>
  <si>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</si>
  <si>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</si>
  <si>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</si>
  <si>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</si>
  <si>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</si>
  <si>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</si>
  <si>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</si>
  <si>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</si>
  <si>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</si>
  <si>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</si>
  <si>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</si>
  <si>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</si>
  <si>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</si>
  <si>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</si>
  <si>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</si>
  <si>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</si>
  <si>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</si>
  <si>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</si>
  <si>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</si>
  <si>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</si>
  <si>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</si>
  <si>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</si>
  <si>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</si>
  <si>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</si>
  <si>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</si>
  <si>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</si>
  <si>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</si>
  <si>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</si>
  <si>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</si>
  <si>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</si>
  <si>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</si>
  <si>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</si>
  <si>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</si>
  <si>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</si>
  <si>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</si>
  <si>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</si>
  <si>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</si>
  <si>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</si>
  <si>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</si>
  <si>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</si>
  <si>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</si>
  <si>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</si>
  <si>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</si>
  <si>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</si>
  <si>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</si>
  <si>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</si>
  <si>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</si>
  <si>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</si>
  <si>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</si>
  <si>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</si>
  <si>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</si>
  <si>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</si>
  <si>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</si>
  <si>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</si>
  <si>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</si>
  <si>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</si>
  <si>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</si>
  <si>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</si>
  <si>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</si>
  <si>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</si>
  <si>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</si>
  <si>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</si>
  <si>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</si>
  <si>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</si>
  <si>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</si>
  <si>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</si>
  <si>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</si>
  <si>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</si>
  <si>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</si>
  <si>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</si>
  <si>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</si>
  <si>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</si>
  <si>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</si>
  <si>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</si>
  <si>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once (11) meses, contados a partir del perfeccionamiento  del mismo y registro presupuestal.</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</si>
  <si>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</si>
  <si>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</si>
  <si>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</si>
  <si>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</si>
  <si>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</si>
  <si>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</si>
  <si>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</si>
  <si>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</si>
  <si>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</si>
  <si>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</si>
  <si>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</si>
  <si>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</si>
  <si>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</si>
  <si>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</si>
  <si>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</si>
  <si>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</si>
  <si>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</si>
  <si>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</si>
  <si>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</si>
  <si>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</si>
  <si>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</si>
  <si>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</si>
  <si>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</si>
  <si>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</si>
  <si>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</si>
  <si>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</si>
  <si>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</si>
  <si>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</si>
  <si>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</si>
  <si>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</si>
  <si>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</si>
  <si>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</si>
  <si>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</si>
  <si>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</si>
  <si>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</si>
  <si>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</si>
  <si>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</si>
  <si>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 xml:space="preserve">GRUPO DE GESTION ADMINISTRATIVA </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</si>
  <si>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</si>
  <si>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</si>
  <si>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</si>
  <si>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</si>
  <si>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</si>
  <si>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</si>
  <si>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</si>
  <si>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</si>
  <si>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GRUPO DE GESTION CONTRACTUAL</t>
  </si>
  <si>
    <t>002-2019</t>
  </si>
  <si>
    <t>DIANA PATRICIA BERMUDEZ CETINA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</si>
  <si>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</si>
  <si>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</si>
  <si>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</si>
  <si>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</si>
  <si>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</si>
  <si>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</si>
  <si>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</si>
  <si>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</si>
  <si>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JUDI MAGALI RODRIGUEZ SANTANA</t>
  </si>
  <si>
    <t>GRUPO DE GESTION DOCUMENTAL</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</si>
  <si>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</si>
  <si>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</si>
  <si>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</si>
  <si>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</si>
  <si>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</si>
  <si>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</si>
  <si>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</si>
  <si>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</si>
  <si>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</si>
  <si>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</si>
  <si>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</si>
  <si>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</si>
  <si>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</si>
  <si>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</si>
  <si>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</si>
  <si>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</si>
  <si>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</si>
  <si>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</si>
  <si>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</si>
  <si>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</si>
  <si>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</si>
  <si>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</si>
  <si>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</si>
  <si>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</si>
  <si>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</si>
  <si>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</si>
  <si>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</si>
  <si>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</si>
  <si>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</si>
  <si>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</si>
  <si>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</si>
  <si>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</si>
  <si>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</si>
  <si>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</si>
  <si>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</si>
  <si>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</si>
  <si>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Diez (10) meses y quince (15) días, contados a partir del perfeccionamiento del mismo y registro presupuestal.</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</si>
  <si>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</si>
  <si>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</si>
  <si>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</si>
  <si>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</si>
  <si>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</si>
  <si>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</si>
  <si>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</si>
  <si>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</si>
  <si>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</si>
  <si>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</si>
  <si>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</si>
  <si>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</si>
  <si>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</si>
  <si>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</si>
  <si>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</si>
  <si>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</si>
  <si>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</si>
  <si>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</si>
  <si>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</si>
  <si>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</si>
  <si>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</si>
  <si>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</si>
  <si>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</si>
  <si>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</si>
  <si>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</si>
  <si>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</si>
  <si>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</si>
  <si>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</si>
  <si>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</si>
  <si>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</si>
  <si>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</si>
  <si>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</si>
  <si>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</si>
  <si>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</si>
  <si>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</si>
  <si>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</si>
  <si>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</si>
  <si>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</si>
  <si>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</si>
  <si>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</si>
  <si>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</si>
  <si>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</si>
  <si>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</si>
  <si>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</si>
  <si>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</si>
  <si>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</si>
  <si>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</si>
  <si>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</si>
  <si>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</si>
  <si>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</si>
  <si>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</si>
  <si>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</si>
  <si>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</si>
  <si>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</si>
  <si>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</si>
  <si>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</si>
  <si>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</si>
  <si>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</si>
  <si>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</si>
  <si>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</si>
  <si>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</si>
  <si>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Diez (10)  meses  y quince  (15)  días, contados   a partir  del perfeccionamiento    del mismo  y registro  presupuestal.</t>
  </si>
  <si>
    <t xml:space="preserve">EDUAR ALFONSO GAVIRIA VERA </t>
  </si>
  <si>
    <t xml:space="preserve">OFICINA DE TECNOLOGIAS DE LA INFORMACION Y LAS COMUNICACIONES </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</si>
  <si>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</si>
  <si>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</si>
  <si>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</si>
  <si>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</si>
  <si>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</si>
  <si>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</si>
  <si>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</si>
  <si>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</si>
  <si>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</si>
  <si>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</si>
  <si>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</si>
  <si>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</si>
  <si>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</si>
  <si>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</si>
  <si>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</si>
  <si>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</si>
  <si>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</si>
  <si>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</si>
  <si>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</si>
  <si>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</si>
  <si>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</si>
  <si>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</si>
  <si>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</si>
  <si>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</si>
  <si>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</si>
  <si>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</si>
  <si>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</si>
  <si>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</si>
  <si>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</si>
  <si>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</si>
  <si>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</si>
  <si>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</si>
  <si>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</si>
  <si>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</si>
  <si>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</si>
  <si>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</si>
  <si>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</si>
  <si>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</si>
  <si>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</si>
  <si>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</si>
  <si>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</si>
  <si>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</si>
  <si>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</si>
  <si>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</si>
  <si>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</si>
  <si>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</si>
  <si>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</si>
  <si>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</si>
  <si>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</si>
  <si>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</si>
  <si>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</si>
  <si>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</si>
  <si>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</si>
  <si>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</si>
  <si>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</si>
  <si>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</si>
  <si>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 xml:space="preserve">FRANCISCO JOSÉ URBINA SUÁREZ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</si>
  <si>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</si>
  <si>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</si>
  <si>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</si>
  <si>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</si>
  <si>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</si>
  <si>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</si>
  <si>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</si>
  <si>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</si>
  <si>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</si>
  <si>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</si>
  <si>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</si>
  <si>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</si>
  <si>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</si>
  <si>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</si>
  <si>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</si>
  <si>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 xml:space="preserve">CLAUDIA PATRICIA HERNÁNDEZ LEÓN </t>
  </si>
  <si>
    <t>SUBDIRECCIÓN</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</si>
  <si>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</si>
  <si>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</si>
  <si>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</si>
  <si>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</si>
  <si>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</si>
  <si>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</si>
  <si>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</si>
  <si>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</si>
  <si>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</si>
  <si>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</si>
  <si>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</si>
  <si>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</si>
  <si>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</si>
  <si>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</si>
  <si>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</si>
  <si>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PRESTACION DE SERVICIOS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</si>
  <si>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</si>
  <si>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</si>
  <si>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</si>
  <si>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Adquisición nuevo ODA</t>
  </si>
  <si>
    <t>Implementación IPV.6</t>
  </si>
  <si>
    <t>Consultoría diseño RRHH</t>
  </si>
  <si>
    <t>Renovación VMWARE</t>
  </si>
  <si>
    <t>Servicio de información  de gestión pública</t>
  </si>
  <si>
    <t>GAS DE PETROLEO Y OTROS HIDROCARBUROS</t>
  </si>
  <si>
    <t>OTROS PRODUCTOS DE CAUCHO</t>
  </si>
  <si>
    <t>A-02-02-01-003-006-02 OSTROS PRODUCTOS DE CAUCHO</t>
  </si>
  <si>
    <t>ARTÍCULOS DE CERÁMICA NO ESTRUCTURAL</t>
  </si>
  <si>
    <t>OTROS SERVICIOS DIVERSOS NCP</t>
  </si>
  <si>
    <t>auditaje</t>
  </si>
  <si>
    <t>cuota auditaje 30.000.000</t>
  </si>
  <si>
    <t>CAJA MENOR</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</si>
  <si>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</si>
  <si>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</si>
  <si>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</si>
  <si>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</si>
  <si>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</si>
  <si>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</si>
  <si>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</si>
  <si>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</si>
  <si>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</si>
  <si>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</si>
  <si>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</si>
  <si>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</si>
  <si>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</si>
  <si>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</si>
  <si>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</si>
  <si>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</si>
  <si>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JUAN PABLO REMOLINA PULIDO</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</si>
  <si>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</si>
  <si>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</si>
  <si>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</si>
  <si>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</si>
  <si>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</si>
  <si>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</si>
  <si>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</si>
  <si>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</si>
  <si>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</si>
  <si>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</si>
  <si>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</si>
  <si>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</si>
  <si>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</si>
  <si>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</si>
  <si>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</si>
  <si>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</si>
  <si>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</si>
  <si>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</si>
  <si>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</si>
  <si>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</si>
  <si>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</si>
  <si>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</si>
  <si>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</si>
  <si>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</si>
  <si>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</si>
  <si>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</si>
  <si>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</si>
  <si>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</si>
  <si>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</si>
  <si>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</si>
  <si>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</si>
  <si>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</si>
  <si>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</si>
  <si>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</si>
  <si>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</si>
  <si>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</si>
  <si>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</si>
  <si>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</si>
  <si>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</si>
  <si>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</si>
  <si>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</si>
  <si>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</si>
  <si>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</si>
  <si>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</si>
  <si>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</si>
  <si>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</si>
  <si>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</si>
  <si>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</si>
  <si>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</si>
  <si>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</si>
  <si>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</si>
  <si>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</si>
  <si>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</si>
  <si>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</si>
  <si>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</si>
  <si>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</si>
  <si>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</si>
  <si>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</si>
  <si>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</si>
  <si>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</si>
  <si>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</si>
  <si>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</si>
  <si>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</si>
  <si>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</si>
  <si>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</si>
  <si>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</si>
  <si>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</si>
  <si>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</si>
  <si>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</si>
  <si>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</si>
  <si>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</si>
  <si>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</si>
  <si>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</si>
  <si>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</si>
  <si>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</si>
  <si>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</si>
  <si>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</si>
  <si>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</si>
  <si>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</si>
  <si>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</si>
  <si>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</si>
  <si>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</si>
  <si>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</si>
  <si>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</si>
  <si>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</si>
  <si>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Función Pública cancelará el valor total del contrato en Once (11) pagos mensuales por valor de DOS  MILLONES  DE  PESOS ($2.000.000)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</si>
  <si>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</si>
  <si>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</si>
  <si>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</si>
  <si>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</si>
  <si>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</si>
  <si>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</si>
  <si>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</si>
  <si>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</si>
  <si>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</si>
  <si>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</si>
  <si>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</si>
  <si>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</si>
  <si>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</si>
  <si>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</si>
  <si>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</si>
  <si>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</si>
  <si>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</si>
  <si>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</si>
  <si>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</si>
  <si>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</si>
  <si>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</si>
  <si>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</si>
  <si>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</si>
  <si>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</si>
  <si>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</si>
  <si>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</si>
  <si>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</si>
  <si>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</si>
  <si>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</si>
  <si>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</si>
  <si>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</si>
  <si>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</si>
  <si>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</si>
  <si>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</si>
  <si>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</si>
  <si>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</si>
  <si>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</si>
  <si>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</si>
  <si>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</si>
  <si>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</si>
  <si>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</si>
  <si>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</si>
  <si>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</si>
  <si>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</si>
  <si>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</si>
  <si>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</si>
  <si>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</si>
  <si>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113-2019</t>
  </si>
  <si>
    <t>CENCOSUD COLOMBIA S.A.</t>
  </si>
  <si>
    <t>Adquirir sesiones de andamios tubulares con ruedas y plataforma para Función Pública, de conformidad con las especificaciones técnicas incluidas en el presente documento.</t>
  </si>
  <si>
    <t>CONTRATO DE COMPRAVENTA</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</si>
  <si>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</si>
  <si>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</si>
  <si>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</si>
  <si>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</si>
  <si>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</si>
  <si>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</si>
  <si>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</si>
  <si>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</si>
  <si>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</si>
  <si>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</si>
  <si>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</si>
  <si>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</si>
  <si>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 xml:space="preserve">ANGELA MARÍA GONZÁLEZ LOZADA
SECRETARIA GENERAL </t>
  </si>
  <si>
    <t>72101510
72101511   
72101509
72101506
72101507
72151605</t>
  </si>
  <si>
    <t>81112200
81112300</t>
  </si>
  <si>
    <t>Cargadores para cámaras de video panasonic y cargadores de pilas</t>
  </si>
  <si>
    <t>Enfoque étnico</t>
  </si>
  <si>
    <t>Prestar los servicios profesionales en la Subdirección de Función Pública para apoyar en la identificación de criterios para apropiar el enfoque étnico en la política a cargo del Departamento y asesorar a los grupos de valor en su implementación</t>
  </si>
  <si>
    <t>SERVICIOS DE DESCONTAMINACIÓN</t>
  </si>
  <si>
    <t>A-02-02-02-009-004-04 SERVICIOS DE DESCONTAMINACIÓN</t>
  </si>
  <si>
    <t>Servicios de Fumigación de las áreas locativas del DAFP</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</si>
  <si>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</si>
  <si>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</si>
  <si>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</si>
  <si>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</si>
  <si>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</si>
  <si>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</si>
  <si>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</si>
  <si>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</si>
  <si>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</si>
  <si>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</si>
  <si>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</si>
  <si>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</si>
  <si>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</si>
  <si>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</si>
  <si>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</si>
  <si>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</si>
  <si>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</si>
  <si>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</si>
  <si>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</si>
  <si>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</si>
  <si>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</si>
  <si>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</si>
  <si>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</si>
  <si>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</si>
  <si>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</si>
  <si>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</si>
  <si>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</si>
  <si>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</si>
  <si>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</si>
  <si>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</si>
  <si>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</si>
  <si>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</si>
  <si>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</si>
  <si>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</si>
  <si>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</si>
  <si>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</si>
  <si>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</si>
  <si>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</si>
  <si>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</si>
  <si>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</si>
  <si>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</si>
  <si>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</si>
  <si>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</si>
  <si>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Nueve (9) meses y quince (15) días, contados a partir del perfeccionamiento del mismo y registro presupuestal.</t>
  </si>
  <si>
    <t xml:space="preserve">EVA MERCEDES ROJAS VALDÉS </t>
  </si>
  <si>
    <t>DOLLY AMAYA CABALLERO</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</si>
  <si>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</si>
  <si>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</si>
  <si>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</si>
  <si>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</si>
  <si>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</si>
  <si>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 xml:space="preserve">SANTIAGO ARANGO CORRALES </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</si>
  <si>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</si>
  <si>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</si>
  <si>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</si>
  <si>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</si>
  <si>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</si>
  <si>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</si>
  <si>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</si>
  <si>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</si>
  <si>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</si>
  <si>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</si>
  <si>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</si>
  <si>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</si>
  <si>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</si>
  <si>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</si>
  <si>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</si>
  <si>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</si>
  <si>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</si>
  <si>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</si>
  <si>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</si>
  <si>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MARIA FERNANDA PARADA RUEDA</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</si>
  <si>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</si>
  <si>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</si>
  <si>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</si>
  <si>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</si>
  <si>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</si>
  <si>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Contratar la prestación del servicio de transporte  terrestre, para el traslado de los servidores del Departamento Administrativo de la Función Pública y los hijos de estos.</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</si>
  <si>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</si>
  <si>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OTROS ARTÍCULOS MANUFACTURADOS N.C.P.</t>
  </si>
  <si>
    <t>Convenio interadmitnistrativo</t>
  </si>
  <si>
    <t>Renovación licenciamiento CRM - Servicio al Ciudadano</t>
  </si>
  <si>
    <t>SELECCIÓN ABREVIADA SUBASTA INVERSA</t>
  </si>
  <si>
    <t>Pruebas no funcionales del SIGEP II</t>
  </si>
  <si>
    <t>Servicios de parametrización y ajustes del CRM</t>
  </si>
  <si>
    <t>CONCURSO DE MERITOS</t>
  </si>
  <si>
    <t>Parametrtización CRM</t>
  </si>
  <si>
    <t>Analista Junior SUIT</t>
  </si>
  <si>
    <t>Oficial de seguridad</t>
  </si>
  <si>
    <t>A-02-02-02-005-004-05 SERVICIOS ESPECIALES DE CONSTRUCCIÓN</t>
  </si>
  <si>
    <t xml:space="preserve">A-02-02-02-006-007-09 OTROS SERVICIOS DE APOYO AL TRANSPORTE  </t>
  </si>
  <si>
    <t>A-02-02-02-008-007-01-2 SERVICIOS DE MANTENIMIENTO Y REPARACIÓN  DE MAQUINARIA DE OFICINAY CONTABILIDAD</t>
  </si>
  <si>
    <t>A-02-02-02-009-007-01 SERVICIOS DE  LAVADO, LIMIPEZA Y TEÑIDO</t>
  </si>
  <si>
    <t>Adquisición de SEGUROS SOAT PARA VEHICULOS</t>
  </si>
  <si>
    <t xml:space="preserve">A-02-02-02-008-007-02-4 SERVICIOS DE REPARACIÓN DE MUEBLES </t>
  </si>
  <si>
    <t>para dotacion extra</t>
  </si>
  <si>
    <t xml:space="preserve">A-08-04-01CUOTA DE FISCALIZACIÓN Y AUDITAJE </t>
  </si>
  <si>
    <t>CUOTA DE FISCALIZACIÓN Y AUDITAJE</t>
  </si>
  <si>
    <t>A-02-02-02-009-007-01 SERVICIOS DE  LAVADO, LIMPIEZA Y TEÑIDO</t>
  </si>
  <si>
    <t xml:space="preserve">Adquisición de la dotación de labor y elementos de trabajo.  </t>
  </si>
  <si>
    <t>Dotacion industrial para el personal de apoyo de la entidad.</t>
  </si>
  <si>
    <t>Adquisición de bienes para el bienestar de los servidores públicos de la entidad.</t>
  </si>
  <si>
    <t xml:space="preserve">
78101803</t>
  </si>
  <si>
    <t xml:space="preserve">Servicio de Transporte de vehículo automotor </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</si>
  <si>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</si>
  <si>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</si>
  <si>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</si>
  <si>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</si>
  <si>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</si>
  <si>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</si>
  <si>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</si>
  <si>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</si>
  <si>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</si>
  <si>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</si>
  <si>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</si>
  <si>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</si>
  <si>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</si>
  <si>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</si>
  <si>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</si>
  <si>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</si>
  <si>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</si>
  <si>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</si>
  <si>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</si>
  <si>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LUZ DARY CUEVAS MUÑOZ</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</si>
  <si>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</si>
  <si>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</si>
  <si>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</si>
  <si>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</si>
  <si>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</si>
  <si>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Servicios de virtualización ODA</t>
  </si>
  <si>
    <t>Adquirir insumos para la radicación de la información de Función Pública,</t>
  </si>
  <si>
    <t>47121702
47121709
41111507
42171917
27110000
26121600
39121700
39101800
39101600
31201500
39111800
46171500
27112800
31161500
12352300
23131500
31210000
30151800
39111800</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</si>
  <si>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</si>
  <si>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</si>
  <si>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</si>
  <si>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</si>
  <si>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</si>
  <si>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</si>
  <si>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</si>
  <si>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</si>
  <si>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</si>
  <si>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r>
      <rPr>
        <b/>
        <sz val="15"/>
        <rFont val="Arial"/>
        <family val="2"/>
      </rPr>
      <t>18119</t>
    </r>
    <r>
      <rPr>
        <sz val="15"/>
        <rFont val="Arial"/>
        <family val="2"/>
      </rPr>
      <t xml:space="preserve"> 14/03/2019</t>
    </r>
  </si>
  <si>
    <t>Ocho  (8)   meses  y   quince   (15)  días  calendario,  contados a  partir  del perfeccionamiento del contrato, registro presupuesta! y aprobación de pólizas (si aplica).</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</si>
  <si>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</si>
  <si>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82111901 83121701 83121702 83121703</t>
  </si>
  <si>
    <t>Analista de datos</t>
  </si>
  <si>
    <t>mayo</t>
  </si>
  <si>
    <t>80131802
80161603</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</si>
</sst>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0_ ;\-#,##0.00\ "/>
    <numFmt numFmtId="173" formatCode="_-[$$-240A]* #,##0.00_-;\-[$$-240A]* #,##0.00_-;_-[$$-240A]* &quot;-&quot;??_-;_-@_-"/>
    <numFmt numFmtId="174" formatCode="[$-1240A]&quot;$&quot;\ #,##0.00;\(&quot;$&quot;\ #,##0.00\)"/>
    <numFmt numFmtId="175" formatCode="_-&quot;$&quot;* #,##0.00_-;\-&quot;$&quot;* #,##0.00_-;_-&quot;$&quot;* &quot;-&quot;??_-;_-@_-"/>
    <numFmt numFmtId="176" formatCode="0.000%"/>
    <numFmt numFmtId="177" formatCode="&quot;$&quot;\ #,##0"/>
  </numFmts>
  <fonts count="150" x14ac:knownFonts="1">
    <font>
      <sz val="16"/>
      <color theme="1"/>
      <name val="Calibri"/>
      <family val="2"/>
      <scheme val="minor"/>
    </font>
    <font>
      <sz val="16"/>
      <color theme="1"/>
      <name val="Calibri"/>
      <family val="2"/>
      <scheme val="minor"/>
    </font>
    <font>
      <b/>
      <sz val="16"/>
      <color theme="0"/>
      <name val="Calibri"/>
      <family val="2"/>
      <scheme val="minor"/>
    </font>
    <font>
      <b/>
      <sz val="16"/>
      <color theme="1"/>
      <name val="Calibri"/>
      <family val="2"/>
      <scheme val="minor"/>
    </font>
    <font>
      <sz val="16"/>
      <color theme="0"/>
      <name val="Calibri"/>
      <family val="2"/>
      <scheme val="minor"/>
    </font>
    <font>
      <sz val="11"/>
      <color theme="1"/>
      <name val="Calibri"/>
      <family val="2"/>
      <scheme val="minor"/>
    </font>
    <font>
      <sz val="16"/>
      <name val="Calibri"/>
      <family val="2"/>
    </font>
    <font>
      <u/>
      <sz val="11"/>
      <color rgb="FF0000FF"/>
      <name val="Calibri"/>
      <family val="2"/>
      <scheme val="minor"/>
    </font>
    <font>
      <sz val="11"/>
      <name val="Calibri"/>
      <family val="2"/>
    </font>
    <font>
      <b/>
      <sz val="26"/>
      <color rgb="FF002060"/>
      <name val="Arial Narrow"/>
      <family val="2"/>
    </font>
    <font>
      <b/>
      <sz val="24"/>
      <color rgb="FF002060"/>
      <name val="Arial Narrow"/>
      <family val="2"/>
    </font>
    <font>
      <b/>
      <sz val="24"/>
      <name val="Arial Narrow"/>
      <family val="2"/>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9"/>
      <color indexed="81"/>
      <name val="Tahoma"/>
      <family val="2"/>
    </font>
    <font>
      <sz val="9"/>
      <color indexed="81"/>
      <name val="Tahoma"/>
      <family val="2"/>
    </font>
    <font>
      <b/>
      <sz val="36"/>
      <name val="Arial"/>
      <family val="2"/>
    </font>
    <font>
      <sz val="24"/>
      <name val="Arial"/>
      <family val="2"/>
    </font>
    <font>
      <strike/>
      <sz val="24"/>
      <name val="Arial"/>
      <family val="2"/>
    </font>
    <font>
      <b/>
      <strike/>
      <sz val="36"/>
      <name val="Arial"/>
      <family val="2"/>
    </font>
    <font>
      <sz val="24"/>
      <color theme="1"/>
      <name val="Arial"/>
      <family val="2"/>
    </font>
    <font>
      <sz val="18"/>
      <name val="Arial"/>
      <family val="2"/>
    </font>
    <font>
      <b/>
      <sz val="24"/>
      <name val="Arial"/>
      <family val="2"/>
    </font>
    <font>
      <b/>
      <sz val="36"/>
      <name val="Arial Narrow"/>
      <family val="2"/>
    </font>
    <font>
      <sz val="11"/>
      <color rgb="FF000000"/>
      <name val="Calibri"/>
      <family val="2"/>
      <scheme val="minor"/>
    </font>
    <font>
      <b/>
      <sz val="11"/>
      <name val="Calibri"/>
      <family val="2"/>
    </font>
    <font>
      <sz val="9"/>
      <name val="Calibri"/>
      <family val="2"/>
    </font>
    <font>
      <sz val="18"/>
      <name val="Calibri"/>
      <family val="2"/>
    </font>
    <font>
      <sz val="14"/>
      <name val="Calibri"/>
      <family val="2"/>
    </font>
    <font>
      <b/>
      <sz val="16"/>
      <name val="Calibri"/>
      <family val="2"/>
    </font>
    <font>
      <sz val="20"/>
      <name val="Calibri"/>
      <family val="2"/>
    </font>
    <font>
      <b/>
      <sz val="16"/>
      <color rgb="FFFF0000"/>
      <name val="Calibri"/>
      <family val="2"/>
    </font>
    <font>
      <b/>
      <sz val="12"/>
      <color rgb="FFFF0000"/>
      <name val="Calibri"/>
      <family val="2"/>
    </font>
    <font>
      <b/>
      <sz val="9"/>
      <name val="Times New Roman"/>
      <family val="1"/>
    </font>
    <font>
      <b/>
      <sz val="8"/>
      <color theme="0"/>
      <name val="Arial"/>
      <family val="2"/>
    </font>
    <font>
      <b/>
      <sz val="11"/>
      <color theme="0"/>
      <name val="Arial"/>
      <family val="2"/>
    </font>
    <font>
      <b/>
      <sz val="11"/>
      <name val="Arial"/>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8"/>
      <name val="Calibri"/>
      <family val="2"/>
    </font>
    <font>
      <b/>
      <sz val="20"/>
      <color theme="0"/>
      <name val="Calibri"/>
      <family val="2"/>
    </font>
    <font>
      <sz val="8"/>
      <name val="Arial"/>
      <family val="2"/>
    </font>
    <font>
      <b/>
      <sz val="10"/>
      <color theme="0"/>
      <name val="Arial"/>
      <family val="2"/>
    </font>
    <font>
      <b/>
      <sz val="11"/>
      <color rgb="FFFF0000"/>
      <name val="Calibri"/>
      <family val="2"/>
    </font>
    <font>
      <b/>
      <sz val="18"/>
      <color theme="0"/>
      <name val="Calibri"/>
      <family val="2"/>
    </font>
    <font>
      <b/>
      <sz val="11"/>
      <color theme="0"/>
      <name val="Calibri"/>
      <family val="2"/>
      <scheme val="minor"/>
    </font>
    <font>
      <b/>
      <sz val="16"/>
      <color theme="0"/>
      <name val="Calibri"/>
      <family val="2"/>
    </font>
    <font>
      <b/>
      <sz val="14"/>
      <name val="Calibri"/>
      <family val="2"/>
      <scheme val="minor"/>
    </font>
    <font>
      <sz val="9"/>
      <color theme="0"/>
      <name val="Arial"/>
      <family val="2"/>
    </font>
    <font>
      <sz val="10"/>
      <color theme="0"/>
      <name val="Arial"/>
      <family val="2"/>
    </font>
    <font>
      <b/>
      <sz val="24"/>
      <color theme="0"/>
      <name val="Arial"/>
      <family val="2"/>
    </font>
    <font>
      <sz val="16"/>
      <color theme="0"/>
      <name val="Arial"/>
      <family val="2"/>
    </font>
    <font>
      <sz val="18"/>
      <color theme="0"/>
      <name val="Calibri"/>
      <family val="2"/>
    </font>
    <font>
      <sz val="16"/>
      <color theme="0"/>
      <name val="Times New Roman"/>
      <family val="1"/>
    </font>
    <font>
      <sz val="20"/>
      <color theme="0"/>
      <name val="Calibri"/>
      <family val="2"/>
    </font>
    <font>
      <sz val="9"/>
      <color theme="0"/>
      <name val="Calibri"/>
      <family val="2"/>
    </font>
    <font>
      <sz val="14"/>
      <color theme="0"/>
      <name val="Calibri"/>
      <family val="2"/>
    </font>
    <font>
      <sz val="9"/>
      <name val="Arial"/>
      <family val="2"/>
    </font>
    <font>
      <sz val="12"/>
      <name val="Arial"/>
      <family val="2"/>
    </font>
    <font>
      <b/>
      <sz val="22"/>
      <name val="Arial"/>
      <family val="2"/>
    </font>
    <font>
      <sz val="16"/>
      <name val="Arial"/>
      <family val="2"/>
    </font>
    <font>
      <sz val="16"/>
      <color rgb="FF000000"/>
      <name val="Times New Roman"/>
      <family val="1"/>
    </font>
    <font>
      <sz val="20"/>
      <color theme="1"/>
      <name val="Calibri"/>
      <family val="2"/>
    </font>
    <font>
      <b/>
      <sz val="20"/>
      <name val="Arial"/>
      <family val="2"/>
    </font>
    <font>
      <sz val="14"/>
      <name val="Arial"/>
      <family val="2"/>
    </font>
    <font>
      <sz val="12"/>
      <color theme="0"/>
      <name val="Arial"/>
      <family val="2"/>
    </font>
    <font>
      <b/>
      <sz val="9"/>
      <color theme="0"/>
      <name val="Arial"/>
      <family val="2"/>
    </font>
    <font>
      <sz val="14"/>
      <color theme="0"/>
      <name val="Arial"/>
      <family val="2"/>
    </font>
    <font>
      <b/>
      <sz val="16"/>
      <color theme="0"/>
      <name val="Arial"/>
      <family val="2"/>
    </font>
    <font>
      <sz val="11"/>
      <name val="Arial"/>
      <family val="2"/>
    </font>
    <font>
      <sz val="16"/>
      <color rgb="FFC00000"/>
      <name val="Arial"/>
      <family val="2"/>
    </font>
    <font>
      <b/>
      <sz val="16"/>
      <name val="Arial"/>
      <family val="2"/>
    </font>
    <font>
      <b/>
      <sz val="14"/>
      <name val="Arial"/>
      <family val="2"/>
    </font>
    <font>
      <b/>
      <sz val="18"/>
      <name val="Arial"/>
      <family val="2"/>
    </font>
    <font>
      <b/>
      <sz val="24"/>
      <color theme="0"/>
      <name val="Calibri"/>
      <family val="2"/>
    </font>
    <font>
      <b/>
      <sz val="11"/>
      <color theme="1"/>
      <name val="Arial"/>
      <family val="2"/>
    </font>
    <font>
      <sz val="20"/>
      <name val="Arial"/>
      <family val="2"/>
    </font>
    <font>
      <sz val="16"/>
      <color rgb="FFFF0000"/>
      <name val="Arial"/>
      <family val="2"/>
    </font>
    <font>
      <sz val="18"/>
      <color theme="1"/>
      <name val="Arial"/>
      <family val="2"/>
    </font>
    <font>
      <b/>
      <sz val="20"/>
      <color theme="0"/>
      <name val="Arial"/>
      <family val="2"/>
    </font>
    <font>
      <sz val="20"/>
      <color theme="0"/>
      <name val="Arial"/>
      <family val="2"/>
    </font>
    <font>
      <sz val="18"/>
      <color theme="0"/>
      <name val="Arial"/>
      <family val="2"/>
    </font>
    <font>
      <sz val="20"/>
      <color theme="1"/>
      <name val="Arial"/>
      <family val="2"/>
    </font>
    <font>
      <b/>
      <sz val="18"/>
      <color rgb="FFC00000"/>
      <name val="Arial"/>
      <family val="2"/>
    </font>
    <font>
      <sz val="11"/>
      <color theme="0"/>
      <name val="Arial"/>
      <family val="2"/>
    </font>
    <font>
      <b/>
      <sz val="9"/>
      <name val="Arial"/>
      <family val="2"/>
    </font>
    <font>
      <sz val="18"/>
      <color theme="1"/>
      <name val="Calibri"/>
      <family val="2"/>
    </font>
    <font>
      <b/>
      <sz val="8"/>
      <name val="Arial"/>
      <family val="2"/>
    </font>
    <font>
      <sz val="12"/>
      <name val="Calibri"/>
      <family val="2"/>
    </font>
    <font>
      <b/>
      <sz val="20"/>
      <color rgb="FFFF0000"/>
      <name val="Arial"/>
      <family val="2"/>
    </font>
    <font>
      <b/>
      <sz val="10"/>
      <name val="Arial"/>
      <family val="2"/>
    </font>
    <font>
      <sz val="8"/>
      <name val="Calibri"/>
      <family val="2"/>
    </font>
    <font>
      <sz val="8"/>
      <name val="Times New Roman"/>
      <family val="1"/>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sz val="14"/>
      <color theme="1"/>
      <name val="Calibri"/>
      <family val="2"/>
    </font>
    <font>
      <b/>
      <sz val="14"/>
      <color theme="0"/>
      <name val="Calibri"/>
      <family val="2"/>
    </font>
    <font>
      <b/>
      <sz val="14"/>
      <color theme="0"/>
      <name val="Calibri"/>
      <family val="2"/>
      <scheme val="minor"/>
    </font>
    <font>
      <b/>
      <sz val="16"/>
      <color theme="0"/>
      <name val="Times New Roman"/>
      <family val="1"/>
    </font>
    <font>
      <b/>
      <sz val="16"/>
      <color rgb="FF002060"/>
      <name val="Arial"/>
      <family val="2"/>
    </font>
    <font>
      <b/>
      <sz val="16"/>
      <color rgb="FF002060"/>
      <name val="Calibri"/>
      <family val="2"/>
    </font>
    <font>
      <sz val="16"/>
      <color theme="0"/>
      <name val="Calibri"/>
      <family val="2"/>
    </font>
    <font>
      <b/>
      <sz val="16"/>
      <color theme="1"/>
      <name val="Arial"/>
      <family val="2"/>
    </font>
    <font>
      <sz val="16"/>
      <color rgb="FF002060"/>
      <name val="Arial"/>
      <family val="2"/>
    </font>
    <font>
      <strike/>
      <sz val="16"/>
      <color theme="1"/>
      <name val="Calibri"/>
      <family val="2"/>
      <scheme val="minor"/>
    </font>
    <font>
      <sz val="16"/>
      <color theme="1"/>
      <name val="Arial"/>
      <family val="2"/>
    </font>
    <font>
      <b/>
      <sz val="14"/>
      <color theme="1"/>
      <name val="Calibri"/>
      <family val="2"/>
    </font>
    <font>
      <b/>
      <sz val="15"/>
      <name val="Arial"/>
      <family val="2"/>
    </font>
    <font>
      <sz val="15"/>
      <name val="Arial"/>
      <family val="2"/>
    </font>
    <font>
      <sz val="15"/>
      <color theme="1"/>
      <name val="Arial"/>
      <family val="2"/>
    </font>
    <font>
      <b/>
      <sz val="20"/>
      <color theme="1"/>
      <name val="Arial"/>
      <family val="2"/>
    </font>
    <font>
      <sz val="22"/>
      <name val="Calibri"/>
      <family val="2"/>
    </font>
    <font>
      <b/>
      <sz val="15"/>
      <color theme="1"/>
      <name val="Arial"/>
      <family val="2"/>
    </font>
    <font>
      <sz val="16"/>
      <color rgb="FF000000"/>
      <name val="Calibri"/>
      <family val="2"/>
      <scheme val="minor"/>
    </font>
    <font>
      <b/>
      <sz val="14"/>
      <color theme="1"/>
      <name val="Calibri"/>
      <family val="2"/>
      <scheme val="minor"/>
    </font>
    <font>
      <sz val="16"/>
      <name val="Arial Narrow"/>
      <family val="2"/>
    </font>
    <font>
      <sz val="16"/>
      <color theme="1"/>
      <name val="Arial Narrow"/>
      <family val="2"/>
    </font>
    <font>
      <b/>
      <sz val="16"/>
      <name val="Arial Narrow"/>
      <family val="2"/>
    </font>
    <font>
      <b/>
      <sz val="16"/>
      <color theme="1"/>
      <name val="Arial Narrow"/>
      <family val="2"/>
    </font>
  </fonts>
  <fills count="3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50"/>
        <bgColor indexed="64"/>
      </patternFill>
    </fill>
  </fills>
  <borders count="39">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2">
    <xf numFmtId="0" fontId="0" fillId="0" borderId="0"/>
    <xf numFmtId="0" fontId="4" fillId="2" borderId="0" applyNumberFormat="0" applyBorder="0" applyAlignment="0" applyProtection="0"/>
    <xf numFmtId="165" fontId="5" fillId="0" borderId="0" applyFont="0" applyFill="0" applyBorder="0" applyAlignment="0" applyProtection="0"/>
    <xf numFmtId="0" fontId="7" fillId="0" borderId="0" applyNumberForma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0" fontId="47" fillId="0" borderId="0"/>
    <xf numFmtId="0" fontId="5" fillId="0" borderId="0"/>
    <xf numFmtId="9"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5"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70">
    <xf numFmtId="0" fontId="0" fillId="0" borderId="0" xfId="0"/>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5" fillId="0" borderId="0" xfId="0" applyFont="1" applyBorder="1" applyAlignment="1">
      <alignment vertical="center" wrapText="1"/>
    </xf>
    <xf numFmtId="0" fontId="0" fillId="0" borderId="0" xfId="0" applyFont="1" applyFill="1" applyBorder="1" applyAlignment="1">
      <alignment horizontal="center" vertical="center" wrapText="1"/>
    </xf>
    <xf numFmtId="165" fontId="5" fillId="0" borderId="0" xfId="2" applyFont="1" applyBorder="1" applyAlignment="1">
      <alignment horizontal="right" vertical="center" wrapText="1"/>
    </xf>
    <xf numFmtId="0" fontId="0" fillId="0" borderId="0" xfId="0" applyFont="1" applyBorder="1" applyAlignment="1">
      <alignment horizontal="right" vertical="center" wrapText="1"/>
    </xf>
    <xf numFmtId="0" fontId="16" fillId="4" borderId="0" xfId="0" applyFont="1" applyFill="1" applyBorder="1" applyAlignment="1">
      <alignment vertical="center" wrapText="1"/>
    </xf>
    <xf numFmtId="0" fontId="0" fillId="0" borderId="0" xfId="0" applyFont="1" applyAlignment="1">
      <alignment horizontal="center" vertical="center" wrapText="1"/>
    </xf>
    <xf numFmtId="0" fontId="17" fillId="0" borderId="0" xfId="2" applyNumberFormat="1" applyFont="1" applyAlignment="1">
      <alignment horizontal="left" wrapText="1"/>
    </xf>
    <xf numFmtId="0" fontId="18" fillId="0" borderId="0" xfId="0" applyFont="1" applyAlignment="1">
      <alignment wrapText="1"/>
    </xf>
    <xf numFmtId="0" fontId="0" fillId="0" borderId="0" xfId="0" applyFont="1" applyAlignment="1">
      <alignment wrapText="1"/>
    </xf>
    <xf numFmtId="0" fontId="18"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12" fillId="0" borderId="0" xfId="0" applyFont="1" applyFill="1" applyAlignment="1">
      <alignment horizontal="center" wrapText="1"/>
    </xf>
    <xf numFmtId="0" fontId="13" fillId="0" borderId="0" xfId="0" applyFont="1" applyFill="1" applyAlignment="1">
      <alignment horizontal="center" wrapText="1"/>
    </xf>
    <xf numFmtId="0" fontId="20" fillId="4"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15" fillId="0" borderId="0" xfId="0" applyFont="1" applyBorder="1" applyAlignment="1">
      <alignment horizontal="left"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3" borderId="0" xfId="0" applyFont="1" applyFill="1" applyAlignment="1">
      <alignment horizontal="center" vertical="center" wrapText="1"/>
    </xf>
    <xf numFmtId="0" fontId="14" fillId="0" borderId="2" xfId="0" applyFont="1" applyBorder="1" applyAlignment="1">
      <alignment horizontal="center" vertical="center" wrapText="1"/>
    </xf>
    <xf numFmtId="0" fontId="16" fillId="4" borderId="0" xfId="0" applyFont="1" applyFill="1" applyAlignment="1">
      <alignment vertical="center" wrapText="1"/>
    </xf>
    <xf numFmtId="0" fontId="1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4" fillId="0" borderId="0" xfId="3" quotePrefix="1" applyFont="1" applyBorder="1" applyAlignment="1">
      <alignment horizontal="center" vertical="center" wrapText="1"/>
    </xf>
    <xf numFmtId="0" fontId="3" fillId="0" borderId="2" xfId="0" applyFont="1" applyBorder="1" applyAlignment="1">
      <alignment horizontal="center" vertical="center" wrapText="1"/>
    </xf>
    <xf numFmtId="0" fontId="13" fillId="0" borderId="2" xfId="2" applyNumberFormat="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5" fontId="5" fillId="0" borderId="0" xfId="2" applyFont="1" applyFill="1" applyAlignment="1">
      <alignment horizontal="right" vertical="center" wrapText="1"/>
    </xf>
    <xf numFmtId="0" fontId="0" fillId="0" borderId="0" xfId="0" applyFont="1" applyFill="1" applyAlignment="1">
      <alignment horizontal="right" vertical="center" wrapText="1"/>
    </xf>
    <xf numFmtId="0" fontId="25" fillId="0" borderId="2" xfId="0" applyFont="1" applyBorder="1" applyAlignment="1">
      <alignment horizontal="center" vertical="center" wrapText="1"/>
    </xf>
    <xf numFmtId="168" fontId="26" fillId="0" borderId="2" xfId="4" applyNumberFormat="1" applyFont="1" applyBorder="1" applyAlignment="1">
      <alignment horizontal="left" wrapText="1"/>
    </xf>
    <xf numFmtId="168" fontId="27" fillId="0" borderId="2" xfId="4" applyNumberFormat="1" applyFont="1" applyBorder="1" applyAlignment="1">
      <alignment wrapText="1"/>
    </xf>
    <xf numFmtId="169" fontId="0" fillId="0" borderId="0"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168" fontId="26" fillId="5" borderId="2" xfId="4" applyNumberFormat="1" applyFont="1" applyFill="1" applyBorder="1" applyAlignment="1">
      <alignment horizontal="left" wrapText="1"/>
    </xf>
    <xf numFmtId="170" fontId="0" fillId="0" borderId="0"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17" fillId="0" borderId="2" xfId="2" applyNumberFormat="1" applyFont="1" applyBorder="1" applyAlignment="1">
      <alignment horizontal="left" wrapText="1"/>
    </xf>
    <xf numFmtId="166" fontId="1" fillId="0" borderId="2" xfId="0" applyNumberFormat="1" applyFont="1" applyBorder="1" applyAlignment="1">
      <alignment wrapText="1"/>
    </xf>
    <xf numFmtId="166" fontId="0" fillId="0" borderId="0" xfId="0" applyNumberFormat="1" applyFont="1" applyAlignment="1">
      <alignment wrapText="1"/>
    </xf>
    <xf numFmtId="0" fontId="14" fillId="0" borderId="11" xfId="0" applyFont="1" applyBorder="1" applyAlignment="1">
      <alignment horizontal="center" vertical="center" wrapText="1"/>
    </xf>
    <xf numFmtId="14" fontId="31" fillId="3" borderId="0" xfId="0" applyNumberFormat="1" applyFont="1" applyFill="1" applyBorder="1" applyAlignment="1">
      <alignment horizontal="center" vertical="center" wrapText="1"/>
    </xf>
    <xf numFmtId="166" fontId="0" fillId="0" borderId="0" xfId="0" applyNumberFormat="1" applyFont="1" applyAlignment="1">
      <alignment horizontal="center" vertical="center" wrapText="1"/>
    </xf>
    <xf numFmtId="14" fontId="15"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71" fontId="0" fillId="0" borderId="0" xfId="0" applyNumberFormat="1" applyFont="1" applyFill="1" applyBorder="1" applyAlignment="1">
      <alignment horizontal="center" vertical="center" wrapText="1"/>
    </xf>
    <xf numFmtId="0" fontId="0" fillId="0" borderId="0" xfId="0" applyAlignment="1">
      <alignment wrapText="1"/>
    </xf>
    <xf numFmtId="165" fontId="5" fillId="0" borderId="0" xfId="2"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horizontal="center" vertical="center" wrapText="1"/>
    </xf>
    <xf numFmtId="44" fontId="16" fillId="4" borderId="0" xfId="0" applyNumberFormat="1" applyFont="1" applyFill="1" applyAlignment="1">
      <alignment vertical="center" wrapText="1"/>
    </xf>
    <xf numFmtId="44" fontId="32" fillId="3" borderId="0" xfId="0" applyNumberFormat="1" applyFont="1" applyFill="1" applyAlignment="1">
      <alignment wrapText="1"/>
    </xf>
    <xf numFmtId="171" fontId="1" fillId="3" borderId="0" xfId="0" applyNumberFormat="1" applyFont="1" applyFill="1" applyBorder="1" applyAlignment="1">
      <alignment horizontal="center" vertical="center" wrapText="1"/>
    </xf>
    <xf numFmtId="165" fontId="33" fillId="0" borderId="0" xfId="2" applyFont="1" applyFill="1" applyAlignment="1">
      <alignment horizontal="center" vertical="center" wrapText="1"/>
    </xf>
    <xf numFmtId="171" fontId="33" fillId="0" borderId="0" xfId="0" applyNumberFormat="1" applyFont="1" applyFill="1" applyAlignment="1">
      <alignment horizontal="center" vertical="center" wrapText="1"/>
    </xf>
    <xf numFmtId="171" fontId="0" fillId="0" borderId="0" xfId="0" applyNumberFormat="1" applyFont="1" applyAlignment="1">
      <alignment horizontal="center" vertical="center" wrapText="1"/>
    </xf>
    <xf numFmtId="171" fontId="16" fillId="4" borderId="0" xfId="0" applyNumberFormat="1" applyFont="1" applyFill="1" applyAlignment="1">
      <alignment vertical="center" wrapText="1"/>
    </xf>
    <xf numFmtId="166" fontId="17" fillId="0" borderId="0" xfId="2" applyNumberFormat="1" applyFont="1" applyAlignment="1">
      <alignment horizontal="left" wrapText="1"/>
    </xf>
    <xf numFmtId="171" fontId="0" fillId="0" borderId="0" xfId="0" applyNumberFormat="1" applyFont="1" applyAlignment="1">
      <alignment wrapText="1"/>
    </xf>
    <xf numFmtId="171" fontId="18" fillId="0" borderId="0" xfId="0" applyNumberFormat="1" applyFont="1" applyAlignment="1">
      <alignment horizontal="center" vertical="center" wrapText="1"/>
    </xf>
    <xf numFmtId="44" fontId="33" fillId="0" borderId="0" xfId="0" applyNumberFormat="1" applyFont="1" applyFill="1" applyAlignment="1">
      <alignment horizontal="center" vertical="center" wrapText="1"/>
    </xf>
    <xf numFmtId="0" fontId="34" fillId="0" borderId="0" xfId="0" applyFont="1" applyBorder="1" applyAlignment="1">
      <alignment horizontal="left" vertical="center" wrapText="1"/>
    </xf>
    <xf numFmtId="0" fontId="1" fillId="3" borderId="0" xfId="0" applyFont="1" applyFill="1" applyBorder="1" applyAlignment="1">
      <alignment horizontal="center" vertical="center" wrapText="1"/>
    </xf>
    <xf numFmtId="44" fontId="35" fillId="0" borderId="0" xfId="5" applyFont="1" applyFill="1" applyAlignment="1">
      <alignment horizontal="right" vertical="center" wrapText="1"/>
    </xf>
    <xf numFmtId="44" fontId="36" fillId="3" borderId="0" xfId="5" applyFont="1" applyFill="1" applyAlignment="1">
      <alignment horizontal="right" vertical="center" wrapText="1"/>
    </xf>
    <xf numFmtId="0" fontId="9" fillId="6" borderId="16" xfId="1" applyFont="1" applyFill="1" applyBorder="1" applyAlignment="1">
      <alignment horizontal="center" vertical="center" wrapText="1"/>
    </xf>
    <xf numFmtId="0" fontId="10" fillId="6" borderId="16" xfId="1" applyFont="1" applyFill="1" applyBorder="1" applyAlignment="1">
      <alignment horizontal="center" vertical="center" wrapText="1"/>
    </xf>
    <xf numFmtId="41" fontId="10" fillId="6" borderId="16" xfId="6" applyFont="1" applyFill="1" applyBorder="1" applyAlignment="1">
      <alignment horizontal="center" vertical="center" wrapText="1"/>
    </xf>
    <xf numFmtId="0" fontId="11" fillId="4" borderId="17" xfId="1" applyFont="1" applyFill="1" applyBorder="1" applyAlignment="1">
      <alignment horizontal="center" vertical="center" wrapText="1"/>
    </xf>
    <xf numFmtId="0" fontId="8" fillId="0" borderId="0" xfId="7" applyFont="1" applyFill="1" applyBorder="1"/>
    <xf numFmtId="172" fontId="8" fillId="0" borderId="0" xfId="7" applyNumberFormat="1" applyFont="1" applyFill="1" applyBorder="1"/>
    <xf numFmtId="0" fontId="49" fillId="3" borderId="0" xfId="7" applyFont="1" applyFill="1" applyBorder="1"/>
    <xf numFmtId="0" fontId="8" fillId="0" borderId="0" xfId="7" applyFont="1" applyFill="1" applyBorder="1" applyAlignment="1">
      <alignment horizontal="center" vertical="center"/>
    </xf>
    <xf numFmtId="0" fontId="8" fillId="0" borderId="2" xfId="7" applyFont="1" applyFill="1" applyBorder="1" applyAlignment="1">
      <alignment horizontal="center" vertical="center" wrapText="1"/>
    </xf>
    <xf numFmtId="0" fontId="8" fillId="3" borderId="0" xfId="7" applyFont="1" applyFill="1" applyBorder="1" applyAlignment="1">
      <alignment horizontal="center" vertical="center"/>
    </xf>
    <xf numFmtId="168" fontId="50" fillId="0" borderId="0" xfId="4" applyNumberFormat="1" applyFont="1" applyFill="1" applyBorder="1" applyAlignment="1">
      <alignment horizontal="center" vertical="center"/>
    </xf>
    <xf numFmtId="0" fontId="50" fillId="0" borderId="0" xfId="7" applyFont="1" applyFill="1" applyBorder="1"/>
    <xf numFmtId="0" fontId="51" fillId="0" borderId="0" xfId="7" applyFont="1" applyFill="1" applyBorder="1" applyAlignment="1">
      <alignment horizontal="center" vertical="center"/>
    </xf>
    <xf numFmtId="172" fontId="49" fillId="3" borderId="0" xfId="7" applyNumberFormat="1" applyFont="1" applyFill="1" applyBorder="1"/>
    <xf numFmtId="0" fontId="8" fillId="0" borderId="0" xfId="7" applyFont="1" applyFill="1" applyBorder="1" applyAlignment="1"/>
    <xf numFmtId="39" fontId="54" fillId="0" borderId="0" xfId="7" applyNumberFormat="1" applyFont="1" applyFill="1" applyBorder="1" applyAlignment="1"/>
    <xf numFmtId="39" fontId="55" fillId="0" borderId="0" xfId="7" applyNumberFormat="1" applyFont="1" applyFill="1" applyBorder="1" applyAlignment="1"/>
    <xf numFmtId="173" fontId="8" fillId="0" borderId="0" xfId="7" applyNumberFormat="1" applyFont="1" applyFill="1" applyBorder="1" applyAlignment="1"/>
    <xf numFmtId="0" fontId="8" fillId="5" borderId="0" xfId="7" applyFont="1" applyFill="1" applyBorder="1" applyAlignment="1"/>
    <xf numFmtId="0" fontId="8" fillId="0" borderId="0" xfId="7" applyFont="1" applyFill="1" applyBorder="1" applyAlignment="1">
      <alignment horizontal="center"/>
    </xf>
    <xf numFmtId="172" fontId="8" fillId="3" borderId="0" xfId="7" applyNumberFormat="1" applyFont="1" applyFill="1" applyBorder="1" applyAlignment="1">
      <alignment horizontal="center" vertical="center"/>
    </xf>
    <xf numFmtId="0" fontId="56" fillId="0" borderId="0" xfId="7" applyNumberFormat="1" applyFont="1" applyFill="1" applyBorder="1" applyAlignment="1">
      <alignment horizontal="center" vertical="center" wrapText="1" readingOrder="1"/>
    </xf>
    <xf numFmtId="0" fontId="58" fillId="9" borderId="20" xfId="7" applyNumberFormat="1" applyFont="1" applyFill="1" applyBorder="1" applyAlignment="1">
      <alignment vertical="center" wrapText="1" readingOrder="1"/>
    </xf>
    <xf numFmtId="0" fontId="59" fillId="5" borderId="20" xfId="7" applyNumberFormat="1" applyFont="1" applyFill="1" applyBorder="1" applyAlignment="1">
      <alignment vertical="center" wrapText="1" readingOrder="1"/>
    </xf>
    <xf numFmtId="0" fontId="60" fillId="5" borderId="0" xfId="7" applyFont="1" applyFill="1" applyBorder="1" applyAlignment="1">
      <alignment vertical="center" wrapText="1"/>
    </xf>
    <xf numFmtId="0" fontId="60" fillId="9" borderId="0" xfId="7" applyFont="1" applyFill="1" applyBorder="1" applyAlignment="1">
      <alignment vertical="center" wrapText="1"/>
    </xf>
    <xf numFmtId="168" fontId="64" fillId="5" borderId="0" xfId="4" applyNumberFormat="1" applyFont="1" applyFill="1" applyBorder="1" applyAlignment="1">
      <alignment horizontal="center" vertical="center"/>
    </xf>
    <xf numFmtId="168" fontId="65" fillId="4" borderId="0" xfId="7" applyNumberFormat="1" applyFont="1" applyFill="1" applyBorder="1"/>
    <xf numFmtId="0" fontId="65" fillId="4" borderId="0" xfId="7" applyFont="1" applyFill="1" applyBorder="1"/>
    <xf numFmtId="0" fontId="66" fillId="0" borderId="2" xfId="7" applyNumberFormat="1" applyFont="1" applyFill="1" applyBorder="1" applyAlignment="1">
      <alignment horizontal="center" vertical="center" wrapText="1" readingOrder="1"/>
    </xf>
    <xf numFmtId="0" fontId="57" fillId="9" borderId="17" xfId="7" applyNumberFormat="1" applyFont="1" applyFill="1" applyBorder="1" applyAlignment="1">
      <alignment horizontal="center" vertical="center" wrapText="1" readingOrder="1"/>
    </xf>
    <xf numFmtId="0" fontId="58" fillId="9" borderId="17" xfId="7" applyNumberFormat="1" applyFont="1" applyFill="1" applyBorder="1" applyAlignment="1">
      <alignment horizontal="center" vertical="center" wrapText="1" readingOrder="1"/>
    </xf>
    <xf numFmtId="0" fontId="71" fillId="9" borderId="0" xfId="7" applyFont="1" applyFill="1" applyBorder="1" applyAlignment="1">
      <alignment horizontal="center" vertical="center"/>
    </xf>
    <xf numFmtId="0" fontId="72" fillId="3" borderId="17" xfId="8" applyFont="1" applyFill="1" applyBorder="1" applyAlignment="1">
      <alignment horizontal="center" vertical="center" wrapText="1"/>
    </xf>
    <xf numFmtId="0" fontId="66" fillId="3" borderId="0" xfId="7" applyNumberFormat="1" applyFont="1" applyFill="1" applyBorder="1" applyAlignment="1">
      <alignment horizontal="center" vertical="center" wrapText="1" readingOrder="1"/>
    </xf>
    <xf numFmtId="0" fontId="57" fillId="3" borderId="17" xfId="7" applyNumberFormat="1" applyFont="1" applyFill="1" applyBorder="1" applyAlignment="1">
      <alignment horizontal="center" vertical="center" wrapText="1" readingOrder="1"/>
    </xf>
    <xf numFmtId="0" fontId="58" fillId="3" borderId="17" xfId="7" applyNumberFormat="1" applyFont="1" applyFill="1" applyBorder="1" applyAlignment="1">
      <alignment horizontal="center" vertical="center" wrapText="1" readingOrder="1"/>
    </xf>
    <xf numFmtId="0" fontId="67" fillId="3" borderId="17" xfId="7" applyNumberFormat="1" applyFont="1" applyFill="1" applyBorder="1" applyAlignment="1">
      <alignment horizontal="center" vertical="center" wrapText="1" readingOrder="1"/>
    </xf>
    <xf numFmtId="0" fontId="58" fillId="3" borderId="6" xfId="7" applyNumberFormat="1" applyFont="1" applyFill="1" applyBorder="1" applyAlignment="1">
      <alignment horizontal="center" vertical="center" wrapText="1" readingOrder="1"/>
    </xf>
    <xf numFmtId="0" fontId="59" fillId="3" borderId="17" xfId="7" applyNumberFormat="1" applyFont="1" applyFill="1" applyBorder="1" applyAlignment="1">
      <alignment horizontal="center" vertical="center" wrapText="1" readingOrder="1"/>
    </xf>
    <xf numFmtId="0" fontId="68" fillId="3" borderId="2" xfId="7" applyFont="1" applyFill="1" applyBorder="1" applyAlignment="1">
      <alignment vertical="center" wrapText="1"/>
    </xf>
    <xf numFmtId="0" fontId="60" fillId="3" borderId="2" xfId="7" applyFont="1" applyFill="1" applyBorder="1" applyAlignment="1">
      <alignment vertical="center" wrapText="1"/>
    </xf>
    <xf numFmtId="0" fontId="61" fillId="3" borderId="17" xfId="7" applyNumberFormat="1" applyFont="1" applyFill="1" applyBorder="1" applyAlignment="1">
      <alignment horizontal="center" vertical="center" wrapText="1" readingOrder="1"/>
    </xf>
    <xf numFmtId="0" fontId="61" fillId="3" borderId="6" xfId="7" applyNumberFormat="1" applyFont="1" applyFill="1" applyBorder="1" applyAlignment="1">
      <alignment horizontal="center" vertical="center" wrapText="1" readingOrder="1"/>
    </xf>
    <xf numFmtId="0" fontId="62" fillId="3" borderId="6" xfId="7" applyFont="1" applyFill="1" applyBorder="1" applyAlignment="1">
      <alignment horizontal="center" vertical="center" wrapText="1"/>
    </xf>
    <xf numFmtId="0" fontId="69" fillId="3" borderId="2" xfId="7" applyFont="1" applyFill="1" applyBorder="1" applyAlignment="1">
      <alignment horizontal="center" vertical="center" wrapText="1"/>
    </xf>
    <xf numFmtId="0" fontId="70" fillId="3" borderId="17" xfId="8" applyFont="1" applyFill="1" applyBorder="1" applyAlignment="1">
      <alignment horizontal="center" vertical="center" wrapText="1"/>
    </xf>
    <xf numFmtId="0" fontId="70" fillId="3" borderId="2" xfId="8" applyFont="1" applyFill="1" applyBorder="1" applyAlignment="1">
      <alignment horizontal="center" vertical="center" wrapText="1"/>
    </xf>
    <xf numFmtId="0" fontId="63" fillId="3" borderId="2" xfId="7" applyFont="1" applyFill="1" applyBorder="1" applyAlignment="1">
      <alignment horizontal="center" vertical="center" wrapText="1"/>
    </xf>
    <xf numFmtId="0" fontId="71" fillId="3" borderId="0" xfId="7" applyFont="1" applyFill="1" applyBorder="1" applyAlignment="1">
      <alignment horizontal="center" vertical="center"/>
    </xf>
    <xf numFmtId="0" fontId="2" fillId="3" borderId="13" xfId="8" applyFont="1" applyFill="1" applyBorder="1" applyAlignment="1">
      <alignment horizontal="center" vertical="center" wrapText="1"/>
    </xf>
    <xf numFmtId="0" fontId="72" fillId="3" borderId="0" xfId="8" applyFont="1" applyFill="1" applyBorder="1" applyAlignment="1">
      <alignment horizontal="center" vertical="center" wrapText="1"/>
    </xf>
    <xf numFmtId="0" fontId="48" fillId="3" borderId="2" xfId="7" applyFont="1" applyFill="1" applyBorder="1" applyAlignment="1">
      <alignment horizontal="center" vertical="center" wrapText="1"/>
    </xf>
    <xf numFmtId="168" fontId="64" fillId="3" borderId="2" xfId="4" applyNumberFormat="1" applyFont="1" applyFill="1" applyBorder="1" applyAlignment="1">
      <alignment horizontal="center" vertical="center" wrapText="1"/>
    </xf>
    <xf numFmtId="168" fontId="64" fillId="3" borderId="18" xfId="4" applyNumberFormat="1" applyFont="1" applyFill="1" applyBorder="1" applyAlignment="1">
      <alignment horizontal="center" vertical="center" wrapText="1"/>
    </xf>
    <xf numFmtId="0" fontId="50" fillId="3" borderId="0" xfId="7" applyFont="1" applyFill="1" applyBorder="1"/>
    <xf numFmtId="0" fontId="8" fillId="3" borderId="0" xfId="7" applyFont="1" applyFill="1" applyBorder="1"/>
    <xf numFmtId="0" fontId="51" fillId="3" borderId="0" xfId="7" applyFont="1" applyFill="1" applyBorder="1" applyAlignment="1">
      <alignment horizontal="center" vertical="center"/>
    </xf>
    <xf numFmtId="0" fontId="73" fillId="12" borderId="21" xfId="7" applyNumberFormat="1" applyFont="1" applyFill="1" applyBorder="1" applyAlignment="1">
      <alignment horizontal="center" vertical="center" wrapText="1" readingOrder="1"/>
    </xf>
    <xf numFmtId="49" fontId="74" fillId="12" borderId="2" xfId="7" applyNumberFormat="1" applyFont="1" applyFill="1" applyBorder="1" applyAlignment="1">
      <alignment horizontal="center" vertical="center" wrapText="1" readingOrder="1"/>
    </xf>
    <xf numFmtId="49" fontId="73" fillId="12" borderId="2" xfId="7" applyNumberFormat="1" applyFont="1" applyFill="1" applyBorder="1" applyAlignment="1">
      <alignment horizontal="center" vertical="center" wrapText="1" readingOrder="1"/>
    </xf>
    <xf numFmtId="39" fontId="73" fillId="12" borderId="2" xfId="7" applyNumberFormat="1" applyFont="1" applyFill="1" applyBorder="1" applyAlignment="1">
      <alignment horizontal="right" vertical="center" wrapText="1" readingOrder="1"/>
    </xf>
    <xf numFmtId="39" fontId="75" fillId="12" borderId="2" xfId="7" applyNumberFormat="1" applyFont="1" applyFill="1" applyBorder="1" applyAlignment="1">
      <alignment horizontal="right" vertical="center" wrapText="1" readingOrder="1"/>
    </xf>
    <xf numFmtId="10" fontId="76" fillId="12" borderId="2" xfId="9" applyNumberFormat="1" applyFont="1" applyFill="1" applyBorder="1" applyAlignment="1">
      <alignment horizontal="center" vertical="center"/>
    </xf>
    <xf numFmtId="39" fontId="76" fillId="12" borderId="2" xfId="7" applyNumberFormat="1" applyFont="1" applyFill="1" applyBorder="1" applyAlignment="1">
      <alignment horizontal="right" vertical="center"/>
    </xf>
    <xf numFmtId="39" fontId="76" fillId="12" borderId="2" xfId="7" applyNumberFormat="1" applyFont="1" applyFill="1" applyBorder="1" applyAlignment="1">
      <alignment horizontal="center" vertical="center" wrapText="1"/>
    </xf>
    <xf numFmtId="39" fontId="76" fillId="12" borderId="4" xfId="7" applyNumberFormat="1" applyFont="1" applyFill="1" applyBorder="1" applyAlignment="1">
      <alignment horizontal="right" vertical="center"/>
    </xf>
    <xf numFmtId="10" fontId="76" fillId="12" borderId="2" xfId="7" applyNumberFormat="1" applyFont="1" applyFill="1" applyBorder="1" applyAlignment="1">
      <alignment horizontal="center" vertical="center"/>
    </xf>
    <xf numFmtId="10" fontId="77" fillId="12" borderId="0" xfId="7" applyNumberFormat="1" applyFont="1" applyFill="1" applyBorder="1" applyAlignment="1">
      <alignment horizontal="center" vertical="center"/>
    </xf>
    <xf numFmtId="174" fontId="78" fillId="12" borderId="2" xfId="7" applyNumberFormat="1" applyFont="1" applyFill="1" applyBorder="1" applyAlignment="1">
      <alignment horizontal="right" vertical="center" wrapText="1" readingOrder="1"/>
    </xf>
    <xf numFmtId="10" fontId="63" fillId="12" borderId="2" xfId="9" applyNumberFormat="1" applyFont="1" applyFill="1" applyBorder="1" applyAlignment="1">
      <alignment horizontal="center" vertical="center" wrapText="1"/>
    </xf>
    <xf numFmtId="168" fontId="79" fillId="12" borderId="2" xfId="4" applyNumberFormat="1" applyFont="1" applyFill="1" applyBorder="1" applyAlignment="1">
      <alignment horizontal="center" vertical="center"/>
    </xf>
    <xf numFmtId="168" fontId="79" fillId="12" borderId="18" xfId="4" applyNumberFormat="1" applyFont="1" applyFill="1" applyBorder="1" applyAlignment="1">
      <alignment horizontal="center" vertical="center"/>
    </xf>
    <xf numFmtId="0" fontId="77" fillId="12" borderId="0" xfId="7" applyFont="1" applyFill="1" applyBorder="1"/>
    <xf numFmtId="0" fontId="80" fillId="12" borderId="0" xfId="7" applyFont="1" applyFill="1" applyBorder="1"/>
    <xf numFmtId="0" fontId="81" fillId="12" borderId="0" xfId="7" applyFont="1" applyFill="1" applyBorder="1" applyAlignment="1">
      <alignment horizontal="center" vertical="center"/>
    </xf>
    <xf numFmtId="0" fontId="82" fillId="0" borderId="21" xfId="7" applyNumberFormat="1" applyFont="1" applyFill="1" applyBorder="1" applyAlignment="1">
      <alignment horizontal="center" vertical="center" wrapText="1" readingOrder="1"/>
    </xf>
    <xf numFmtId="39" fontId="82" fillId="9" borderId="2" xfId="7" applyNumberFormat="1" applyFont="1" applyFill="1" applyBorder="1" applyAlignment="1">
      <alignment horizontal="right" vertical="center" wrapText="1" readingOrder="1"/>
    </xf>
    <xf numFmtId="39" fontId="84" fillId="9" borderId="2" xfId="7" applyNumberFormat="1" applyFont="1" applyFill="1" applyBorder="1" applyAlignment="1">
      <alignment horizontal="right" vertical="center" wrapText="1" readingOrder="1"/>
    </xf>
    <xf numFmtId="39" fontId="76" fillId="9" borderId="2" xfId="7" applyNumberFormat="1" applyFont="1" applyFill="1" applyBorder="1" applyAlignment="1">
      <alignment horizontal="right" vertical="center" wrapText="1" readingOrder="1"/>
    </xf>
    <xf numFmtId="10" fontId="85" fillId="3" borderId="2" xfId="9" applyNumberFormat="1" applyFont="1" applyFill="1" applyBorder="1" applyAlignment="1">
      <alignment horizontal="center" vertical="center"/>
    </xf>
    <xf numFmtId="39" fontId="85" fillId="13" borderId="2" xfId="7" applyNumberFormat="1" applyFont="1" applyFill="1" applyBorder="1" applyAlignment="1">
      <alignment horizontal="right" vertical="center"/>
    </xf>
    <xf numFmtId="39" fontId="85" fillId="13" borderId="2" xfId="7" applyNumberFormat="1" applyFont="1" applyFill="1" applyBorder="1" applyAlignment="1">
      <alignment horizontal="center" vertical="center" wrapText="1"/>
    </xf>
    <xf numFmtId="39" fontId="85" fillId="3" borderId="4" xfId="7" applyNumberFormat="1" applyFont="1" applyFill="1" applyBorder="1" applyAlignment="1">
      <alignment horizontal="right" vertical="center"/>
    </xf>
    <xf numFmtId="10" fontId="85" fillId="0" borderId="2" xfId="7" applyNumberFormat="1" applyFont="1" applyFill="1" applyBorder="1" applyAlignment="1">
      <alignment horizontal="center" vertical="center"/>
    </xf>
    <xf numFmtId="174" fontId="86" fillId="3" borderId="2" xfId="7" applyNumberFormat="1" applyFont="1" applyFill="1" applyBorder="1" applyAlignment="1">
      <alignment horizontal="right" vertical="center" wrapText="1" readingOrder="1"/>
    </xf>
    <xf numFmtId="168" fontId="53" fillId="3" borderId="2" xfId="4" applyNumberFormat="1" applyFont="1" applyFill="1" applyBorder="1" applyAlignment="1">
      <alignment horizontal="center" vertical="center"/>
    </xf>
    <xf numFmtId="0" fontId="49" fillId="0" borderId="0" xfId="7" applyFont="1" applyFill="1" applyBorder="1"/>
    <xf numFmtId="39" fontId="88"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wrapText="1" readingOrder="1"/>
    </xf>
    <xf numFmtId="39" fontId="85" fillId="0"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top" wrapText="1" readingOrder="1"/>
    </xf>
    <xf numFmtId="39" fontId="85" fillId="5"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wrapText="1" readingOrder="1"/>
    </xf>
    <xf numFmtId="0" fontId="89" fillId="3" borderId="2" xfId="7" applyNumberFormat="1" applyFont="1" applyFill="1" applyBorder="1" applyAlignment="1">
      <alignment horizontal="right" vertical="center" wrapText="1" readingOrder="1"/>
    </xf>
    <xf numFmtId="39" fontId="85" fillId="7" borderId="2" xfId="7" applyNumberFormat="1" applyFont="1" applyFill="1" applyBorder="1" applyAlignment="1">
      <alignment horizontal="right" vertical="center"/>
    </xf>
    <xf numFmtId="10" fontId="50" fillId="3" borderId="0" xfId="9" applyNumberFormat="1" applyFont="1" applyFill="1" applyBorder="1" applyAlignment="1">
      <alignment horizontal="center" vertical="center"/>
    </xf>
    <xf numFmtId="0" fontId="82" fillId="3" borderId="21" xfId="7" applyNumberFormat="1" applyFont="1" applyFill="1" applyBorder="1" applyAlignment="1">
      <alignment horizontal="center" vertical="center" wrapText="1" readingOrder="1"/>
    </xf>
    <xf numFmtId="39" fontId="91" fillId="12" borderId="2" xfId="7" applyNumberFormat="1" applyFont="1" applyFill="1" applyBorder="1" applyAlignment="1">
      <alignment horizontal="right" vertical="center" wrapText="1" readingOrder="1"/>
    </xf>
    <xf numFmtId="39" fontId="76" fillId="12" borderId="2" xfId="7" applyNumberFormat="1" applyFont="1" applyFill="1" applyBorder="1" applyAlignment="1">
      <alignment horizontal="right" vertical="center" wrapText="1" readingOrder="1"/>
    </xf>
    <xf numFmtId="39" fontId="76" fillId="14" borderId="2" xfId="7" applyNumberFormat="1" applyFont="1" applyFill="1" applyBorder="1" applyAlignment="1">
      <alignment horizontal="right" vertical="center" wrapText="1" readingOrder="1"/>
    </xf>
    <xf numFmtId="39" fontId="92" fillId="14"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wrapText="1" readingOrder="1"/>
    </xf>
    <xf numFmtId="0" fontId="92" fillId="12"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xf>
    <xf numFmtId="39" fontId="93" fillId="12" borderId="5" xfId="7" applyNumberFormat="1" applyFont="1" applyFill="1" applyBorder="1" applyAlignment="1">
      <alignment horizontal="right" vertical="center"/>
    </xf>
    <xf numFmtId="39" fontId="93" fillId="12" borderId="2" xfId="7" applyNumberFormat="1" applyFont="1" applyFill="1" applyBorder="1" applyAlignment="1">
      <alignment horizontal="center" vertical="center" wrapText="1"/>
    </xf>
    <xf numFmtId="39" fontId="76" fillId="12" borderId="0" xfId="7" applyNumberFormat="1" applyFont="1" applyFill="1" applyBorder="1" applyAlignment="1">
      <alignment horizontal="right" vertical="center"/>
    </xf>
    <xf numFmtId="10" fontId="76" fillId="15" borderId="2" xfId="7" applyNumberFormat="1" applyFont="1" applyFill="1" applyBorder="1" applyAlignment="1">
      <alignment horizontal="center" vertical="center"/>
    </xf>
    <xf numFmtId="10" fontId="77" fillId="3" borderId="0" xfId="7" applyNumberFormat="1" applyFont="1" applyFill="1" applyBorder="1" applyAlignment="1">
      <alignment horizontal="center" vertical="center"/>
    </xf>
    <xf numFmtId="0" fontId="6" fillId="15" borderId="2" xfId="7" applyFont="1" applyFill="1" applyBorder="1"/>
    <xf numFmtId="0" fontId="80" fillId="15" borderId="2" xfId="7" applyFont="1" applyFill="1" applyBorder="1" applyAlignment="1">
      <alignment horizontal="center" vertical="center" wrapText="1"/>
    </xf>
    <xf numFmtId="168" fontId="53" fillId="15" borderId="2" xfId="4" applyNumberFormat="1" applyFont="1" applyFill="1" applyBorder="1" applyAlignment="1">
      <alignment horizontal="center" vertical="center"/>
    </xf>
    <xf numFmtId="0" fontId="94" fillId="0" borderId="2" xfId="7" applyNumberFormat="1" applyFont="1" applyFill="1" applyBorder="1" applyAlignment="1">
      <alignment horizontal="left" vertical="center" wrapText="1" readingOrder="1"/>
    </xf>
    <xf numFmtId="39" fontId="82" fillId="16" borderId="2" xfId="7" applyNumberFormat="1" applyFont="1" applyFill="1" applyBorder="1" applyAlignment="1">
      <alignment horizontal="right" vertical="center" wrapText="1" readingOrder="1"/>
    </xf>
    <xf numFmtId="39" fontId="95"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xf>
    <xf numFmtId="39" fontId="85" fillId="3" borderId="2" xfId="7" applyNumberFormat="1" applyFont="1" applyFill="1" applyBorder="1" applyAlignment="1">
      <alignment horizontal="center" vertical="center"/>
    </xf>
    <xf numFmtId="39" fontId="96" fillId="3" borderId="6" xfId="7" applyNumberFormat="1" applyFont="1" applyFill="1" applyBorder="1" applyAlignment="1">
      <alignment horizontal="right" vertical="center"/>
    </xf>
    <xf numFmtId="39" fontId="96" fillId="17" borderId="2" xfId="7" applyNumberFormat="1" applyFont="1" applyFill="1" applyBorder="1" applyAlignment="1">
      <alignment horizontal="center" vertical="center" wrapText="1"/>
    </xf>
    <xf numFmtId="39" fontId="85" fillId="3" borderId="0" xfId="7" applyNumberFormat="1" applyFont="1" applyFill="1" applyBorder="1" applyAlignment="1">
      <alignment horizontal="right" vertical="center"/>
    </xf>
    <xf numFmtId="0" fontId="85" fillId="0" borderId="2" xfId="7" applyFont="1" applyFill="1" applyBorder="1" applyAlignment="1">
      <alignment horizontal="center" vertical="center"/>
    </xf>
    <xf numFmtId="0" fontId="50" fillId="3" borderId="0" xfId="7" applyFont="1" applyFill="1" applyBorder="1" applyAlignment="1">
      <alignment horizontal="center" vertical="center"/>
    </xf>
    <xf numFmtId="0" fontId="6" fillId="0" borderId="2" xfId="7" applyFont="1" applyFill="1" applyBorder="1"/>
    <xf numFmtId="0" fontId="49" fillId="3" borderId="2" xfId="7" applyFont="1" applyFill="1" applyBorder="1" applyAlignment="1">
      <alignment horizontal="center" vertical="center" wrapText="1"/>
    </xf>
    <xf numFmtId="0" fontId="66" fillId="14" borderId="22" xfId="7" applyNumberFormat="1" applyFont="1" applyFill="1" applyBorder="1" applyAlignment="1">
      <alignment horizontal="center" vertical="center" wrapText="1" readingOrder="1"/>
    </xf>
    <xf numFmtId="39" fontId="82" fillId="14" borderId="23" xfId="7" applyNumberFormat="1" applyFont="1" applyFill="1" applyBorder="1" applyAlignment="1">
      <alignment horizontal="right" vertical="center" wrapText="1" readingOrder="1"/>
    </xf>
    <xf numFmtId="39" fontId="82" fillId="14" borderId="24" xfId="7" applyNumberFormat="1" applyFont="1" applyFill="1" applyBorder="1" applyAlignment="1">
      <alignment horizontal="right" vertical="center" wrapText="1" readingOrder="1"/>
    </xf>
    <xf numFmtId="39" fontId="82" fillId="14" borderId="25" xfId="7" applyNumberFormat="1" applyFont="1" applyFill="1" applyBorder="1" applyAlignment="1">
      <alignment horizontal="right" vertical="center" wrapText="1" readingOrder="1"/>
    </xf>
    <xf numFmtId="39" fontId="96" fillId="14" borderId="23"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right" vertical="center" wrapText="1" readingOrder="1"/>
    </xf>
    <xf numFmtId="39" fontId="97" fillId="14" borderId="26" xfId="7" applyNumberFormat="1" applyFont="1" applyFill="1" applyBorder="1" applyAlignment="1">
      <alignment horizontal="right" vertical="center" wrapText="1" readingOrder="1"/>
    </xf>
    <xf numFmtId="39" fontId="96" fillId="12" borderId="27"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center" vertical="center" wrapText="1"/>
    </xf>
    <xf numFmtId="39" fontId="96" fillId="14" borderId="28" xfId="7" applyNumberFormat="1" applyFont="1" applyFill="1" applyBorder="1" applyAlignment="1">
      <alignment horizontal="right" vertical="center" wrapText="1" readingOrder="1"/>
    </xf>
    <xf numFmtId="39" fontId="96" fillId="14" borderId="29" xfId="7" applyNumberFormat="1" applyFont="1" applyFill="1" applyBorder="1" applyAlignment="1">
      <alignment horizontal="right" vertical="center" wrapText="1" readingOrder="1"/>
    </xf>
    <xf numFmtId="39" fontId="98" fillId="3" borderId="0" xfId="7" applyNumberFormat="1" applyFont="1" applyFill="1" applyBorder="1" applyAlignment="1">
      <alignment horizontal="center" vertical="center" wrapText="1"/>
    </xf>
    <xf numFmtId="0" fontId="8" fillId="15" borderId="2" xfId="7" applyFont="1" applyFill="1" applyBorder="1" applyAlignment="1">
      <alignment horizontal="center" vertical="center" wrapText="1"/>
    </xf>
    <xf numFmtId="39" fontId="82" fillId="14" borderId="30" xfId="7" applyNumberFormat="1" applyFont="1" applyFill="1" applyBorder="1" applyAlignment="1">
      <alignment horizontal="right" vertical="center" wrapText="1" readingOrder="1"/>
    </xf>
    <xf numFmtId="39" fontId="82" fillId="14" borderId="31" xfId="7" applyNumberFormat="1" applyFont="1" applyFill="1" applyBorder="1" applyAlignment="1">
      <alignment horizontal="right" vertical="center" wrapText="1" readingOrder="1"/>
    </xf>
    <xf numFmtId="39" fontId="82" fillId="14" borderId="32" xfId="7" applyNumberFormat="1" applyFont="1" applyFill="1" applyBorder="1" applyAlignment="1">
      <alignment horizontal="right" vertical="center" wrapText="1" readingOrder="1"/>
    </xf>
    <xf numFmtId="39" fontId="96" fillId="14" borderId="30"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right" vertical="center" wrapText="1" readingOrder="1"/>
    </xf>
    <xf numFmtId="39" fontId="97" fillId="14" borderId="33"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center" vertical="center" wrapText="1"/>
    </xf>
    <xf numFmtId="39" fontId="96" fillId="14" borderId="34" xfId="7" applyNumberFormat="1" applyFont="1" applyFill="1" applyBorder="1" applyAlignment="1">
      <alignment horizontal="right" vertical="center" wrapText="1" readingOrder="1"/>
    </xf>
    <xf numFmtId="0" fontId="75" fillId="12" borderId="21" xfId="8" applyNumberFormat="1" applyFont="1" applyFill="1" applyBorder="1" applyAlignment="1">
      <alignment horizontal="center" vertical="center" wrapText="1" readingOrder="1"/>
    </xf>
    <xf numFmtId="49" fontId="75" fillId="12" borderId="22" xfId="7" applyNumberFormat="1" applyFont="1" applyFill="1" applyBorder="1" applyAlignment="1">
      <alignment horizontal="center" vertical="center" wrapText="1" readingOrder="1"/>
    </xf>
    <xf numFmtId="0" fontId="93" fillId="12" borderId="22" xfId="7" applyNumberFormat="1" applyFont="1" applyFill="1" applyBorder="1" applyAlignment="1">
      <alignment horizontal="left" vertical="center" wrapText="1" readingOrder="1"/>
    </xf>
    <xf numFmtId="0" fontId="75" fillId="12" borderId="22" xfId="7" applyNumberFormat="1" applyFont="1" applyFill="1" applyBorder="1" applyAlignment="1">
      <alignment horizontal="left" vertical="center" wrapText="1" readingOrder="1"/>
    </xf>
    <xf numFmtId="39" fontId="75" fillId="12" borderId="2" xfId="7" applyNumberFormat="1" applyFont="1" applyFill="1" applyBorder="1" applyAlignment="1">
      <alignment horizontal="right" vertical="center"/>
    </xf>
    <xf numFmtId="10" fontId="75" fillId="12" borderId="2" xfId="9" applyNumberFormat="1" applyFont="1" applyFill="1" applyBorder="1" applyAlignment="1">
      <alignment horizontal="center" vertical="center"/>
    </xf>
    <xf numFmtId="39" fontId="75" fillId="12" borderId="2" xfId="7" applyNumberFormat="1" applyFont="1" applyFill="1" applyBorder="1" applyAlignment="1">
      <alignment horizontal="center" vertical="center" wrapText="1"/>
    </xf>
    <xf numFmtId="39" fontId="75" fillId="12" borderId="4" xfId="7" applyNumberFormat="1" applyFont="1" applyFill="1" applyBorder="1" applyAlignment="1">
      <alignment horizontal="right" vertical="center"/>
    </xf>
    <xf numFmtId="10" fontId="75" fillId="12" borderId="2" xfId="7" applyNumberFormat="1" applyFont="1" applyFill="1" applyBorder="1" applyAlignment="1">
      <alignment horizontal="center" vertical="center"/>
    </xf>
    <xf numFmtId="10" fontId="99" fillId="12" borderId="0" xfId="7" applyNumberFormat="1" applyFont="1" applyFill="1" applyBorder="1" applyAlignment="1">
      <alignment horizontal="center" vertical="center"/>
    </xf>
    <xf numFmtId="0" fontId="99" fillId="12" borderId="2" xfId="7" applyFont="1" applyFill="1" applyBorder="1"/>
    <xf numFmtId="10" fontId="99" fillId="12" borderId="2" xfId="7" applyNumberFormat="1" applyFont="1" applyFill="1" applyBorder="1" applyAlignment="1">
      <alignment horizontal="center" vertical="center" wrapText="1"/>
    </xf>
    <xf numFmtId="168" fontId="99" fillId="12" borderId="2" xfId="4" applyNumberFormat="1" applyFont="1" applyFill="1" applyBorder="1" applyAlignment="1">
      <alignment horizontal="center" vertical="center"/>
    </xf>
    <xf numFmtId="168" fontId="99" fillId="12" borderId="18" xfId="4" applyNumberFormat="1" applyFont="1" applyFill="1" applyBorder="1" applyAlignment="1">
      <alignment horizontal="center" vertical="center"/>
    </xf>
    <xf numFmtId="0" fontId="99" fillId="12" borderId="0" xfId="7" applyFont="1" applyFill="1" applyBorder="1"/>
    <xf numFmtId="0" fontId="99" fillId="12" borderId="0" xfId="7" applyFont="1" applyFill="1" applyBorder="1" applyAlignment="1">
      <alignment horizontal="center" vertical="center"/>
    </xf>
    <xf numFmtId="0" fontId="83" fillId="3" borderId="2" xfId="7" applyNumberFormat="1" applyFont="1" applyFill="1" applyBorder="1" applyAlignment="1">
      <alignment horizontal="center" vertical="center" wrapText="1" readingOrder="1"/>
    </xf>
    <xf numFmtId="0" fontId="83" fillId="3" borderId="2" xfId="7" applyNumberFormat="1" applyFont="1" applyFill="1" applyBorder="1" applyAlignment="1">
      <alignment vertical="center" wrapText="1" readingOrder="1"/>
    </xf>
    <xf numFmtId="0" fontId="58" fillId="18" borderId="2" xfId="7" applyNumberFormat="1" applyFont="1" applyFill="1" applyBorder="1" applyAlignment="1">
      <alignment horizontal="left" vertical="center" wrapText="1" readingOrder="1"/>
    </xf>
    <xf numFmtId="39" fontId="45" fillId="3" borderId="2" xfId="7" applyNumberFormat="1" applyFont="1" applyFill="1" applyBorder="1" applyAlignment="1">
      <alignment horizontal="right" vertical="center" wrapText="1" readingOrder="1"/>
    </xf>
    <xf numFmtId="168" fontId="50" fillId="3" borderId="2" xfId="4" applyNumberFormat="1" applyFont="1" applyFill="1" applyBorder="1" applyAlignment="1">
      <alignment horizontal="center" vertical="center"/>
    </xf>
    <xf numFmtId="0" fontId="82" fillId="9" borderId="21" xfId="7" applyNumberFormat="1" applyFont="1" applyFill="1" applyBorder="1" applyAlignment="1">
      <alignment horizontal="center" vertical="center" wrapText="1" readingOrder="1"/>
    </xf>
    <xf numFmtId="0" fontId="83" fillId="9" borderId="2" xfId="7" applyNumberFormat="1" applyFont="1" applyFill="1" applyBorder="1" applyAlignment="1">
      <alignment horizontal="center" vertical="center" wrapText="1" readingOrder="1"/>
    </xf>
    <xf numFmtId="0" fontId="83" fillId="9" borderId="2" xfId="7" applyNumberFormat="1" applyFont="1" applyFill="1" applyBorder="1" applyAlignment="1">
      <alignment vertical="center" wrapText="1" readingOrder="1"/>
    </xf>
    <xf numFmtId="0" fontId="100" fillId="9" borderId="2" xfId="7" applyNumberFormat="1" applyFont="1" applyFill="1" applyBorder="1" applyAlignment="1">
      <alignment horizontal="left" vertical="center" wrapText="1" readingOrder="1"/>
    </xf>
    <xf numFmtId="39" fontId="44" fillId="9" borderId="2" xfId="7" applyNumberFormat="1" applyFont="1" applyFill="1" applyBorder="1" applyAlignment="1">
      <alignment horizontal="right" vertical="center" wrapText="1" readingOrder="1"/>
    </xf>
    <xf numFmtId="10" fontId="44" fillId="9" borderId="2" xfId="9" applyNumberFormat="1" applyFont="1" applyFill="1" applyBorder="1" applyAlignment="1">
      <alignment horizontal="center" vertical="center"/>
    </xf>
    <xf numFmtId="39" fontId="44" fillId="9" borderId="2" xfId="7" applyNumberFormat="1" applyFont="1" applyFill="1" applyBorder="1" applyAlignment="1">
      <alignment horizontal="right" vertical="center"/>
    </xf>
    <xf numFmtId="39" fontId="44" fillId="9" borderId="2" xfId="7" applyNumberFormat="1" applyFont="1" applyFill="1" applyBorder="1" applyAlignment="1">
      <alignment horizontal="center" vertical="center" wrapText="1"/>
    </xf>
    <xf numFmtId="39" fontId="44" fillId="9" borderId="4" xfId="7" applyNumberFormat="1" applyFont="1" applyFill="1" applyBorder="1" applyAlignment="1">
      <alignment horizontal="right" vertical="center"/>
    </xf>
    <xf numFmtId="10" fontId="44" fillId="9" borderId="2" xfId="7" applyNumberFormat="1" applyFont="1" applyFill="1" applyBorder="1" applyAlignment="1">
      <alignment horizontal="center" vertical="center"/>
    </xf>
    <xf numFmtId="10" fontId="50" fillId="9" borderId="0" xfId="7" applyNumberFormat="1" applyFont="1" applyFill="1" applyBorder="1" applyAlignment="1">
      <alignment horizontal="center" vertical="center"/>
    </xf>
    <xf numFmtId="0" fontId="50" fillId="9" borderId="2" xfId="7" applyFont="1" applyFill="1" applyBorder="1"/>
    <xf numFmtId="10" fontId="50" fillId="9" borderId="2" xfId="7" applyNumberFormat="1" applyFont="1" applyFill="1" applyBorder="1" applyAlignment="1">
      <alignment horizontal="center" vertical="center" wrapText="1"/>
    </xf>
    <xf numFmtId="168" fontId="50" fillId="9" borderId="2" xfId="4" applyNumberFormat="1" applyFont="1" applyFill="1" applyBorder="1" applyAlignment="1">
      <alignment horizontal="center" vertical="center"/>
    </xf>
    <xf numFmtId="168" fontId="87" fillId="9" borderId="18" xfId="4" applyNumberFormat="1" applyFont="1" applyFill="1" applyBorder="1" applyAlignment="1">
      <alignment horizontal="center" vertical="center"/>
    </xf>
    <xf numFmtId="0" fontId="50" fillId="9" borderId="0" xfId="7" applyFont="1" applyFill="1" applyBorder="1"/>
    <xf numFmtId="0" fontId="49" fillId="9" borderId="0" xfId="7" applyFont="1" applyFill="1" applyBorder="1"/>
    <xf numFmtId="0" fontId="51" fillId="9" borderId="0" xfId="7" applyFont="1" applyFill="1" applyBorder="1" applyAlignment="1">
      <alignment horizontal="center" vertical="center"/>
    </xf>
    <xf numFmtId="0" fontId="82" fillId="10" borderId="21" xfId="7" applyNumberFormat="1" applyFont="1" applyFill="1" applyBorder="1" applyAlignment="1">
      <alignment horizontal="center" vertical="center" wrapText="1" readingOrder="1"/>
    </xf>
    <xf numFmtId="0" fontId="83" fillId="10" borderId="2" xfId="7" applyNumberFormat="1" applyFont="1" applyFill="1" applyBorder="1" applyAlignment="1">
      <alignment horizontal="center" vertical="center" wrapText="1" readingOrder="1"/>
    </xf>
    <xf numFmtId="0" fontId="83" fillId="10" borderId="2" xfId="7" applyNumberFormat="1" applyFont="1" applyFill="1" applyBorder="1" applyAlignment="1">
      <alignment vertical="center" wrapText="1" readingOrder="1"/>
    </xf>
    <xf numFmtId="0" fontId="100" fillId="10" borderId="2" xfId="7" applyNumberFormat="1" applyFont="1" applyFill="1" applyBorder="1" applyAlignment="1">
      <alignment horizontal="left" vertical="center" wrapText="1" readingOrder="1"/>
    </xf>
    <xf numFmtId="39" fontId="82" fillId="10" borderId="2" xfId="7" applyNumberFormat="1" applyFont="1" applyFill="1" applyBorder="1" applyAlignment="1">
      <alignment horizontal="right" vertical="center" wrapText="1" readingOrder="1"/>
    </xf>
    <xf numFmtId="39" fontId="88" fillId="10" borderId="2" xfId="7" applyNumberFormat="1" applyFont="1" applyFill="1" applyBorder="1" applyAlignment="1">
      <alignment horizontal="right" vertical="center" wrapText="1" readingOrder="1"/>
    </xf>
    <xf numFmtId="39" fontId="44" fillId="10" borderId="2" xfId="7" applyNumberFormat="1" applyFont="1" applyFill="1" applyBorder="1" applyAlignment="1">
      <alignment horizontal="right" vertical="center" wrapText="1" readingOrder="1"/>
    </xf>
    <xf numFmtId="10" fontId="44" fillId="10" borderId="2" xfId="9" applyNumberFormat="1" applyFont="1" applyFill="1" applyBorder="1" applyAlignment="1">
      <alignment horizontal="center" vertical="center"/>
    </xf>
    <xf numFmtId="39" fontId="44" fillId="10" borderId="2" xfId="7" applyNumberFormat="1" applyFont="1" applyFill="1" applyBorder="1" applyAlignment="1">
      <alignment horizontal="right" vertical="center"/>
    </xf>
    <xf numFmtId="39" fontId="44" fillId="10" borderId="2" xfId="7" applyNumberFormat="1" applyFont="1" applyFill="1" applyBorder="1" applyAlignment="1">
      <alignment horizontal="center" vertical="center" wrapText="1"/>
    </xf>
    <xf numFmtId="39" fontId="44" fillId="10" borderId="4" xfId="7" applyNumberFormat="1" applyFont="1" applyFill="1" applyBorder="1" applyAlignment="1">
      <alignment horizontal="right" vertical="center"/>
    </xf>
    <xf numFmtId="10" fontId="44" fillId="10" borderId="2" xfId="7" applyNumberFormat="1" applyFont="1" applyFill="1" applyBorder="1" applyAlignment="1">
      <alignment horizontal="center" vertical="center"/>
    </xf>
    <xf numFmtId="10" fontId="50" fillId="10" borderId="0" xfId="7" applyNumberFormat="1" applyFont="1" applyFill="1" applyBorder="1" applyAlignment="1">
      <alignment horizontal="center" vertical="center"/>
    </xf>
    <xf numFmtId="0" fontId="50" fillId="10" borderId="2" xfId="7" applyFont="1" applyFill="1" applyBorder="1"/>
    <xf numFmtId="10" fontId="50" fillId="10" borderId="2" xfId="7" applyNumberFormat="1" applyFont="1" applyFill="1" applyBorder="1" applyAlignment="1">
      <alignment horizontal="center" vertical="center" wrapText="1"/>
    </xf>
    <xf numFmtId="168" fontId="50" fillId="10" borderId="2" xfId="4" applyNumberFormat="1" applyFont="1" applyFill="1" applyBorder="1" applyAlignment="1">
      <alignment horizontal="center" vertical="center"/>
    </xf>
    <xf numFmtId="168" fontId="87" fillId="10" borderId="18" xfId="4" applyNumberFormat="1" applyFont="1" applyFill="1" applyBorder="1" applyAlignment="1">
      <alignment horizontal="center" vertical="center"/>
    </xf>
    <xf numFmtId="0" fontId="50" fillId="10" borderId="0" xfId="7" applyFont="1" applyFill="1" applyBorder="1"/>
    <xf numFmtId="0" fontId="49" fillId="10" borderId="0" xfId="7" applyFont="1" applyFill="1" applyBorder="1"/>
    <xf numFmtId="0" fontId="51" fillId="10" borderId="0" xfId="7" applyFont="1" applyFill="1" applyBorder="1" applyAlignment="1">
      <alignment horizontal="center" vertical="center"/>
    </xf>
    <xf numFmtId="0" fontId="100" fillId="3" borderId="2" xfId="7" applyNumberFormat="1" applyFont="1" applyFill="1" applyBorder="1" applyAlignment="1">
      <alignment horizontal="left" vertical="center" wrapText="1" readingOrder="1"/>
    </xf>
    <xf numFmtId="39" fontId="102" fillId="3" borderId="2" xfId="7" applyNumberFormat="1" applyFont="1" applyFill="1" applyBorder="1" applyAlignment="1">
      <alignment horizontal="right" vertical="center" wrapText="1" readingOrder="1"/>
    </xf>
    <xf numFmtId="39" fontId="44" fillId="3" borderId="2" xfId="7" applyNumberFormat="1" applyFont="1" applyFill="1" applyBorder="1" applyAlignment="1">
      <alignment horizontal="center" vertical="center" wrapText="1"/>
    </xf>
    <xf numFmtId="10" fontId="44" fillId="3" borderId="2" xfId="7" applyNumberFormat="1" applyFont="1" applyFill="1" applyBorder="1" applyAlignment="1">
      <alignment horizontal="center" vertical="center"/>
    </xf>
    <xf numFmtId="167" fontId="50" fillId="3" borderId="2" xfId="4" applyFont="1" applyFill="1" applyBorder="1" applyAlignment="1">
      <alignment horizontal="center" vertical="center" wrapText="1"/>
    </xf>
    <xf numFmtId="0" fontId="50" fillId="3" borderId="2" xfId="7" applyFont="1" applyFill="1" applyBorder="1" applyAlignment="1">
      <alignment wrapText="1"/>
    </xf>
    <xf numFmtId="0" fontId="73" fillId="14" borderId="21" xfId="7" applyNumberFormat="1" applyFont="1" applyFill="1" applyBorder="1" applyAlignment="1">
      <alignment horizontal="center" vertical="center" wrapText="1" readingOrder="1"/>
    </xf>
    <xf numFmtId="0" fontId="90" fillId="14" borderId="2" xfId="7" applyNumberFormat="1" applyFont="1" applyFill="1" applyBorder="1" applyAlignment="1">
      <alignment horizontal="center" vertical="center" wrapText="1" readingOrder="1"/>
    </xf>
    <xf numFmtId="0" fontId="90" fillId="14" borderId="2" xfId="7" applyNumberFormat="1" applyFont="1" applyFill="1" applyBorder="1" applyAlignment="1">
      <alignment vertical="center" wrapText="1" readingOrder="1"/>
    </xf>
    <xf numFmtId="0" fontId="67" fillId="14" borderId="22" xfId="7" applyNumberFormat="1" applyFont="1" applyFill="1" applyBorder="1" applyAlignment="1">
      <alignment horizontal="left" vertical="center" wrapText="1" readingOrder="1"/>
    </xf>
    <xf numFmtId="39" fontId="73" fillId="14" borderId="2" xfId="7" applyNumberFormat="1" applyFont="1" applyFill="1" applyBorder="1" applyAlignment="1">
      <alignment horizontal="right" vertical="center" wrapText="1" readingOrder="1"/>
    </xf>
    <xf numFmtId="39" fontId="104" fillId="14" borderId="2" xfId="7" applyNumberFormat="1" applyFont="1" applyFill="1" applyBorder="1" applyAlignment="1">
      <alignment horizontal="right" vertical="center" wrapText="1" readingOrder="1"/>
    </xf>
    <xf numFmtId="39" fontId="105" fillId="14" borderId="2" xfId="7" applyNumberFormat="1" applyFont="1" applyFill="1" applyBorder="1" applyAlignment="1">
      <alignment horizontal="right" vertical="center" wrapText="1" readingOrder="1"/>
    </xf>
    <xf numFmtId="39" fontId="76" fillId="21"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xf>
    <xf numFmtId="10" fontId="106" fillId="14" borderId="2" xfId="9" applyNumberFormat="1" applyFont="1" applyFill="1" applyBorder="1" applyAlignment="1">
      <alignment horizontal="center" vertical="center"/>
    </xf>
    <xf numFmtId="39" fontId="106" fillId="14" borderId="4" xfId="7" applyNumberFormat="1" applyFont="1" applyFill="1" applyBorder="1" applyAlignment="1">
      <alignment horizontal="right" vertical="center"/>
    </xf>
    <xf numFmtId="10" fontId="106" fillId="14" borderId="2" xfId="7" applyNumberFormat="1" applyFont="1" applyFill="1" applyBorder="1" applyAlignment="1">
      <alignment horizontal="center" vertical="center"/>
    </xf>
    <xf numFmtId="10" fontId="77" fillId="14" borderId="0" xfId="7" applyNumberFormat="1" applyFont="1" applyFill="1" applyBorder="1" applyAlignment="1">
      <alignment horizontal="center" vertical="center"/>
    </xf>
    <xf numFmtId="0" fontId="77" fillId="14" borderId="2" xfId="7" applyFont="1" applyFill="1" applyBorder="1"/>
    <xf numFmtId="0" fontId="77" fillId="14" borderId="2" xfId="7" applyFont="1" applyFill="1" applyBorder="1" applyAlignment="1">
      <alignment horizontal="center" vertical="center" wrapText="1"/>
    </xf>
    <xf numFmtId="168" fontId="77" fillId="14" borderId="2" xfId="4" applyNumberFormat="1" applyFont="1" applyFill="1" applyBorder="1" applyAlignment="1">
      <alignment horizontal="center" vertical="center"/>
    </xf>
    <xf numFmtId="0" fontId="77" fillId="14" borderId="0" xfId="7" applyFont="1" applyFill="1" applyBorder="1"/>
    <xf numFmtId="0" fontId="80" fillId="14" borderId="0" xfId="7" applyFont="1" applyFill="1" applyBorder="1"/>
    <xf numFmtId="0" fontId="81" fillId="14" borderId="0" xfId="7" applyFont="1" applyFill="1" applyBorder="1" applyAlignment="1">
      <alignment horizontal="center" vertical="center"/>
    </xf>
    <xf numFmtId="0" fontId="50" fillId="13" borderId="0" xfId="7" applyFont="1" applyFill="1" applyBorder="1"/>
    <xf numFmtId="0" fontId="49" fillId="13" borderId="0" xfId="7" applyFont="1" applyFill="1" applyBorder="1"/>
    <xf numFmtId="0" fontId="51" fillId="13" borderId="0" xfId="7" applyFont="1" applyFill="1" applyBorder="1" applyAlignment="1">
      <alignment horizontal="center" vertical="center"/>
    </xf>
    <xf numFmtId="0" fontId="50" fillId="9" borderId="2" xfId="7" applyFont="1" applyFill="1" applyBorder="1" applyAlignment="1">
      <alignment wrapText="1"/>
    </xf>
    <xf numFmtId="49" fontId="83" fillId="10" borderId="2" xfId="7" applyNumberFormat="1" applyFont="1" applyFill="1" applyBorder="1" applyAlignment="1">
      <alignment horizontal="center" vertical="center" wrapText="1" readingOrder="1"/>
    </xf>
    <xf numFmtId="39" fontId="101" fillId="10" borderId="2" xfId="7" applyNumberFormat="1" applyFont="1" applyFill="1" applyBorder="1" applyAlignment="1">
      <alignment horizontal="right" vertical="center" wrapText="1" readingOrder="1"/>
    </xf>
    <xf numFmtId="39" fontId="107" fillId="10" borderId="2" xfId="7" applyNumberFormat="1" applyFont="1" applyFill="1" applyBorder="1" applyAlignment="1">
      <alignment horizontal="right" vertical="center" wrapText="1" readingOrder="1"/>
    </xf>
    <xf numFmtId="0" fontId="50" fillId="10" borderId="2" xfId="7" applyFont="1" applyFill="1" applyBorder="1" applyAlignment="1">
      <alignment wrapText="1"/>
    </xf>
    <xf numFmtId="39" fontId="107" fillId="3" borderId="2" xfId="7" applyNumberFormat="1" applyFont="1" applyFill="1" applyBorder="1" applyAlignment="1">
      <alignment horizontal="right" vertical="center" wrapText="1" readingOrder="1"/>
    </xf>
    <xf numFmtId="39" fontId="108" fillId="3" borderId="2" xfId="7" applyNumberFormat="1" applyFont="1" applyFill="1" applyBorder="1" applyAlignment="1">
      <alignment horizontal="right" vertical="center"/>
    </xf>
    <xf numFmtId="0" fontId="50" fillId="4" borderId="2" xfId="7" applyFont="1" applyFill="1" applyBorder="1" applyAlignment="1">
      <alignment wrapText="1"/>
    </xf>
    <xf numFmtId="0" fontId="64" fillId="17" borderId="0" xfId="7" applyFont="1" applyFill="1" applyBorder="1"/>
    <xf numFmtId="0" fontId="64" fillId="10" borderId="0" xfId="7" applyFont="1" applyFill="1" applyBorder="1"/>
    <xf numFmtId="39" fontId="82" fillId="3" borderId="2" xfId="7" applyNumberFormat="1" applyFont="1" applyFill="1" applyBorder="1" applyAlignment="1">
      <alignment horizontal="center" vertical="center" wrapText="1" readingOrder="1"/>
    </xf>
    <xf numFmtId="39" fontId="101" fillId="3" borderId="2" xfId="7" applyNumberFormat="1" applyFont="1" applyFill="1" applyBorder="1" applyAlignment="1">
      <alignment horizontal="center" vertical="center" wrapText="1" readingOrder="1"/>
    </xf>
    <xf numFmtId="39" fontId="44" fillId="3" borderId="2" xfId="7" applyNumberFormat="1" applyFont="1" applyFill="1" applyBorder="1" applyAlignment="1">
      <alignment vertical="center" wrapText="1" readingOrder="1"/>
    </xf>
    <xf numFmtId="175" fontId="50" fillId="10" borderId="0" xfId="7" applyNumberFormat="1" applyFont="1" applyFill="1" applyBorder="1"/>
    <xf numFmtId="0" fontId="109" fillId="14" borderId="2" xfId="7" applyNumberFormat="1" applyFont="1" applyFill="1" applyBorder="1" applyAlignment="1">
      <alignment horizontal="left" vertical="center" wrapText="1" readingOrder="1"/>
    </xf>
    <xf numFmtId="39" fontId="44" fillId="14" borderId="2" xfId="7" applyNumberFormat="1" applyFont="1" applyFill="1" applyBorder="1" applyAlignment="1">
      <alignment horizontal="right" vertical="center"/>
    </xf>
    <xf numFmtId="39" fontId="106" fillId="12" borderId="2" xfId="7" applyNumberFormat="1" applyFont="1" applyFill="1" applyBorder="1" applyAlignment="1">
      <alignment horizontal="right" vertical="center"/>
    </xf>
    <xf numFmtId="39" fontId="106" fillId="3" borderId="4" xfId="7" applyNumberFormat="1" applyFont="1" applyFill="1" applyBorder="1" applyAlignment="1">
      <alignment horizontal="right" vertical="center"/>
    </xf>
    <xf numFmtId="10" fontId="106" fillId="15" borderId="2" xfId="7" applyNumberFormat="1" applyFont="1" applyFill="1" applyBorder="1" applyAlignment="1">
      <alignment horizontal="center" vertical="center"/>
    </xf>
    <xf numFmtId="10" fontId="64" fillId="3" borderId="0" xfId="7" applyNumberFormat="1" applyFont="1" applyFill="1" applyBorder="1" applyAlignment="1">
      <alignment horizontal="center" vertical="center"/>
    </xf>
    <xf numFmtId="39" fontId="110" fillId="3" borderId="2" xfId="7" applyNumberFormat="1" applyFont="1" applyFill="1" applyBorder="1" applyAlignment="1">
      <alignment horizontal="right" vertical="center" wrapText="1" readingOrder="1"/>
    </xf>
    <xf numFmtId="39" fontId="97" fillId="3" borderId="2" xfId="7" applyNumberFormat="1" applyFont="1" applyFill="1" applyBorder="1" applyAlignment="1">
      <alignment horizontal="right" vertical="center" wrapText="1" readingOrder="1"/>
    </xf>
    <xf numFmtId="10" fontId="50" fillId="3" borderId="2" xfId="9" applyNumberFormat="1" applyFont="1" applyFill="1" applyBorder="1" applyAlignment="1">
      <alignment horizontal="center" vertical="center"/>
    </xf>
    <xf numFmtId="39" fontId="50" fillId="13" borderId="2" xfId="7" applyNumberFormat="1" applyFont="1" applyFill="1" applyBorder="1" applyAlignment="1">
      <alignment horizontal="right" vertical="center"/>
    </xf>
    <xf numFmtId="39" fontId="50" fillId="13" borderId="2" xfId="7" applyNumberFormat="1" applyFont="1" applyFill="1" applyBorder="1" applyAlignment="1">
      <alignment horizontal="center" vertical="center" wrapText="1"/>
    </xf>
    <xf numFmtId="39" fontId="50" fillId="3" borderId="4" xfId="7" applyNumberFormat="1" applyFont="1" applyFill="1" applyBorder="1" applyAlignment="1">
      <alignment horizontal="right" vertical="center"/>
    </xf>
    <xf numFmtId="10" fontId="50" fillId="0" borderId="2" xfId="7" applyNumberFormat="1" applyFont="1" applyFill="1" applyBorder="1" applyAlignment="1">
      <alignment horizontal="center" vertical="center"/>
    </xf>
    <xf numFmtId="10" fontId="111" fillId="3" borderId="0" xfId="7" applyNumberFormat="1" applyFont="1" applyFill="1" applyBorder="1" applyAlignment="1">
      <alignment horizontal="center" vertical="center"/>
    </xf>
    <xf numFmtId="39" fontId="89" fillId="19" borderId="2" xfId="7" applyNumberFormat="1" applyFont="1" applyFill="1" applyBorder="1" applyAlignment="1">
      <alignment horizontal="right" vertical="center" wrapText="1" readingOrder="1"/>
    </xf>
    <xf numFmtId="0" fontId="50" fillId="3" borderId="2" xfId="7" applyFont="1" applyFill="1" applyBorder="1" applyAlignment="1">
      <alignment horizontal="center" vertical="center" wrapText="1"/>
    </xf>
    <xf numFmtId="0" fontId="82" fillId="14" borderId="21" xfId="7" applyNumberFormat="1" applyFont="1" applyFill="1" applyBorder="1" applyAlignment="1">
      <alignment horizontal="center" vertical="center" wrapText="1" readingOrder="1"/>
    </xf>
    <xf numFmtId="39" fontId="109" fillId="14" borderId="2" xfId="7" applyNumberFormat="1" applyFont="1" applyFill="1" applyBorder="1" applyAlignment="1">
      <alignment horizontal="right" vertical="center" wrapText="1" readingOrder="1"/>
    </xf>
    <xf numFmtId="39" fontId="58" fillId="22" borderId="2" xfId="7" applyNumberFormat="1" applyFont="1" applyFill="1" applyBorder="1" applyAlignment="1">
      <alignment horizontal="right" vertical="center" wrapText="1" readingOrder="1"/>
    </xf>
    <xf numFmtId="39" fontId="94" fillId="14" borderId="2" xfId="7" applyNumberFormat="1" applyFont="1" applyFill="1" applyBorder="1" applyAlignment="1">
      <alignment horizontal="right" vertical="center" wrapText="1" readingOrder="1"/>
    </xf>
    <xf numFmtId="39" fontId="8" fillId="5" borderId="2" xfId="7" applyNumberFormat="1" applyFont="1" applyFill="1" applyBorder="1" applyAlignment="1">
      <alignment horizontal="right"/>
    </xf>
    <xf numFmtId="39" fontId="81" fillId="14" borderId="2" xfId="7" applyNumberFormat="1" applyFont="1" applyFill="1" applyBorder="1" applyAlignment="1">
      <alignment horizontal="right"/>
    </xf>
    <xf numFmtId="39" fontId="89" fillId="14" borderId="2" xfId="7" applyNumberFormat="1" applyFont="1" applyFill="1" applyBorder="1" applyAlignment="1">
      <alignment horizontal="right" vertical="center" wrapText="1" readingOrder="1"/>
    </xf>
    <xf numFmtId="39" fontId="49" fillId="12" borderId="2" xfId="7" applyNumberFormat="1" applyFont="1" applyFill="1" applyBorder="1" applyAlignment="1">
      <alignment horizontal="right"/>
    </xf>
    <xf numFmtId="39" fontId="8" fillId="14" borderId="2" xfId="7" applyNumberFormat="1" applyFont="1" applyFill="1" applyBorder="1" applyAlignment="1">
      <alignment horizontal="center" vertical="center"/>
    </xf>
    <xf numFmtId="39" fontId="49" fillId="14" borderId="2" xfId="7" applyNumberFormat="1" applyFont="1" applyFill="1" applyBorder="1" applyAlignment="1">
      <alignment horizontal="right"/>
    </xf>
    <xf numFmtId="0" fontId="49" fillId="14" borderId="2" xfId="7" applyFont="1" applyFill="1" applyBorder="1" applyAlignment="1">
      <alignment horizontal="center" vertical="center" wrapText="1"/>
    </xf>
    <xf numFmtId="39" fontId="49" fillId="3" borderId="4" xfId="7" applyNumberFormat="1" applyFont="1" applyFill="1" applyBorder="1" applyAlignment="1">
      <alignment horizontal="right" vertical="center"/>
    </xf>
    <xf numFmtId="0" fontId="6" fillId="14" borderId="2" xfId="7" applyFont="1" applyFill="1" applyBorder="1"/>
    <xf numFmtId="39" fontId="49" fillId="14" borderId="2" xfId="7" applyNumberFormat="1" applyFont="1" applyFill="1" applyBorder="1" applyAlignment="1">
      <alignment horizontal="center" vertical="center" wrapText="1"/>
    </xf>
    <xf numFmtId="168" fontId="79" fillId="14" borderId="2" xfId="4" applyNumberFormat="1" applyFont="1" applyFill="1" applyBorder="1" applyAlignment="1">
      <alignment horizontal="center" vertical="center"/>
    </xf>
    <xf numFmtId="168" fontId="53" fillId="14" borderId="2" xfId="4" applyNumberFormat="1" applyFont="1" applyFill="1" applyBorder="1" applyAlignment="1">
      <alignment horizontal="center" vertical="center"/>
    </xf>
    <xf numFmtId="0" fontId="8" fillId="5" borderId="2" xfId="7" applyFont="1" applyFill="1" applyBorder="1" applyAlignment="1">
      <alignment horizontal="right"/>
    </xf>
    <xf numFmtId="0" fontId="81" fillId="14" borderId="2" xfId="7" applyFont="1" applyFill="1" applyBorder="1" applyAlignment="1">
      <alignment horizontal="right"/>
    </xf>
    <xf numFmtId="172" fontId="81" fillId="14" borderId="2" xfId="7" applyNumberFormat="1" applyFont="1" applyFill="1" applyBorder="1" applyAlignment="1">
      <alignment horizontal="right"/>
    </xf>
    <xf numFmtId="0" fontId="49" fillId="12" borderId="2" xfId="7" applyFont="1" applyFill="1" applyBorder="1" applyAlignment="1">
      <alignment horizontal="right"/>
    </xf>
    <xf numFmtId="0" fontId="8" fillId="14" borderId="2" xfId="7" applyFont="1" applyFill="1" applyBorder="1" applyAlignment="1">
      <alignment horizontal="center" vertical="center"/>
    </xf>
    <xf numFmtId="0" fontId="49" fillId="14" borderId="2" xfId="7" applyFont="1" applyFill="1" applyBorder="1" applyAlignment="1">
      <alignment horizontal="right"/>
    </xf>
    <xf numFmtId="0" fontId="49" fillId="14" borderId="2" xfId="7" applyFont="1" applyFill="1" applyBorder="1" applyAlignment="1">
      <alignment horizontal="center" vertical="center"/>
    </xf>
    <xf numFmtId="0" fontId="49" fillId="3" borderId="0" xfId="7" applyFont="1" applyFill="1" applyBorder="1" applyAlignment="1">
      <alignment horizontal="center" vertical="center"/>
    </xf>
    <xf numFmtId="0" fontId="112" fillId="8" borderId="21" xfId="7" applyNumberFormat="1" applyFont="1" applyFill="1" applyBorder="1" applyAlignment="1">
      <alignment horizontal="center" vertical="center" wrapText="1" readingOrder="1"/>
    </xf>
    <xf numFmtId="0" fontId="59" fillId="21" borderId="2" xfId="7" applyNumberFormat="1" applyFont="1" applyFill="1" applyBorder="1" applyAlignment="1">
      <alignment horizontal="left" vertical="center" wrapText="1" readingOrder="1"/>
    </xf>
    <xf numFmtId="39" fontId="110" fillId="21" borderId="2" xfId="7" applyNumberFormat="1" applyFont="1" applyFill="1" applyBorder="1" applyAlignment="1">
      <alignment horizontal="right" vertical="center" wrapText="1" readingOrder="1"/>
    </xf>
    <xf numFmtId="39" fontId="59"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xf>
    <xf numFmtId="39" fontId="110" fillId="21" borderId="2" xfId="7" applyNumberFormat="1" applyFont="1" applyFill="1" applyBorder="1" applyAlignment="1">
      <alignment horizontal="right" vertical="center" wrapText="1"/>
    </xf>
    <xf numFmtId="10" fontId="50" fillId="21" borderId="2" xfId="9" applyNumberFormat="1" applyFont="1" applyFill="1" applyBorder="1" applyAlignment="1">
      <alignment horizontal="center" vertical="center"/>
    </xf>
    <xf numFmtId="39" fontId="50" fillId="21" borderId="2" xfId="7" applyNumberFormat="1" applyFont="1" applyFill="1" applyBorder="1" applyAlignment="1">
      <alignment horizontal="right" vertical="center"/>
    </xf>
    <xf numFmtId="39" fontId="50" fillId="21" borderId="2" xfId="7" applyNumberFormat="1" applyFont="1" applyFill="1" applyBorder="1" applyAlignment="1">
      <alignment horizontal="center" vertical="center" wrapText="1"/>
    </xf>
    <xf numFmtId="39" fontId="50" fillId="21" borderId="4" xfId="7" applyNumberFormat="1" applyFont="1" applyFill="1" applyBorder="1" applyAlignment="1">
      <alignment horizontal="right" vertical="center"/>
    </xf>
    <xf numFmtId="10" fontId="50" fillId="21" borderId="2" xfId="7" applyNumberFormat="1" applyFont="1" applyFill="1" applyBorder="1" applyAlignment="1">
      <alignment horizontal="center" vertical="center"/>
    </xf>
    <xf numFmtId="0" fontId="8" fillId="21" borderId="0" xfId="7" applyFont="1" applyFill="1" applyBorder="1" applyAlignment="1">
      <alignment horizontal="center" vertical="center"/>
    </xf>
    <xf numFmtId="0" fontId="6" fillId="21" borderId="2" xfId="7" applyFont="1" applyFill="1" applyBorder="1"/>
    <xf numFmtId="0" fontId="8" fillId="21" borderId="2" xfId="7" applyFont="1" applyFill="1" applyBorder="1" applyAlignment="1">
      <alignment horizontal="center" vertical="center" wrapText="1"/>
    </xf>
    <xf numFmtId="168" fontId="53" fillId="21" borderId="2" xfId="4" applyNumberFormat="1" applyFont="1" applyFill="1" applyBorder="1" applyAlignment="1">
      <alignment horizontal="center" vertical="center"/>
    </xf>
    <xf numFmtId="167" fontId="50" fillId="21" borderId="0" xfId="7" applyNumberFormat="1" applyFont="1" applyFill="1" applyBorder="1"/>
    <xf numFmtId="0" fontId="8" fillId="8" borderId="0" xfId="7" applyFont="1" applyFill="1" applyBorder="1"/>
    <xf numFmtId="0" fontId="51" fillId="8" borderId="0" xfId="7" applyFont="1" applyFill="1" applyBorder="1" applyAlignment="1">
      <alignment horizontal="center" vertical="center"/>
    </xf>
    <xf numFmtId="0" fontId="112" fillId="3" borderId="21" xfId="7" applyNumberFormat="1" applyFont="1" applyFill="1" applyBorder="1" applyAlignment="1">
      <alignment horizontal="center" vertical="center" wrapText="1" readingOrder="1"/>
    </xf>
    <xf numFmtId="39" fontId="59" fillId="3" borderId="2" xfId="7" applyNumberFormat="1" applyFont="1" applyFill="1" applyBorder="1" applyAlignment="1">
      <alignment horizontal="right" vertical="center" wrapText="1" readingOrder="1"/>
    </xf>
    <xf numFmtId="39" fontId="59" fillId="5" borderId="2" xfId="7" applyNumberFormat="1" applyFont="1" applyFill="1" applyBorder="1" applyAlignment="1">
      <alignment horizontal="right" vertical="center" wrapText="1"/>
    </xf>
    <xf numFmtId="39" fontId="97" fillId="3" borderId="2" xfId="7" applyNumberFormat="1" applyFont="1" applyFill="1" applyBorder="1" applyAlignment="1">
      <alignment horizontal="right" vertical="center" wrapText="1"/>
    </xf>
    <xf numFmtId="39" fontId="110" fillId="3" borderId="2" xfId="7" applyNumberFormat="1" applyFont="1" applyFill="1" applyBorder="1" applyAlignment="1">
      <alignment horizontal="right" vertical="center" wrapText="1"/>
    </xf>
    <xf numFmtId="39" fontId="59" fillId="3" borderId="2" xfId="7" applyNumberFormat="1" applyFont="1" applyFill="1" applyBorder="1" applyAlignment="1">
      <alignment horizontal="center" vertical="center" wrapText="1"/>
    </xf>
    <xf numFmtId="39" fontId="59" fillId="3" borderId="2" xfId="7" applyNumberFormat="1" applyFont="1" applyFill="1" applyBorder="1" applyAlignment="1">
      <alignment horizontal="right" vertical="center" wrapText="1"/>
    </xf>
    <xf numFmtId="39" fontId="48" fillId="3" borderId="2" xfId="7" applyNumberFormat="1" applyFont="1" applyFill="1" applyBorder="1" applyAlignment="1">
      <alignment horizontal="center" vertical="center" wrapText="1"/>
    </xf>
    <xf numFmtId="39" fontId="113" fillId="3" borderId="4" xfId="7" applyNumberFormat="1" applyFont="1" applyFill="1" applyBorder="1" applyAlignment="1">
      <alignment horizontal="right" vertical="center"/>
    </xf>
    <xf numFmtId="0" fontId="8" fillId="3" borderId="2" xfId="7" applyFont="1" applyFill="1" applyBorder="1" applyAlignment="1">
      <alignment horizontal="center" vertical="center"/>
    </xf>
    <xf numFmtId="0" fontId="6" fillId="3" borderId="2" xfId="7" applyFont="1" applyFill="1" applyBorder="1"/>
    <xf numFmtId="0" fontId="8" fillId="3" borderId="2" xfId="7" applyFont="1" applyFill="1" applyBorder="1" applyAlignment="1">
      <alignment horizontal="center" vertical="center" wrapText="1"/>
    </xf>
    <xf numFmtId="0" fontId="66" fillId="0" borderId="21" xfId="7" applyNumberFormat="1" applyFont="1" applyFill="1" applyBorder="1" applyAlignment="1">
      <alignment horizontal="center" vertical="center" wrapText="1" readingOrder="1"/>
    </xf>
    <xf numFmtId="39" fontId="82" fillId="0" borderId="2" xfId="7" applyNumberFormat="1" applyFont="1" applyFill="1" applyBorder="1" applyAlignment="1">
      <alignment horizontal="right" vertical="center" wrapText="1" readingOrder="1"/>
    </xf>
    <xf numFmtId="39" fontId="59" fillId="0" borderId="2" xfId="7" applyNumberFormat="1" applyFont="1" applyFill="1" applyBorder="1" applyAlignment="1">
      <alignment horizontal="right" vertical="center" wrapText="1" readingOrder="1"/>
    </xf>
    <xf numFmtId="0" fontId="48" fillId="0" borderId="2" xfId="7" applyFont="1" applyFill="1" applyBorder="1" applyAlignment="1">
      <alignment horizontal="center" vertical="center" wrapText="1"/>
    </xf>
    <xf numFmtId="0" fontId="8" fillId="0" borderId="2" xfId="7" applyFont="1" applyFill="1" applyBorder="1" applyAlignment="1">
      <alignment horizontal="center" vertical="center"/>
    </xf>
    <xf numFmtId="168" fontId="53" fillId="0" borderId="2" xfId="4" applyNumberFormat="1" applyFont="1" applyFill="1" applyBorder="1" applyAlignment="1">
      <alignment horizontal="center" vertical="center"/>
    </xf>
    <xf numFmtId="0" fontId="59" fillId="8" borderId="2" xfId="7" applyNumberFormat="1" applyFont="1" applyFill="1" applyBorder="1" applyAlignment="1">
      <alignment horizontal="left" vertical="center" wrapText="1" readingOrder="1"/>
    </xf>
    <xf numFmtId="39" fontId="110"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xf>
    <xf numFmtId="39" fontId="110" fillId="8" borderId="2" xfId="7" applyNumberFormat="1" applyFont="1" applyFill="1" applyBorder="1" applyAlignment="1">
      <alignment horizontal="right" vertical="center" wrapText="1"/>
    </xf>
    <xf numFmtId="39" fontId="59" fillId="8" borderId="2" xfId="7" applyNumberFormat="1" applyFont="1" applyFill="1" applyBorder="1" applyAlignment="1">
      <alignment horizontal="center" vertical="center" wrapText="1"/>
    </xf>
    <xf numFmtId="0" fontId="48" fillId="8" borderId="2" xfId="7" applyFont="1" applyFill="1" applyBorder="1" applyAlignment="1">
      <alignment horizontal="center" vertical="center" wrapText="1"/>
    </xf>
    <xf numFmtId="0" fontId="8" fillId="8" borderId="2" xfId="7" applyFont="1" applyFill="1" applyBorder="1" applyAlignment="1">
      <alignment horizontal="center" vertical="center"/>
    </xf>
    <xf numFmtId="0" fontId="6" fillId="8" borderId="2" xfId="7" applyFont="1" applyFill="1" applyBorder="1"/>
    <xf numFmtId="0" fontId="8" fillId="8" borderId="2" xfId="7" applyFont="1" applyFill="1" applyBorder="1" applyAlignment="1">
      <alignment horizontal="center" vertical="center" wrapText="1"/>
    </xf>
    <xf numFmtId="168" fontId="53" fillId="8" borderId="2" xfId="4" applyNumberFormat="1" applyFont="1" applyFill="1" applyBorder="1" applyAlignment="1">
      <alignment horizontal="center" vertical="center"/>
    </xf>
    <xf numFmtId="0" fontId="50" fillId="8" borderId="0" xfId="7" applyFont="1" applyFill="1" applyBorder="1"/>
    <xf numFmtId="0" fontId="97" fillId="3" borderId="2" xfId="7" applyNumberFormat="1" applyFont="1" applyFill="1" applyBorder="1" applyAlignment="1">
      <alignment horizontal="left" vertical="center" wrapText="1" readingOrder="1"/>
    </xf>
    <xf numFmtId="49" fontId="115" fillId="23" borderId="2" xfId="7" applyNumberFormat="1" applyFont="1" applyFill="1" applyBorder="1" applyAlignment="1">
      <alignment horizontal="center" vertical="center" wrapText="1" readingOrder="1"/>
    </xf>
    <xf numFmtId="0" fontId="115" fillId="23" borderId="2" xfId="7" applyNumberFormat="1" applyFont="1" applyFill="1" applyBorder="1" applyAlignment="1">
      <alignment horizontal="center" vertical="center" wrapText="1" readingOrder="1"/>
    </xf>
    <xf numFmtId="39" fontId="88" fillId="20" borderId="2" xfId="7" applyNumberFormat="1" applyFont="1" applyFill="1" applyBorder="1" applyAlignment="1">
      <alignment horizontal="right" vertical="center" wrapText="1" readingOrder="1"/>
    </xf>
    <xf numFmtId="39" fontId="88" fillId="25" borderId="2" xfId="7" applyNumberFormat="1" applyFont="1" applyFill="1" applyBorder="1" applyAlignment="1">
      <alignment horizontal="right" vertical="center" wrapText="1" readingOrder="1"/>
    </xf>
    <xf numFmtId="39" fontId="88" fillId="3" borderId="2" xfId="7" applyNumberFormat="1" applyFont="1" applyFill="1" applyBorder="1" applyAlignment="1">
      <alignment horizontal="right" vertical="center" wrapText="1"/>
    </xf>
    <xf numFmtId="39" fontId="88" fillId="5" borderId="2" xfId="7" applyNumberFormat="1" applyFont="1" applyFill="1" applyBorder="1" applyAlignment="1">
      <alignment horizontal="right" vertical="center" wrapText="1"/>
    </xf>
    <xf numFmtId="39" fontId="88" fillId="20" borderId="2" xfId="7" applyNumberFormat="1" applyFont="1" applyFill="1" applyBorder="1" applyAlignment="1">
      <alignment horizontal="right" vertical="center" wrapText="1"/>
    </xf>
    <xf numFmtId="39" fontId="88" fillId="24" borderId="2" xfId="7" applyNumberFormat="1" applyFont="1" applyFill="1" applyBorder="1" applyAlignment="1">
      <alignment horizontal="right" vertical="center" wrapText="1"/>
    </xf>
    <xf numFmtId="39" fontId="50" fillId="20" borderId="2" xfId="7" applyNumberFormat="1" applyFont="1" applyFill="1" applyBorder="1" applyAlignment="1">
      <alignment horizontal="right" vertical="center"/>
    </xf>
    <xf numFmtId="39" fontId="50" fillId="20" borderId="2" xfId="7" applyNumberFormat="1" applyFont="1" applyFill="1" applyBorder="1" applyAlignment="1">
      <alignment horizontal="center" vertical="center" wrapText="1"/>
    </xf>
    <xf numFmtId="39" fontId="50" fillId="20" borderId="4" xfId="7" applyNumberFormat="1" applyFont="1" applyFill="1" applyBorder="1" applyAlignment="1">
      <alignment horizontal="right" vertical="center"/>
    </xf>
    <xf numFmtId="10" fontId="50" fillId="3" borderId="2" xfId="7" applyNumberFormat="1" applyFont="1" applyFill="1" applyBorder="1" applyAlignment="1">
      <alignment horizontal="center" vertical="center"/>
    </xf>
    <xf numFmtId="176" fontId="52" fillId="3" borderId="0" xfId="7" applyNumberFormat="1" applyFont="1" applyFill="1" applyBorder="1" applyAlignment="1">
      <alignment horizontal="center" vertical="center"/>
    </xf>
    <xf numFmtId="0" fontId="97" fillId="20" borderId="2" xfId="7" applyNumberFormat="1" applyFont="1" applyFill="1" applyBorder="1" applyAlignment="1">
      <alignment horizontal="left" vertical="center" wrapText="1" readingOrder="1"/>
    </xf>
    <xf numFmtId="176" fontId="48" fillId="3" borderId="2" xfId="7" applyNumberFormat="1" applyFont="1" applyFill="1" applyBorder="1" applyAlignment="1">
      <alignment horizontal="center" vertical="center" wrapText="1"/>
    </xf>
    <xf numFmtId="177" fontId="48" fillId="3" borderId="2" xfId="7" applyNumberFormat="1" applyFont="1" applyFill="1" applyBorder="1" applyAlignment="1">
      <alignment horizontal="center" vertical="center" wrapText="1"/>
    </xf>
    <xf numFmtId="39" fontId="110" fillId="23" borderId="2" xfId="7" applyNumberFormat="1" applyFont="1" applyFill="1" applyBorder="1" applyAlignment="1">
      <alignment horizontal="right" vertical="center" wrapText="1" readingOrder="1"/>
    </xf>
    <xf numFmtId="10" fontId="52" fillId="3" borderId="0" xfId="7" applyNumberFormat="1" applyFont="1" applyFill="1" applyBorder="1" applyAlignment="1">
      <alignment horizontal="center" vertical="center"/>
    </xf>
    <xf numFmtId="10" fontId="48" fillId="3" borderId="2" xfId="7" applyNumberFormat="1" applyFont="1" applyFill="1" applyBorder="1" applyAlignment="1">
      <alignment horizontal="center" vertical="center" wrapText="1"/>
    </xf>
    <xf numFmtId="39" fontId="97" fillId="8" borderId="2" xfId="7" applyNumberFormat="1" applyFont="1" applyFill="1" applyBorder="1" applyAlignment="1">
      <alignment horizontal="right" vertical="center" wrapText="1" readingOrder="1"/>
    </xf>
    <xf numFmtId="39" fontId="97" fillId="5" borderId="2" xfId="7" applyNumberFormat="1" applyFont="1" applyFill="1" applyBorder="1" applyAlignment="1">
      <alignment horizontal="right" vertical="center" wrapText="1"/>
    </xf>
    <xf numFmtId="39" fontId="97" fillId="8" borderId="2" xfId="7" applyNumberFormat="1" applyFont="1" applyFill="1" applyBorder="1" applyAlignment="1">
      <alignment horizontal="right" vertical="center" wrapText="1"/>
    </xf>
    <xf numFmtId="10" fontId="50" fillId="8" borderId="2" xfId="9" applyNumberFormat="1" applyFont="1" applyFill="1" applyBorder="1" applyAlignment="1">
      <alignment horizontal="center" vertical="center"/>
    </xf>
    <xf numFmtId="39" fontId="50" fillId="8" borderId="2" xfId="7" applyNumberFormat="1" applyFont="1" applyFill="1" applyBorder="1" applyAlignment="1">
      <alignment horizontal="right" vertical="center"/>
    </xf>
    <xf numFmtId="39" fontId="50" fillId="8" borderId="2" xfId="7" applyNumberFormat="1" applyFont="1" applyFill="1" applyBorder="1" applyAlignment="1">
      <alignment horizontal="center" vertical="center" wrapText="1"/>
    </xf>
    <xf numFmtId="39" fontId="50" fillId="8" borderId="4" xfId="7" applyNumberFormat="1" applyFont="1" applyFill="1" applyBorder="1" applyAlignment="1">
      <alignment horizontal="right" vertical="center"/>
    </xf>
    <xf numFmtId="10" fontId="50" fillId="8" borderId="2" xfId="7" applyNumberFormat="1" applyFont="1" applyFill="1" applyBorder="1" applyAlignment="1">
      <alignment horizontal="center" vertical="center"/>
    </xf>
    <xf numFmtId="0" fontId="116" fillId="8" borderId="2" xfId="7" applyFont="1" applyFill="1" applyBorder="1" applyAlignment="1">
      <alignment horizontal="center" vertical="center" wrapText="1"/>
    </xf>
    <xf numFmtId="0" fontId="116" fillId="8" borderId="0" xfId="7" applyFont="1" applyFill="1" applyBorder="1"/>
    <xf numFmtId="0" fontId="117" fillId="0" borderId="21" xfId="7" applyNumberFormat="1" applyFont="1" applyFill="1" applyBorder="1" applyAlignment="1">
      <alignment horizontal="center" vertical="center" wrapText="1" readingOrder="1"/>
    </xf>
    <xf numFmtId="4" fontId="59" fillId="0" borderId="2" xfId="7" applyNumberFormat="1" applyFont="1" applyFill="1" applyBorder="1" applyAlignment="1" applyProtection="1">
      <alignment horizontal="center" vertical="center"/>
    </xf>
    <xf numFmtId="39" fontId="48" fillId="0" borderId="2" xfId="7" applyNumberFormat="1" applyFont="1" applyFill="1" applyBorder="1"/>
    <xf numFmtId="39" fontId="48" fillId="5" borderId="2" xfId="7" applyNumberFormat="1" applyFont="1" applyFill="1" applyBorder="1" applyAlignment="1">
      <alignment horizontal="center" vertical="center"/>
    </xf>
    <xf numFmtId="39" fontId="48" fillId="26" borderId="2" xfId="7" applyNumberFormat="1" applyFont="1" applyFill="1" applyBorder="1" applyAlignment="1">
      <alignment horizontal="right"/>
    </xf>
    <xf numFmtId="39" fontId="48" fillId="26" borderId="2" xfId="7" applyNumberFormat="1" applyFont="1" applyFill="1" applyBorder="1"/>
    <xf numFmtId="39" fontId="59" fillId="26" borderId="2" xfId="7" applyNumberFormat="1" applyFont="1" applyFill="1" applyBorder="1" applyAlignment="1">
      <alignment horizontal="right" vertical="center" wrapText="1"/>
    </xf>
    <xf numFmtId="39" fontId="118" fillId="3" borderId="2" xfId="7" applyNumberFormat="1" applyFont="1" applyFill="1" applyBorder="1" applyAlignment="1">
      <alignment horizontal="right"/>
    </xf>
    <xf numFmtId="39" fontId="48" fillId="26" borderId="2" xfId="7" applyNumberFormat="1" applyFont="1" applyFill="1" applyBorder="1" applyAlignment="1">
      <alignment horizontal="center" vertical="center"/>
    </xf>
    <xf numFmtId="39" fontId="119" fillId="26" borderId="2" xfId="7" applyNumberFormat="1" applyFont="1" applyFill="1" applyBorder="1" applyAlignment="1">
      <alignment horizontal="right"/>
    </xf>
    <xf numFmtId="39" fontId="48" fillId="27" borderId="2" xfId="7" applyNumberFormat="1" applyFont="1" applyFill="1" applyBorder="1" applyAlignment="1">
      <alignment wrapText="1"/>
    </xf>
    <xf numFmtId="0" fontId="116" fillId="0" borderId="4" xfId="7" applyFont="1" applyFill="1" applyBorder="1"/>
    <xf numFmtId="0" fontId="116" fillId="0" borderId="2" xfId="7" applyFont="1" applyFill="1" applyBorder="1" applyAlignment="1">
      <alignment horizontal="center" vertical="center"/>
    </xf>
    <xf numFmtId="0" fontId="116" fillId="3" borderId="0" xfId="7" applyFont="1" applyFill="1" applyBorder="1" applyAlignment="1">
      <alignment horizontal="center" vertical="center"/>
    </xf>
    <xf numFmtId="0" fontId="116" fillId="0" borderId="0" xfId="7" applyFont="1" applyFill="1" applyBorder="1"/>
    <xf numFmtId="10" fontId="8" fillId="0" borderId="18" xfId="7" applyNumberFormat="1" applyFont="1" applyFill="1" applyBorder="1" applyAlignment="1">
      <alignment horizontal="center" vertical="center" wrapText="1"/>
    </xf>
    <xf numFmtId="168" fontId="50" fillId="0" borderId="2" xfId="4" applyNumberFormat="1" applyFont="1" applyFill="1" applyBorder="1" applyAlignment="1">
      <alignment horizontal="center" vertical="center"/>
    </xf>
    <xf numFmtId="4" fontId="94" fillId="0" borderId="0" xfId="7" applyNumberFormat="1" applyFont="1" applyFill="1" applyBorder="1" applyAlignment="1" applyProtection="1">
      <alignment horizontal="center"/>
    </xf>
    <xf numFmtId="0" fontId="8" fillId="0" borderId="10" xfId="7" applyFont="1" applyFill="1" applyBorder="1"/>
    <xf numFmtId="0" fontId="48" fillId="0" borderId="0" xfId="7" applyFont="1" applyFill="1" applyBorder="1"/>
    <xf numFmtId="39" fontId="48" fillId="0" borderId="0" xfId="7" applyNumberFormat="1" applyFont="1" applyFill="1" applyBorder="1"/>
    <xf numFmtId="0" fontId="48" fillId="3" borderId="0" xfId="7" applyFont="1" applyFill="1" applyBorder="1"/>
    <xf numFmtId="0" fontId="48" fillId="5" borderId="9" xfId="7" applyFont="1" applyFill="1" applyBorder="1"/>
    <xf numFmtId="0" fontId="48" fillId="0" borderId="9" xfId="7" applyFont="1" applyFill="1" applyBorder="1"/>
    <xf numFmtId="0" fontId="48" fillId="16" borderId="0" xfId="7" applyFont="1" applyFill="1" applyBorder="1"/>
    <xf numFmtId="172" fontId="48" fillId="0" borderId="9" xfId="7" applyNumberFormat="1" applyFont="1" applyFill="1" applyBorder="1"/>
    <xf numFmtId="0" fontId="118" fillId="3" borderId="9" xfId="7" applyFont="1" applyFill="1" applyBorder="1"/>
    <xf numFmtId="0" fontId="48" fillId="0" borderId="9" xfId="7" applyFont="1" applyFill="1" applyBorder="1" applyAlignment="1">
      <alignment horizontal="center" vertical="center"/>
    </xf>
    <xf numFmtId="0" fontId="48" fillId="0" borderId="19" xfId="7" applyFont="1" applyFill="1" applyBorder="1" applyAlignment="1">
      <alignment horizontal="center" vertical="center" wrapText="1"/>
    </xf>
    <xf numFmtId="0" fontId="116" fillId="0" borderId="0" xfId="7" applyFont="1" applyFill="1" applyBorder="1" applyAlignment="1">
      <alignment horizontal="center" vertical="center"/>
    </xf>
    <xf numFmtId="0" fontId="120" fillId="5" borderId="5" xfId="7" applyFont="1" applyFill="1" applyBorder="1" applyAlignment="1">
      <alignment vertical="center"/>
    </xf>
    <xf numFmtId="0" fontId="120" fillId="5" borderId="2" xfId="7" applyFont="1" applyFill="1" applyBorder="1" applyAlignment="1">
      <alignment vertical="center"/>
    </xf>
    <xf numFmtId="4" fontId="94" fillId="3" borderId="0" xfId="7" applyNumberFormat="1" applyFont="1" applyFill="1" applyBorder="1" applyAlignment="1" applyProtection="1">
      <alignment horizontal="center"/>
    </xf>
    <xf numFmtId="39" fontId="48" fillId="3" borderId="0" xfId="7" applyNumberFormat="1" applyFont="1" applyFill="1" applyBorder="1"/>
    <xf numFmtId="39" fontId="48" fillId="5" borderId="19" xfId="7" applyNumberFormat="1" applyFont="1" applyFill="1" applyBorder="1" applyAlignment="1">
      <alignment horizontal="center" vertical="center" wrapText="1"/>
    </xf>
    <xf numFmtId="0" fontId="59" fillId="5" borderId="19" xfId="7" applyNumberFormat="1" applyFont="1" applyFill="1" applyBorder="1" applyAlignment="1">
      <alignment horizontal="center" vertical="center" wrapText="1" readingOrder="1"/>
    </xf>
    <xf numFmtId="0" fontId="59" fillId="5" borderId="9" xfId="7" applyNumberFormat="1" applyFont="1" applyFill="1" applyBorder="1" applyAlignment="1">
      <alignment horizontal="center" vertical="center" wrapText="1" readingOrder="1"/>
    </xf>
    <xf numFmtId="39" fontId="48" fillId="5" borderId="9" xfId="7" applyNumberFormat="1" applyFont="1" applyFill="1" applyBorder="1" applyAlignment="1">
      <alignment horizontal="center" vertical="center" wrapText="1"/>
    </xf>
    <xf numFmtId="0" fontId="48" fillId="5" borderId="9" xfId="7" applyFont="1" applyFill="1" applyBorder="1" applyAlignment="1">
      <alignment horizontal="center" vertical="center" wrapText="1"/>
    </xf>
    <xf numFmtId="0" fontId="122" fillId="5" borderId="17" xfId="8" applyFont="1" applyFill="1" applyBorder="1" applyAlignment="1">
      <alignment horizontal="center" vertical="center" wrapText="1"/>
    </xf>
    <xf numFmtId="4" fontId="59" fillId="3" borderId="0" xfId="7" applyNumberFormat="1" applyFont="1" applyFill="1" applyBorder="1" applyAlignment="1" applyProtection="1">
      <alignment horizontal="center" vertical="center"/>
    </xf>
    <xf numFmtId="0" fontId="118" fillId="5" borderId="0" xfId="7" applyFont="1" applyFill="1" applyBorder="1" applyAlignment="1">
      <alignment horizontal="center" vertical="center"/>
    </xf>
    <xf numFmtId="0" fontId="48" fillId="3" borderId="0" xfId="7" applyFont="1" applyFill="1" applyBorder="1" applyAlignment="1">
      <alignment horizontal="center" vertical="center"/>
    </xf>
    <xf numFmtId="0" fontId="59" fillId="3" borderId="0" xfId="7" applyNumberFormat="1" applyFont="1" applyFill="1" applyBorder="1" applyAlignment="1">
      <alignment horizontal="center" vertical="center" wrapText="1" readingOrder="1"/>
    </xf>
    <xf numFmtId="39" fontId="121" fillId="3" borderId="2" xfId="7" applyNumberFormat="1" applyFont="1" applyFill="1" applyBorder="1" applyAlignment="1">
      <alignment horizontal="center" vertical="center"/>
    </xf>
    <xf numFmtId="10" fontId="123" fillId="28" borderId="2" xfId="9" applyNumberFormat="1" applyFont="1" applyFill="1" applyBorder="1" applyAlignment="1">
      <alignment horizontal="center" vertical="center"/>
    </xf>
    <xf numFmtId="10" fontId="98" fillId="28" borderId="2" xfId="9" applyNumberFormat="1" applyFont="1" applyFill="1" applyBorder="1" applyAlignment="1">
      <alignment horizontal="center" vertical="center"/>
    </xf>
    <xf numFmtId="39" fontId="98" fillId="28" borderId="2" xfId="7" applyNumberFormat="1" applyFont="1" applyFill="1" applyBorder="1" applyAlignment="1">
      <alignment horizontal="right" vertical="center"/>
    </xf>
    <xf numFmtId="39" fontId="98" fillId="28" borderId="2" xfId="7" applyNumberFormat="1" applyFont="1" applyFill="1" applyBorder="1" applyAlignment="1">
      <alignment horizontal="center" vertical="center" wrapText="1"/>
    </xf>
    <xf numFmtId="39" fontId="98" fillId="28" borderId="4" xfId="7" applyNumberFormat="1" applyFont="1" applyFill="1" applyBorder="1" applyAlignment="1">
      <alignment horizontal="right" vertical="center"/>
    </xf>
    <xf numFmtId="10" fontId="98" fillId="28" borderId="2" xfId="7" applyNumberFormat="1" applyFont="1" applyFill="1" applyBorder="1" applyAlignment="1">
      <alignment horizontal="center" vertical="center"/>
    </xf>
    <xf numFmtId="10" fontId="48" fillId="3" borderId="0" xfId="7" applyNumberFormat="1" applyFont="1" applyFill="1" applyBorder="1" applyAlignment="1">
      <alignment horizontal="center" vertical="center"/>
    </xf>
    <xf numFmtId="4" fontId="94" fillId="3" borderId="0" xfId="7" applyNumberFormat="1" applyFont="1" applyFill="1" applyBorder="1" applyAlignment="1" applyProtection="1">
      <alignment horizontal="left" vertical="center" wrapText="1"/>
    </xf>
    <xf numFmtId="39" fontId="8" fillId="0" borderId="5" xfId="7" applyNumberFormat="1" applyFont="1" applyFill="1" applyBorder="1"/>
    <xf numFmtId="39" fontId="8" fillId="0" borderId="2" xfId="7" applyNumberFormat="1" applyFont="1" applyFill="1" applyBorder="1"/>
    <xf numFmtId="39" fontId="8" fillId="0" borderId="4" xfId="7" applyNumberFormat="1" applyFont="1" applyFill="1" applyBorder="1"/>
    <xf numFmtId="39" fontId="8" fillId="0" borderId="0" xfId="7" applyNumberFormat="1" applyFont="1" applyFill="1" applyBorder="1"/>
    <xf numFmtId="4" fontId="94" fillId="3" borderId="0" xfId="7" applyNumberFormat="1" applyFont="1" applyFill="1" applyBorder="1" applyAlignment="1" applyProtection="1">
      <alignment horizontal="left" vertical="center"/>
    </xf>
    <xf numFmtId="39" fontId="48" fillId="5" borderId="0" xfId="7" applyNumberFormat="1" applyFont="1" applyFill="1" applyBorder="1"/>
    <xf numFmtId="0" fontId="120" fillId="3" borderId="2" xfId="7" applyFont="1" applyFill="1" applyBorder="1" applyAlignment="1">
      <alignment horizontal="center" vertical="center"/>
    </xf>
    <xf numFmtId="4" fontId="59" fillId="3" borderId="0" xfId="7" applyNumberFormat="1" applyFont="1" applyFill="1" applyBorder="1" applyAlignment="1" applyProtection="1">
      <alignment horizontal="left" vertical="center"/>
    </xf>
    <xf numFmtId="39" fontId="48" fillId="0" borderId="5" xfId="7" applyNumberFormat="1" applyFont="1" applyFill="1" applyBorder="1"/>
    <xf numFmtId="39" fontId="48" fillId="0" borderId="4" xfId="7" applyNumberFormat="1" applyFont="1" applyFill="1" applyBorder="1"/>
    <xf numFmtId="39" fontId="48" fillId="3" borderId="0" xfId="7" applyNumberFormat="1" applyFont="1" applyFill="1" applyBorder="1" applyAlignment="1">
      <alignment vertical="center"/>
    </xf>
    <xf numFmtId="39" fontId="48" fillId="13" borderId="35" xfId="7" applyNumberFormat="1" applyFont="1" applyFill="1" applyBorder="1"/>
    <xf numFmtId="39" fontId="48" fillId="13" borderId="0" xfId="7" applyNumberFormat="1" applyFont="1" applyFill="1" applyBorder="1"/>
    <xf numFmtId="39" fontId="48" fillId="13" borderId="36" xfId="7" applyNumberFormat="1" applyFont="1" applyFill="1" applyBorder="1"/>
    <xf numFmtId="39" fontId="118" fillId="3" borderId="0" xfId="7" applyNumberFormat="1" applyFont="1" applyFill="1" applyBorder="1"/>
    <xf numFmtId="39" fontId="48" fillId="26" borderId="0" xfId="7" applyNumberFormat="1" applyFont="1" applyFill="1" applyBorder="1" applyAlignment="1">
      <alignment horizontal="center" vertical="center"/>
    </xf>
    <xf numFmtId="39" fontId="48" fillId="26" borderId="0" xfId="7" applyNumberFormat="1" applyFont="1" applyFill="1" applyBorder="1"/>
    <xf numFmtId="0" fontId="8" fillId="0" borderId="5" xfId="7" applyFont="1" applyFill="1" applyBorder="1"/>
    <xf numFmtId="0" fontId="8" fillId="0" borderId="2" xfId="7" applyFont="1" applyFill="1" applyBorder="1"/>
    <xf numFmtId="0" fontId="8" fillId="0" borderId="4" xfId="7" applyFont="1" applyFill="1" applyBorder="1"/>
    <xf numFmtId="0" fontId="48" fillId="3" borderId="0" xfId="7" applyFont="1" applyFill="1" applyBorder="1" applyAlignment="1">
      <alignment vertical="center"/>
    </xf>
    <xf numFmtId="0" fontId="48" fillId="5" borderId="0" xfId="7" applyFont="1" applyFill="1" applyBorder="1"/>
    <xf numFmtId="39" fontId="68" fillId="13" borderId="36" xfId="7" applyNumberFormat="1" applyFont="1" applyFill="1" applyBorder="1"/>
    <xf numFmtId="39" fontId="48" fillId="13" borderId="37" xfId="7" applyNumberFormat="1" applyFont="1" applyFill="1" applyBorder="1"/>
    <xf numFmtId="39" fontId="48" fillId="13" borderId="15" xfId="7" applyNumberFormat="1" applyFont="1" applyFill="1" applyBorder="1"/>
    <xf numFmtId="39" fontId="48" fillId="13" borderId="38" xfId="7" applyNumberFormat="1" applyFont="1" applyFill="1" applyBorder="1"/>
    <xf numFmtId="172" fontId="48" fillId="3" borderId="0" xfId="7" applyNumberFormat="1" applyFont="1" applyFill="1" applyBorder="1"/>
    <xf numFmtId="172" fontId="64" fillId="3" borderId="0" xfId="7" applyNumberFormat="1" applyFont="1" applyFill="1" applyBorder="1"/>
    <xf numFmtId="0" fontId="118" fillId="3" borderId="0" xfId="7" applyFont="1" applyFill="1" applyBorder="1"/>
    <xf numFmtId="0" fontId="48" fillId="0" borderId="17" xfId="7" applyFont="1" applyFill="1" applyBorder="1" applyAlignment="1">
      <alignment horizontal="center" vertical="center" wrapText="1"/>
    </xf>
    <xf numFmtId="172" fontId="97" fillId="3" borderId="2" xfId="7" applyNumberFormat="1" applyFont="1" applyFill="1" applyBorder="1" applyAlignment="1">
      <alignment vertical="center" wrapText="1" readingOrder="1"/>
    </xf>
    <xf numFmtId="0" fontId="88" fillId="3" borderId="2" xfId="7" applyNumberFormat="1" applyFont="1" applyFill="1" applyBorder="1" applyAlignment="1">
      <alignment vertical="center" wrapText="1" readingOrder="1"/>
    </xf>
    <xf numFmtId="172" fontId="88" fillId="3" borderId="2" xfId="7" applyNumberFormat="1" applyFont="1" applyFill="1" applyBorder="1" applyAlignment="1">
      <alignment vertical="center" wrapText="1" readingOrder="1"/>
    </xf>
    <xf numFmtId="0" fontId="8" fillId="3" borderId="0" xfId="7" applyFont="1" applyFill="1" applyBorder="1" applyAlignment="1">
      <alignment horizontal="center" vertical="center" wrapText="1"/>
    </xf>
    <xf numFmtId="0" fontId="125" fillId="3" borderId="2" xfId="7" applyFont="1" applyFill="1" applyBorder="1" applyAlignment="1">
      <alignment vertical="center" wrapText="1"/>
    </xf>
    <xf numFmtId="0" fontId="121" fillId="3" borderId="2" xfId="7" applyFont="1" applyFill="1" applyBorder="1" applyAlignment="1">
      <alignment vertical="center" wrapText="1"/>
    </xf>
    <xf numFmtId="0" fontId="118" fillId="3" borderId="0" xfId="7" applyFont="1" applyFill="1" applyBorder="1" applyAlignment="1">
      <alignment horizontal="center" vertical="center" wrapText="1"/>
    </xf>
    <xf numFmtId="0" fontId="122" fillId="3" borderId="0" xfId="8" applyFont="1" applyFill="1" applyBorder="1" applyAlignment="1">
      <alignment horizontal="center" vertical="center" wrapText="1"/>
    </xf>
    <xf numFmtId="0" fontId="52" fillId="3" borderId="0" xfId="7" applyFont="1" applyFill="1" applyBorder="1" applyAlignment="1">
      <alignment horizontal="center" vertical="center"/>
    </xf>
    <xf numFmtId="0" fontId="121" fillId="3" borderId="2" xfId="7" applyFont="1" applyFill="1" applyBorder="1" applyAlignment="1">
      <alignment wrapText="1"/>
    </xf>
    <xf numFmtId="172" fontId="121" fillId="3" borderId="2" xfId="7" applyNumberFormat="1" applyFont="1" applyFill="1" applyBorder="1" applyAlignment="1">
      <alignment wrapText="1"/>
    </xf>
    <xf numFmtId="10" fontId="98" fillId="3" borderId="0" xfId="9" applyNumberFormat="1" applyFont="1" applyFill="1" applyBorder="1" applyAlignment="1">
      <alignment horizontal="center" vertical="center"/>
    </xf>
    <xf numFmtId="39" fontId="98" fillId="3" borderId="0" xfId="7" applyNumberFormat="1" applyFont="1" applyFill="1" applyBorder="1" applyAlignment="1">
      <alignment horizontal="right" vertical="center"/>
    </xf>
    <xf numFmtId="10" fontId="98" fillId="3" borderId="0" xfId="7" applyNumberFormat="1" applyFont="1" applyFill="1" applyBorder="1" applyAlignment="1">
      <alignment horizontal="center" vertical="center"/>
    </xf>
    <xf numFmtId="39" fontId="8" fillId="3" borderId="0" xfId="7" applyNumberFormat="1" applyFont="1" applyFill="1" applyBorder="1"/>
    <xf numFmtId="0" fontId="8" fillId="5" borderId="0" xfId="7" applyFont="1" applyFill="1" applyBorder="1"/>
    <xf numFmtId="0" fontId="48" fillId="3" borderId="2" xfId="7" applyFont="1" applyFill="1" applyBorder="1" applyAlignment="1">
      <alignment wrapText="1"/>
    </xf>
    <xf numFmtId="39" fontId="118" fillId="3" borderId="0" xfId="7" applyNumberFormat="1" applyFont="1" applyFill="1" applyBorder="1" applyAlignment="1">
      <alignment horizontal="right" vertical="center"/>
    </xf>
    <xf numFmtId="39" fontId="48" fillId="3" borderId="0" xfId="7" applyNumberFormat="1" applyFont="1" applyFill="1" applyBorder="1" applyAlignment="1">
      <alignment horizontal="center" vertical="center"/>
    </xf>
    <xf numFmtId="39" fontId="48" fillId="3" borderId="2" xfId="7" applyNumberFormat="1" applyFont="1" applyFill="1" applyBorder="1" applyAlignment="1">
      <alignment horizontal="center" vertical="center"/>
    </xf>
    <xf numFmtId="172" fontId="8" fillId="0" borderId="2" xfId="7" applyNumberFormat="1" applyFont="1" applyFill="1" applyBorder="1"/>
    <xf numFmtId="0" fontId="8" fillId="0" borderId="18" xfId="7" applyFont="1" applyFill="1" applyBorder="1" applyAlignment="1">
      <alignment horizontal="center" vertical="center" wrapText="1"/>
    </xf>
    <xf numFmtId="0" fontId="5" fillId="0" borderId="0" xfId="8"/>
    <xf numFmtId="0" fontId="5" fillId="3" borderId="13" xfId="8" applyFill="1" applyBorder="1" applyAlignment="1">
      <alignment horizontal="center"/>
    </xf>
    <xf numFmtId="0" fontId="5" fillId="3" borderId="2" xfId="8" applyFill="1" applyBorder="1" applyAlignment="1">
      <alignment horizontal="center"/>
    </xf>
    <xf numFmtId="168" fontId="58" fillId="9" borderId="17" xfId="7" applyNumberFormat="1" applyFont="1" applyFill="1" applyBorder="1" applyAlignment="1">
      <alignment horizontal="center" vertical="center" wrapText="1" readingOrder="1"/>
    </xf>
    <xf numFmtId="168" fontId="51" fillId="10" borderId="2" xfId="4" applyNumberFormat="1" applyFont="1" applyFill="1" applyBorder="1" applyAlignment="1">
      <alignment horizontal="center" vertical="center" readingOrder="1"/>
    </xf>
    <xf numFmtId="168" fontId="51" fillId="3" borderId="2" xfId="4" applyNumberFormat="1" applyFont="1" applyFill="1" applyBorder="1" applyAlignment="1">
      <alignment horizontal="center" vertical="center" readingOrder="1"/>
    </xf>
    <xf numFmtId="168" fontId="126" fillId="3" borderId="18" xfId="4" applyNumberFormat="1" applyFont="1" applyFill="1" applyBorder="1" applyAlignment="1">
      <alignment horizontal="center" vertical="center" readingOrder="1"/>
    </xf>
    <xf numFmtId="168" fontId="81" fillId="14" borderId="2" xfId="4" applyNumberFormat="1" applyFont="1" applyFill="1" applyBorder="1" applyAlignment="1">
      <alignment horizontal="center" vertical="center" readingOrder="1"/>
    </xf>
    <xf numFmtId="168" fontId="81" fillId="3" borderId="2" xfId="4" applyNumberFormat="1" applyFont="1" applyFill="1" applyBorder="1" applyAlignment="1">
      <alignment horizontal="center" vertical="center" readingOrder="1"/>
    </xf>
    <xf numFmtId="168" fontId="127" fillId="18" borderId="2" xfId="4" applyNumberFormat="1" applyFont="1" applyFill="1" applyBorder="1" applyAlignment="1">
      <alignment horizontal="center" vertical="center" readingOrder="1"/>
    </xf>
    <xf numFmtId="168" fontId="81" fillId="18" borderId="2" xfId="4" applyNumberFormat="1" applyFont="1" applyFill="1" applyBorder="1" applyAlignment="1">
      <alignment horizontal="center" vertical="center" readingOrder="1"/>
    </xf>
    <xf numFmtId="168" fontId="51" fillId="9" borderId="2" xfId="4" applyNumberFormat="1" applyFont="1" applyFill="1" applyBorder="1" applyAlignment="1">
      <alignment horizontal="center" vertical="center" readingOrder="1"/>
    </xf>
    <xf numFmtId="168" fontId="51" fillId="3" borderId="2" xfId="4" applyNumberFormat="1" applyFont="1" applyFill="1" applyBorder="1" applyAlignment="1">
      <alignment horizontal="center" vertical="center"/>
    </xf>
    <xf numFmtId="168" fontId="126" fillId="3" borderId="18" xfId="4" applyNumberFormat="1" applyFont="1" applyFill="1" applyBorder="1" applyAlignment="1">
      <alignment horizontal="center" vertical="center"/>
    </xf>
    <xf numFmtId="168" fontId="125" fillId="3" borderId="2" xfId="4" applyNumberFormat="1" applyFont="1" applyFill="1" applyBorder="1" applyAlignment="1">
      <alignment horizontal="center" vertical="center" readingOrder="1"/>
    </xf>
    <xf numFmtId="166" fontId="128" fillId="8" borderId="2" xfId="8" applyNumberFormat="1" applyFont="1" applyFill="1" applyBorder="1" applyAlignment="1">
      <alignment vertical="center" readingOrder="1"/>
    </xf>
    <xf numFmtId="166" fontId="128" fillId="3" borderId="2" xfId="8" applyNumberFormat="1" applyFont="1" applyFill="1" applyBorder="1" applyAlignment="1">
      <alignment vertical="center" readingOrder="1"/>
    </xf>
    <xf numFmtId="0" fontId="5" fillId="3" borderId="0" xfId="8" applyFill="1"/>
    <xf numFmtId="0" fontId="129" fillId="9" borderId="0" xfId="7" applyNumberFormat="1" applyFont="1" applyFill="1" applyBorder="1" applyAlignment="1">
      <alignment horizontal="center" vertical="center" wrapText="1" readingOrder="1"/>
    </xf>
    <xf numFmtId="171" fontId="129" fillId="9" borderId="0" xfId="4" applyNumberFormat="1" applyFont="1" applyFill="1" applyBorder="1" applyAlignment="1">
      <alignment horizontal="center" vertical="center" wrapText="1" readingOrder="1"/>
    </xf>
    <xf numFmtId="0" fontId="93" fillId="9" borderId="0" xfId="7" applyNumberFormat="1" applyFont="1" applyFill="1" applyBorder="1" applyAlignment="1">
      <alignment horizontal="center" vertical="center" wrapText="1" readingOrder="1"/>
    </xf>
    <xf numFmtId="172" fontId="129" fillId="9" borderId="0" xfId="7" applyNumberFormat="1" applyFont="1" applyFill="1" applyBorder="1" applyAlignment="1">
      <alignment horizontal="center" vertical="center" wrapText="1" readingOrder="1"/>
    </xf>
    <xf numFmtId="0" fontId="93" fillId="9" borderId="20" xfId="7" applyNumberFormat="1" applyFont="1" applyFill="1" applyBorder="1" applyAlignment="1">
      <alignment vertical="center" wrapText="1" readingOrder="1"/>
    </xf>
    <xf numFmtId="0" fontId="93" fillId="9" borderId="6" xfId="7" applyNumberFormat="1" applyFont="1" applyFill="1" applyBorder="1" applyAlignment="1">
      <alignment horizontal="center" vertical="center" wrapText="1" readingOrder="1"/>
    </xf>
    <xf numFmtId="0" fontId="96" fillId="11" borderId="17" xfId="7" applyNumberFormat="1" applyFont="1" applyFill="1" applyBorder="1" applyAlignment="1">
      <alignment horizontal="center" vertical="center" wrapText="1" readingOrder="1"/>
    </xf>
    <xf numFmtId="0" fontId="54" fillId="5" borderId="2" xfId="7" applyFont="1" applyFill="1" applyBorder="1" applyAlignment="1">
      <alignment vertical="center" wrapText="1"/>
    </xf>
    <xf numFmtId="0" fontId="71" fillId="9" borderId="2" xfId="7" applyFont="1" applyFill="1" applyBorder="1" applyAlignment="1">
      <alignment vertical="center" wrapText="1"/>
    </xf>
    <xf numFmtId="0" fontId="93" fillId="9" borderId="5" xfId="7" applyNumberFormat="1" applyFont="1" applyFill="1" applyBorder="1" applyAlignment="1">
      <alignment vertical="center" wrapText="1" readingOrder="1"/>
    </xf>
    <xf numFmtId="0" fontId="131" fillId="5" borderId="0" xfId="7" applyFont="1" applyFill="1" applyBorder="1"/>
    <xf numFmtId="0" fontId="71" fillId="9" borderId="0" xfId="7" applyFont="1" applyFill="1" applyBorder="1"/>
    <xf numFmtId="0" fontId="132" fillId="9" borderId="0" xfId="7" applyFont="1" applyFill="1" applyBorder="1"/>
    <xf numFmtId="0" fontId="132" fillId="9" borderId="2" xfId="7" applyFont="1" applyFill="1" applyBorder="1" applyAlignment="1">
      <alignment horizontal="center" vertical="center" wrapText="1"/>
    </xf>
    <xf numFmtId="0" fontId="130" fillId="5" borderId="17" xfId="7" applyNumberFormat="1" applyFont="1" applyFill="1" applyBorder="1" applyAlignment="1">
      <alignment horizontal="center" vertical="center" wrapText="1" readingOrder="1"/>
    </xf>
    <xf numFmtId="0" fontId="130" fillId="5" borderId="6" xfId="7" applyNumberFormat="1" applyFont="1" applyFill="1" applyBorder="1" applyAlignment="1">
      <alignment horizontal="center" vertical="center" wrapText="1" readingOrder="1"/>
    </xf>
    <xf numFmtId="0" fontId="131" fillId="5" borderId="6" xfId="7" applyFont="1" applyFill="1" applyBorder="1" applyAlignment="1">
      <alignment horizontal="center" vertical="center" wrapText="1"/>
    </xf>
    <xf numFmtId="0" fontId="71" fillId="9" borderId="2" xfId="7" applyFont="1" applyFill="1" applyBorder="1" applyAlignment="1">
      <alignment horizontal="center" vertical="center" wrapText="1"/>
    </xf>
    <xf numFmtId="0" fontId="2" fillId="9" borderId="17" xfId="8" applyFont="1" applyFill="1" applyBorder="1" applyAlignment="1">
      <alignment horizontal="center" vertical="center" wrapText="1"/>
    </xf>
    <xf numFmtId="0" fontId="2" fillId="9" borderId="2" xfId="8" applyFont="1" applyFill="1" applyBorder="1" applyAlignment="1">
      <alignment horizontal="center" vertical="center" wrapText="1"/>
    </xf>
    <xf numFmtId="0" fontId="52" fillId="5" borderId="2" xfId="7" applyFont="1" applyFill="1" applyBorder="1" applyAlignment="1">
      <alignment horizontal="center" vertical="center" wrapText="1"/>
    </xf>
    <xf numFmtId="0" fontId="93" fillId="12" borderId="2" xfId="7" applyNumberFormat="1" applyFont="1" applyFill="1" applyBorder="1" applyAlignment="1">
      <alignment horizontal="left" vertical="center" wrapText="1" readingOrder="1"/>
    </xf>
    <xf numFmtId="0" fontId="93" fillId="9" borderId="2" xfId="7" applyNumberFormat="1" applyFont="1" applyFill="1" applyBorder="1" applyAlignment="1">
      <alignment horizontal="left" vertical="center" wrapText="1" readingOrder="1"/>
    </xf>
    <xf numFmtId="0" fontId="130" fillId="10" borderId="2" xfId="7" applyNumberFormat="1" applyFont="1" applyFill="1" applyBorder="1" applyAlignment="1">
      <alignment horizontal="left" vertical="center" wrapText="1" readingOrder="1"/>
    </xf>
    <xf numFmtId="0" fontId="85" fillId="0" borderId="2" xfId="7" applyNumberFormat="1" applyFont="1" applyFill="1" applyBorder="1" applyAlignment="1">
      <alignment horizontal="left" vertical="center" wrapText="1" readingOrder="1"/>
    </xf>
    <xf numFmtId="0" fontId="85" fillId="14" borderId="23" xfId="7" applyNumberFormat="1" applyFont="1" applyFill="1" applyBorder="1" applyAlignment="1">
      <alignment horizontal="left" vertical="center" wrapText="1" readingOrder="1"/>
    </xf>
    <xf numFmtId="0" fontId="85" fillId="14" borderId="30" xfId="7" applyNumberFormat="1" applyFont="1" applyFill="1" applyBorder="1" applyAlignment="1">
      <alignment horizontal="left" vertical="center" wrapText="1" readingOrder="1"/>
    </xf>
    <xf numFmtId="0" fontId="93" fillId="18" borderId="2" xfId="7" applyNumberFormat="1" applyFont="1" applyFill="1" applyBorder="1" applyAlignment="1">
      <alignment horizontal="left" vertical="center" wrapText="1" readingOrder="1"/>
    </xf>
    <xf numFmtId="0" fontId="133" fillId="9" borderId="2" xfId="7" applyNumberFormat="1" applyFont="1" applyFill="1" applyBorder="1" applyAlignment="1">
      <alignment horizontal="left" vertical="center" wrapText="1" readingOrder="1"/>
    </xf>
    <xf numFmtId="0" fontId="133" fillId="10" borderId="2" xfId="7" applyNumberFormat="1" applyFont="1" applyFill="1" applyBorder="1" applyAlignment="1">
      <alignment horizontal="left" vertical="center" wrapText="1" readingOrder="1"/>
    </xf>
    <xf numFmtId="0" fontId="133" fillId="3" borderId="2" xfId="7" applyNumberFormat="1" applyFont="1" applyFill="1" applyBorder="1" applyAlignment="1">
      <alignment horizontal="left" vertical="center" wrapText="1" readingOrder="1"/>
    </xf>
    <xf numFmtId="0" fontId="96" fillId="3" borderId="2" xfId="7" applyNumberFormat="1" applyFont="1" applyFill="1" applyBorder="1" applyAlignment="1">
      <alignment horizontal="left" vertical="center" wrapText="1" readingOrder="1"/>
    </xf>
    <xf numFmtId="0" fontId="93" fillId="14" borderId="22" xfId="7" applyNumberFormat="1" applyFont="1" applyFill="1" applyBorder="1" applyAlignment="1">
      <alignment horizontal="left" vertical="center" wrapText="1" readingOrder="1"/>
    </xf>
    <xf numFmtId="0" fontId="133" fillId="18" borderId="2" xfId="7" applyNumberFormat="1" applyFont="1" applyFill="1" applyBorder="1" applyAlignment="1">
      <alignment horizontal="left" vertical="center" wrapText="1" readingOrder="1"/>
    </xf>
    <xf numFmtId="0" fontId="76" fillId="14" borderId="2" xfId="7" applyNumberFormat="1" applyFont="1" applyFill="1" applyBorder="1" applyAlignment="1">
      <alignment horizontal="left" vertical="center" wrapText="1" readingOrder="1"/>
    </xf>
    <xf numFmtId="49" fontId="134" fillId="9" borderId="2" xfId="7" applyNumberFormat="1" applyFont="1" applyFill="1" applyBorder="1" applyAlignment="1">
      <alignment horizontal="center" vertical="center" wrapText="1" readingOrder="1"/>
    </xf>
    <xf numFmtId="49" fontId="85" fillId="9" borderId="2" xfId="7" applyNumberFormat="1" applyFont="1" applyFill="1" applyBorder="1" applyAlignment="1">
      <alignment horizontal="center" vertical="center" wrapText="1" readingOrder="1"/>
    </xf>
    <xf numFmtId="49" fontId="134" fillId="3" borderId="2" xfId="7" applyNumberFormat="1" applyFont="1" applyFill="1" applyBorder="1" applyAlignment="1">
      <alignment horizontal="center" vertical="center" wrapText="1" readingOrder="1"/>
    </xf>
    <xf numFmtId="49" fontId="85" fillId="0" borderId="2" xfId="7" applyNumberFormat="1" applyFont="1" applyFill="1" applyBorder="1" applyAlignment="1">
      <alignment horizontal="center" vertical="center" wrapText="1" readingOrder="1"/>
    </xf>
    <xf numFmtId="49" fontId="76" fillId="12"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vertical="center" wrapText="1" readingOrder="1"/>
    </xf>
    <xf numFmtId="0" fontId="85" fillId="10" borderId="2" xfId="7" applyNumberFormat="1" applyFont="1" applyFill="1" applyBorder="1" applyAlignment="1">
      <alignment horizontal="center" vertical="center" wrapText="1" readingOrder="1"/>
    </xf>
    <xf numFmtId="0" fontId="85" fillId="10" borderId="2" xfId="7" applyNumberFormat="1" applyFont="1" applyFill="1" applyBorder="1" applyAlignment="1">
      <alignment vertical="center" wrapText="1" readingOrder="1"/>
    </xf>
    <xf numFmtId="49" fontId="85" fillId="10" borderId="2" xfId="7" applyNumberFormat="1" applyFont="1" applyFill="1" applyBorder="1" applyAlignment="1">
      <alignment horizontal="center" vertical="center" wrapText="1" readingOrder="1"/>
    </xf>
    <xf numFmtId="39" fontId="98" fillId="3" borderId="2" xfId="7" applyNumberFormat="1" applyFont="1" applyFill="1" applyBorder="1" applyAlignment="1">
      <alignment horizontal="center" vertical="center" wrapText="1"/>
    </xf>
    <xf numFmtId="168" fontId="51" fillId="3" borderId="18" xfId="4" applyNumberFormat="1" applyFont="1" applyFill="1" applyBorder="1" applyAlignment="1">
      <alignment horizontal="center" vertical="center" readingOrder="1"/>
    </xf>
    <xf numFmtId="168" fontId="125" fillId="20" borderId="2" xfId="4" applyNumberFormat="1" applyFont="1" applyFill="1" applyBorder="1" applyAlignment="1">
      <alignment horizontal="center" vertical="center" readingOrder="1"/>
    </xf>
    <xf numFmtId="168" fontId="126" fillId="20" borderId="18" xfId="4" applyNumberFormat="1" applyFont="1" applyFill="1" applyBorder="1" applyAlignment="1">
      <alignment horizontal="center" vertical="center" readingOrder="1"/>
    </xf>
    <xf numFmtId="0" fontId="100" fillId="20" borderId="2" xfId="7" applyNumberFormat="1" applyFont="1" applyFill="1" applyBorder="1" applyAlignment="1">
      <alignment horizontal="left" vertical="center" wrapText="1" readingOrder="1"/>
    </xf>
    <xf numFmtId="0" fontId="136" fillId="3" borderId="2" xfId="7" applyNumberFormat="1" applyFont="1" applyFill="1" applyBorder="1" applyAlignment="1">
      <alignment horizontal="left" vertical="center" wrapText="1" readingOrder="1"/>
    </xf>
    <xf numFmtId="168" fontId="137" fillId="20" borderId="18" xfId="4" applyNumberFormat="1" applyFont="1" applyFill="1" applyBorder="1" applyAlignment="1">
      <alignment horizontal="center" vertical="center" readingOrder="1"/>
    </xf>
    <xf numFmtId="39" fontId="97" fillId="4" borderId="2" xfId="7" applyNumberFormat="1" applyFont="1" applyFill="1" applyBorder="1" applyAlignment="1">
      <alignment horizontal="right" vertical="center"/>
    </xf>
    <xf numFmtId="10" fontId="51" fillId="4" borderId="2" xfId="9" applyNumberFormat="1" applyFont="1" applyFill="1" applyBorder="1" applyAlignment="1">
      <alignment horizontal="center" vertical="center" wrapText="1"/>
    </xf>
    <xf numFmtId="0" fontId="135" fillId="4" borderId="0" xfId="0" applyFont="1" applyFill="1"/>
    <xf numFmtId="44" fontId="103" fillId="20" borderId="2" xfId="5" applyFont="1" applyFill="1" applyBorder="1" applyAlignment="1">
      <alignment horizontal="right" vertical="center" wrapText="1"/>
    </xf>
    <xf numFmtId="39" fontId="101" fillId="20" borderId="2" xfId="7" applyNumberFormat="1" applyFont="1" applyFill="1" applyBorder="1" applyAlignment="1">
      <alignment horizontal="right" vertical="center" wrapText="1" readingOrder="1"/>
    </xf>
    <xf numFmtId="164" fontId="50" fillId="3" borderId="2" xfId="11" applyFont="1" applyFill="1" applyBorder="1" applyAlignment="1">
      <alignment horizontal="center" vertical="center" wrapText="1"/>
    </xf>
    <xf numFmtId="10" fontId="142" fillId="3" borderId="2" xfId="9" applyNumberFormat="1" applyFont="1" applyFill="1" applyBorder="1" applyAlignment="1">
      <alignment horizontal="center" vertical="center" wrapText="1"/>
    </xf>
    <xf numFmtId="170" fontId="40" fillId="0" borderId="2" xfId="2" applyNumberFormat="1" applyFont="1" applyFill="1" applyBorder="1" applyAlignment="1">
      <alignment horizontal="right" vertical="center" wrapText="1"/>
    </xf>
    <xf numFmtId="0" fontId="40" fillId="0" borderId="2"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2" xfId="0" applyFont="1" applyFill="1" applyBorder="1" applyAlignment="1">
      <alignment horizontal="left" vertical="center" wrapText="1"/>
    </xf>
    <xf numFmtId="14" fontId="40" fillId="0" borderId="2" xfId="0" applyNumberFormat="1" applyFont="1" applyFill="1" applyBorder="1" applyAlignment="1">
      <alignment horizontal="center" vertical="center" wrapText="1"/>
    </xf>
    <xf numFmtId="44" fontId="40" fillId="0" borderId="2" xfId="5" applyNumberFormat="1"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 xfId="0" applyFont="1" applyFill="1" applyBorder="1" applyAlignment="1">
      <alignment horizontal="left" vertical="center" wrapText="1"/>
    </xf>
    <xf numFmtId="170" fontId="41" fillId="0" borderId="2" xfId="2" applyNumberFormat="1" applyFont="1" applyFill="1" applyBorder="1" applyAlignment="1">
      <alignment horizontal="right" vertical="center" wrapText="1"/>
    </xf>
    <xf numFmtId="0" fontId="42" fillId="0" borderId="2" xfId="0" applyFont="1" applyFill="1" applyBorder="1" applyAlignment="1">
      <alignment horizontal="center" vertical="center" wrapText="1"/>
    </xf>
    <xf numFmtId="0" fontId="135" fillId="0" borderId="0" xfId="0" applyFont="1" applyFill="1"/>
    <xf numFmtId="0" fontId="45" fillId="0" borderId="2" xfId="0" applyFont="1" applyFill="1" applyBorder="1" applyAlignment="1">
      <alignment horizontal="center" vertical="center" wrapText="1"/>
    </xf>
    <xf numFmtId="0" fontId="46" fillId="0" borderId="0" xfId="1" applyFont="1" applyFill="1" applyBorder="1" applyAlignment="1">
      <alignment horizontal="center" vertical="center" wrapText="1"/>
    </xf>
    <xf numFmtId="39" fontId="88" fillId="24" borderId="2" xfId="7" applyNumberFormat="1" applyFont="1" applyFill="1" applyBorder="1" applyAlignment="1">
      <alignment horizontal="right" vertical="center" wrapText="1" readingOrder="1"/>
    </xf>
    <xf numFmtId="39" fontId="88" fillId="23" borderId="2" xfId="7" applyNumberFormat="1" applyFont="1" applyFill="1" applyBorder="1" applyAlignment="1">
      <alignment horizontal="right" vertical="center" wrapText="1" readingOrder="1"/>
    </xf>
    <xf numFmtId="39" fontId="44" fillId="4" borderId="2" xfId="7" applyNumberFormat="1" applyFont="1" applyFill="1" applyBorder="1" applyAlignment="1">
      <alignment horizontal="right" vertical="center"/>
    </xf>
    <xf numFmtId="0" fontId="0" fillId="4" borderId="0" xfId="0" applyFill="1"/>
    <xf numFmtId="10" fontId="50" fillId="3" borderId="0" xfId="7" applyNumberFormat="1" applyFont="1" applyFill="1" applyBorder="1" applyAlignment="1">
      <alignment horizontal="center" vertical="center"/>
    </xf>
    <xf numFmtId="168" fontId="87" fillId="3" borderId="18" xfId="4" applyNumberFormat="1" applyFont="1" applyFill="1" applyBorder="1" applyAlignment="1">
      <alignment horizontal="center" vertical="center"/>
    </xf>
    <xf numFmtId="39" fontId="82" fillId="3" borderId="2" xfId="7" applyNumberFormat="1" applyFont="1" applyFill="1" applyBorder="1" applyAlignment="1">
      <alignment horizontal="right" vertical="center" wrapText="1" readingOrder="1"/>
    </xf>
    <xf numFmtId="0" fontId="82" fillId="17" borderId="21" xfId="7" applyNumberFormat="1" applyFont="1" applyFill="1" applyBorder="1" applyAlignment="1">
      <alignment horizontal="center" vertical="center" wrapText="1" readingOrder="1"/>
    </xf>
    <xf numFmtId="39" fontId="44" fillId="3" borderId="2" xfId="7" applyNumberFormat="1" applyFont="1" applyFill="1" applyBorder="1" applyAlignment="1">
      <alignment horizontal="right" vertical="center" wrapText="1" readingOrder="1"/>
    </xf>
    <xf numFmtId="10" fontId="44" fillId="3" borderId="2" xfId="9" applyNumberFormat="1" applyFont="1" applyFill="1" applyBorder="1" applyAlignment="1">
      <alignment horizontal="center" vertical="center"/>
    </xf>
    <xf numFmtId="39" fontId="44" fillId="13" borderId="2" xfId="7" applyNumberFormat="1" applyFont="1" applyFill="1" applyBorder="1" applyAlignment="1">
      <alignment horizontal="right" vertical="center"/>
    </xf>
    <xf numFmtId="39" fontId="44" fillId="13" borderId="2" xfId="7" applyNumberFormat="1" applyFont="1" applyFill="1" applyBorder="1" applyAlignment="1">
      <alignment horizontal="center" vertical="center" wrapText="1"/>
    </xf>
    <xf numFmtId="39" fontId="44" fillId="3" borderId="4" xfId="7" applyNumberFormat="1" applyFont="1" applyFill="1" applyBorder="1" applyAlignment="1">
      <alignment horizontal="right" vertical="center"/>
    </xf>
    <xf numFmtId="10" fontId="44" fillId="0" borderId="2" xfId="7" applyNumberFormat="1" applyFont="1" applyFill="1" applyBorder="1" applyAlignment="1">
      <alignment horizontal="center" vertical="center"/>
    </xf>
    <xf numFmtId="0" fontId="50" fillId="3" borderId="2" xfId="7" applyFont="1" applyFill="1" applyBorder="1"/>
    <xf numFmtId="10" fontId="50" fillId="3" borderId="2" xfId="7" applyNumberFormat="1" applyFont="1" applyFill="1" applyBorder="1" applyAlignment="1">
      <alignment horizontal="center" vertical="center" wrapText="1"/>
    </xf>
    <xf numFmtId="0" fontId="50" fillId="17" borderId="0" xfId="7" applyFont="1" applyFill="1" applyBorder="1"/>
    <xf numFmtId="0" fontId="49" fillId="17" borderId="0" xfId="7" applyFont="1" applyFill="1" applyBorder="1"/>
    <xf numFmtId="0" fontId="51" fillId="17" borderId="0" xfId="7" applyFont="1" applyFill="1" applyBorder="1" applyAlignment="1">
      <alignment horizontal="center" vertical="center"/>
    </xf>
    <xf numFmtId="39" fontId="101" fillId="3" borderId="2" xfId="7" applyNumberFormat="1" applyFont="1" applyFill="1" applyBorder="1" applyAlignment="1">
      <alignment horizontal="right" vertical="center" wrapText="1" readingOrder="1"/>
    </xf>
    <xf numFmtId="39" fontId="85" fillId="19" borderId="2" xfId="7" applyNumberFormat="1" applyFont="1" applyFill="1" applyBorder="1" applyAlignment="1">
      <alignment horizontal="right" vertical="center" wrapText="1" readingOrder="1"/>
    </xf>
    <xf numFmtId="39" fontId="102" fillId="19" borderId="2" xfId="7" applyNumberFormat="1" applyFont="1" applyFill="1" applyBorder="1" applyAlignment="1">
      <alignment horizontal="right" vertical="center" wrapText="1" readingOrder="1"/>
    </xf>
    <xf numFmtId="39" fontId="44" fillId="5" borderId="2" xfId="7" applyNumberFormat="1" applyFont="1" applyFill="1" applyBorder="1" applyAlignment="1">
      <alignment horizontal="right" vertical="center"/>
    </xf>
    <xf numFmtId="39" fontId="44" fillId="3" borderId="2" xfId="7" applyNumberFormat="1" applyFont="1" applyFill="1" applyBorder="1" applyAlignment="1">
      <alignment horizontal="right" vertical="center"/>
    </xf>
    <xf numFmtId="39" fontId="44" fillId="20" borderId="2" xfId="7" applyNumberFormat="1" applyFont="1" applyFill="1" applyBorder="1" applyAlignment="1">
      <alignment horizontal="right" vertical="center" wrapText="1" readingOrder="1"/>
    </xf>
    <xf numFmtId="39" fontId="44" fillId="7" borderId="2" xfId="7" applyNumberFormat="1" applyFont="1" applyFill="1" applyBorder="1" applyAlignment="1">
      <alignment horizontal="right" vertical="center"/>
    </xf>
    <xf numFmtId="175" fontId="50" fillId="17" borderId="0" xfId="7" applyNumberFormat="1" applyFont="1" applyFill="1" applyBorder="1"/>
    <xf numFmtId="0" fontId="5" fillId="0" borderId="0" xfId="8"/>
    <xf numFmtId="0" fontId="133" fillId="3" borderId="2" xfId="7" applyNumberFormat="1" applyFont="1" applyFill="1" applyBorder="1" applyAlignment="1">
      <alignment horizontal="left" vertical="center" wrapText="1" readingOrder="1"/>
    </xf>
    <xf numFmtId="49" fontId="85" fillId="3" borderId="2" xfId="7" applyNumberFormat="1" applyFont="1" applyFill="1" applyBorder="1" applyAlignment="1">
      <alignment horizontal="center" vertical="center" wrapText="1" readingOrder="1"/>
    </xf>
    <xf numFmtId="168" fontId="53" fillId="4" borderId="2" xfId="4" applyNumberFormat="1" applyFont="1" applyFill="1" applyBorder="1" applyAlignment="1">
      <alignment horizontal="center" vertical="center"/>
    </xf>
    <xf numFmtId="0" fontId="0" fillId="0" borderId="0" xfId="0" applyFill="1"/>
    <xf numFmtId="0" fontId="39" fillId="0" borderId="2" xfId="0" applyFont="1" applyFill="1" applyBorder="1" applyAlignment="1">
      <alignment horizontal="center" vertical="center" wrapText="1"/>
    </xf>
    <xf numFmtId="0" fontId="39" fillId="0" borderId="17" xfId="0" applyFont="1" applyFill="1" applyBorder="1" applyAlignment="1">
      <alignment horizontal="center" vertical="center" wrapText="1"/>
    </xf>
    <xf numFmtId="0" fontId="40" fillId="4" borderId="2" xfId="0" applyFont="1" applyFill="1" applyBorder="1" applyAlignment="1">
      <alignment horizontal="center" vertical="center" wrapText="1"/>
    </xf>
    <xf numFmtId="49" fontId="129" fillId="9" borderId="0" xfId="7" applyNumberFormat="1" applyFont="1" applyFill="1" applyBorder="1" applyAlignment="1">
      <alignment horizontal="center" vertical="center" wrapText="1" readingOrder="1"/>
    </xf>
    <xf numFmtId="49" fontId="93" fillId="9" borderId="17" xfId="7" applyNumberFormat="1" applyFont="1" applyFill="1" applyBorder="1" applyAlignment="1">
      <alignment horizontal="center" vertical="center" wrapText="1" readingOrder="1"/>
    </xf>
    <xf numFmtId="49" fontId="57" fillId="3" borderId="0" xfId="7" applyNumberFormat="1" applyFont="1" applyFill="1" applyBorder="1" applyAlignment="1">
      <alignment horizontal="center" vertical="center" wrapText="1" readingOrder="1"/>
    </xf>
    <xf numFmtId="49" fontId="57" fillId="3" borderId="17" xfId="7" applyNumberFormat="1" applyFont="1" applyFill="1" applyBorder="1" applyAlignment="1">
      <alignment horizontal="center" vertical="center" wrapText="1" readingOrder="1"/>
    </xf>
    <xf numFmtId="49" fontId="66" fillId="14" borderId="23" xfId="7" applyNumberFormat="1" applyFont="1" applyFill="1" applyBorder="1" applyAlignment="1">
      <alignment horizontal="center" vertical="center" wrapText="1" readingOrder="1"/>
    </xf>
    <xf numFmtId="49" fontId="66" fillId="14" borderId="30" xfId="7" applyNumberFormat="1" applyFont="1" applyFill="1" applyBorder="1" applyAlignment="1">
      <alignment horizontal="center" vertical="center" wrapText="1" readingOrder="1"/>
    </xf>
    <xf numFmtId="49" fontId="85" fillId="3" borderId="2" xfId="7" applyNumberFormat="1" applyFont="1" applyFill="1" applyBorder="1" applyAlignment="1">
      <alignment vertical="center" wrapText="1" readingOrder="1"/>
    </xf>
    <xf numFmtId="49" fontId="85" fillId="9" borderId="2" xfId="7" applyNumberFormat="1" applyFont="1" applyFill="1" applyBorder="1" applyAlignment="1">
      <alignment vertical="center" wrapText="1" readingOrder="1"/>
    </xf>
    <xf numFmtId="49" fontId="85" fillId="10" borderId="2" xfId="7" applyNumberFormat="1" applyFont="1" applyFill="1" applyBorder="1" applyAlignment="1">
      <alignment vertical="center" wrapText="1" readingOrder="1"/>
    </xf>
    <xf numFmtId="49" fontId="76" fillId="14" borderId="2" xfId="7" applyNumberFormat="1" applyFont="1" applyFill="1" applyBorder="1" applyAlignment="1">
      <alignment horizontal="center" vertical="center" wrapText="1" readingOrder="1"/>
    </xf>
    <xf numFmtId="49" fontId="76" fillId="14" borderId="2" xfId="7" applyNumberFormat="1" applyFont="1" applyFill="1" applyBorder="1" applyAlignment="1">
      <alignment vertical="center" wrapText="1" readingOrder="1"/>
    </xf>
    <xf numFmtId="49" fontId="85" fillId="17" borderId="2" xfId="7" applyNumberFormat="1" applyFont="1" applyFill="1" applyBorder="1" applyAlignment="1">
      <alignment horizontal="center" vertical="center" wrapText="1" readingOrder="1"/>
    </xf>
    <xf numFmtId="49" fontId="112" fillId="8" borderId="2" xfId="7" applyNumberFormat="1" applyFont="1" applyFill="1" applyBorder="1" applyAlignment="1">
      <alignment horizontal="center" vertical="center" wrapText="1" readingOrder="1"/>
    </xf>
    <xf numFmtId="49" fontId="66" fillId="0" borderId="2" xfId="7" applyNumberFormat="1" applyFont="1" applyFill="1" applyBorder="1" applyAlignment="1">
      <alignment horizontal="center" vertical="center" wrapText="1" readingOrder="1"/>
    </xf>
    <xf numFmtId="49" fontId="98" fillId="23" borderId="2" xfId="7" applyNumberFormat="1" applyFont="1" applyFill="1" applyBorder="1" applyAlignment="1">
      <alignment horizontal="center" vertical="center" wrapText="1" readingOrder="1"/>
    </xf>
    <xf numFmtId="49" fontId="114" fillId="23" borderId="2" xfId="7" applyNumberFormat="1" applyFont="1" applyFill="1" applyBorder="1" applyAlignment="1">
      <alignment horizontal="center" vertical="center" wrapText="1" readingOrder="1"/>
    </xf>
    <xf numFmtId="49" fontId="88" fillId="23" borderId="2" xfId="7" applyNumberFormat="1" applyFont="1" applyFill="1" applyBorder="1" applyAlignment="1">
      <alignment horizontal="center" vertical="center" wrapText="1" readingOrder="1"/>
    </xf>
    <xf numFmtId="49" fontId="117" fillId="0" borderId="2" xfId="7" applyNumberFormat="1" applyFont="1" applyFill="1" applyBorder="1" applyAlignment="1">
      <alignment horizontal="center" vertical="center" wrapText="1" readingOrder="1"/>
    </xf>
    <xf numFmtId="49" fontId="8" fillId="0" borderId="0" xfId="7" applyNumberFormat="1" applyFont="1" applyFill="1" applyBorder="1"/>
    <xf numFmtId="49" fontId="8" fillId="5" borderId="0" xfId="7" applyNumberFormat="1" applyFont="1" applyFill="1" applyBorder="1"/>
    <xf numFmtId="39" fontId="85" fillId="4" borderId="2" xfId="7" applyNumberFormat="1" applyFont="1" applyFill="1" applyBorder="1" applyAlignment="1">
      <alignment horizontal="right" vertical="center" wrapText="1" readingOrder="1"/>
    </xf>
    <xf numFmtId="168" fontId="79" fillId="3" borderId="18" xfId="4" applyNumberFormat="1" applyFont="1" applyFill="1" applyBorder="1" applyAlignment="1">
      <alignment horizontal="center" vertical="center"/>
    </xf>
    <xf numFmtId="174" fontId="144" fillId="3" borderId="2" xfId="7" applyNumberFormat="1" applyFont="1" applyFill="1" applyBorder="1" applyAlignment="1">
      <alignment vertical="center" wrapText="1" readingOrder="1"/>
    </xf>
    <xf numFmtId="0" fontId="83" fillId="29" borderId="2" xfId="7" applyNumberFormat="1" applyFont="1" applyFill="1" applyBorder="1" applyAlignment="1">
      <alignment horizontal="center" vertical="center" wrapText="1" readingOrder="1"/>
    </xf>
    <xf numFmtId="49" fontId="83" fillId="29" borderId="2" xfId="7" applyNumberFormat="1" applyFont="1" applyFill="1" applyBorder="1" applyAlignment="1">
      <alignment horizontal="center" vertical="center" wrapText="1" readingOrder="1"/>
    </xf>
    <xf numFmtId="0" fontId="83" fillId="29" borderId="2" xfId="7" applyNumberFormat="1" applyFont="1" applyFill="1" applyBorder="1" applyAlignment="1">
      <alignment vertical="center" wrapText="1" readingOrder="1"/>
    </xf>
    <xf numFmtId="168" fontId="51" fillId="29" borderId="2" xfId="4" applyNumberFormat="1" applyFont="1" applyFill="1" applyBorder="1" applyAlignment="1">
      <alignment horizontal="center" vertical="center" wrapText="1" readingOrder="1"/>
    </xf>
    <xf numFmtId="0" fontId="5" fillId="29" borderId="0" xfId="8" applyFill="1"/>
    <xf numFmtId="0" fontId="85" fillId="29" borderId="2" xfId="7" applyNumberFormat="1" applyFont="1" applyFill="1" applyBorder="1" applyAlignment="1">
      <alignment horizontal="center" vertical="center" wrapText="1" readingOrder="1"/>
    </xf>
    <xf numFmtId="0" fontId="100" fillId="29" borderId="2" xfId="7" applyNumberFormat="1" applyFont="1" applyFill="1" applyBorder="1" applyAlignment="1">
      <alignment horizontal="left" vertical="center" wrapText="1" readingOrder="1"/>
    </xf>
    <xf numFmtId="49" fontId="85" fillId="29" borderId="2" xfId="7" applyNumberFormat="1" applyFont="1" applyFill="1" applyBorder="1" applyAlignment="1">
      <alignment horizontal="center" vertical="center" wrapText="1" readingOrder="1"/>
    </xf>
    <xf numFmtId="49" fontId="85" fillId="29" borderId="2" xfId="7" applyNumberFormat="1" applyFont="1" applyFill="1" applyBorder="1" applyAlignment="1">
      <alignment vertical="center" wrapText="1" readingOrder="1"/>
    </xf>
    <xf numFmtId="0" fontId="133" fillId="29" borderId="2" xfId="7" applyNumberFormat="1" applyFont="1" applyFill="1" applyBorder="1" applyAlignment="1">
      <alignment horizontal="left" vertical="center" wrapText="1" readingOrder="1"/>
    </xf>
    <xf numFmtId="49" fontId="85" fillId="29" borderId="4" xfId="7" applyNumberFormat="1" applyFont="1" applyFill="1" applyBorder="1" applyAlignment="1">
      <alignment horizontal="center" vertical="center" wrapText="1" readingOrder="1"/>
    </xf>
    <xf numFmtId="49" fontId="85" fillId="29" borderId="20" xfId="7" applyNumberFormat="1" applyFont="1" applyFill="1" applyBorder="1" applyAlignment="1">
      <alignment horizontal="center" vertical="center" wrapText="1" readingOrder="1"/>
    </xf>
    <xf numFmtId="49" fontId="85" fillId="29" borderId="20" xfId="7" applyNumberFormat="1" applyFont="1" applyFill="1" applyBorder="1" applyAlignment="1">
      <alignment vertical="center" wrapText="1" readingOrder="1"/>
    </xf>
    <xf numFmtId="0" fontId="133" fillId="29" borderId="5" xfId="7" applyNumberFormat="1" applyFont="1" applyFill="1" applyBorder="1" applyAlignment="1">
      <alignment horizontal="left" vertical="center" wrapText="1" readingOrder="1"/>
    </xf>
    <xf numFmtId="49" fontId="96" fillId="3" borderId="2" xfId="7" applyNumberFormat="1" applyFont="1" applyFill="1" applyBorder="1" applyAlignment="1">
      <alignment vertical="center" wrapText="1" readingOrder="1"/>
    </xf>
    <xf numFmtId="164" fontId="58" fillId="9" borderId="17" xfId="11" applyFont="1" applyFill="1" applyBorder="1" applyAlignment="1">
      <alignment horizontal="center" vertical="center" wrapText="1" readingOrder="1"/>
    </xf>
    <xf numFmtId="164" fontId="5" fillId="0" borderId="0" xfId="11" applyFont="1"/>
    <xf numFmtId="164" fontId="144" fillId="3" borderId="2" xfId="11" applyFont="1" applyFill="1" applyBorder="1" applyAlignment="1">
      <alignment vertical="center" wrapText="1" readingOrder="1"/>
    </xf>
    <xf numFmtId="164" fontId="58" fillId="3" borderId="17" xfId="11" applyFont="1" applyFill="1" applyBorder="1" applyAlignment="1">
      <alignment horizontal="center" vertical="center" wrapText="1" readingOrder="1"/>
    </xf>
    <xf numFmtId="0" fontId="145" fillId="3" borderId="13" xfId="8" applyFont="1" applyFill="1" applyBorder="1" applyAlignment="1">
      <alignment horizontal="center"/>
    </xf>
    <xf numFmtId="0" fontId="145" fillId="3" borderId="2" xfId="8" applyFont="1" applyFill="1" applyBorder="1" applyAlignment="1">
      <alignment horizontal="center"/>
    </xf>
    <xf numFmtId="164" fontId="146" fillId="3" borderId="2" xfId="11" applyFont="1" applyFill="1" applyBorder="1" applyAlignment="1">
      <alignment horizontal="center" vertical="center" wrapText="1" readingOrder="1"/>
    </xf>
    <xf numFmtId="164" fontId="146" fillId="3" borderId="2" xfId="11" applyFont="1" applyFill="1" applyBorder="1" applyAlignment="1">
      <alignment horizontal="center" vertical="center" readingOrder="1"/>
    </xf>
    <xf numFmtId="168" fontId="146" fillId="3" borderId="2" xfId="4" applyNumberFormat="1" applyFont="1" applyFill="1" applyBorder="1" applyAlignment="1">
      <alignment horizontal="center" vertical="center" readingOrder="1"/>
    </xf>
    <xf numFmtId="164" fontId="146" fillId="29" borderId="2" xfId="11" applyFont="1" applyFill="1" applyBorder="1" applyAlignment="1">
      <alignment horizontal="center" vertical="center" wrapText="1" readingOrder="1"/>
    </xf>
    <xf numFmtId="164" fontId="146" fillId="29" borderId="2" xfId="11" applyFont="1" applyFill="1" applyBorder="1" applyAlignment="1">
      <alignment horizontal="center" vertical="center" readingOrder="1"/>
    </xf>
    <xf numFmtId="168" fontId="146" fillId="29" borderId="2" xfId="4" applyNumberFormat="1" applyFont="1" applyFill="1" applyBorder="1" applyAlignment="1">
      <alignment horizontal="center" vertical="center" readingOrder="1"/>
    </xf>
    <xf numFmtId="168" fontId="147" fillId="3" borderId="18" xfId="4" applyNumberFormat="1" applyFont="1" applyFill="1" applyBorder="1" applyAlignment="1">
      <alignment horizontal="center" vertical="center" readingOrder="1"/>
    </xf>
    <xf numFmtId="164" fontId="147" fillId="3" borderId="18" xfId="11" applyFont="1" applyFill="1" applyBorder="1" applyAlignment="1">
      <alignment horizontal="center" vertical="center" readingOrder="1"/>
    </xf>
    <xf numFmtId="168" fontId="147" fillId="3" borderId="2" xfId="4" applyNumberFormat="1" applyFont="1" applyFill="1" applyBorder="1" applyAlignment="1">
      <alignment horizontal="center" vertical="center" readingOrder="1"/>
    </xf>
    <xf numFmtId="164" fontId="147" fillId="3" borderId="2" xfId="11" applyFont="1" applyFill="1" applyBorder="1" applyAlignment="1">
      <alignment horizontal="center" vertical="center" readingOrder="1"/>
    </xf>
    <xf numFmtId="164" fontId="147" fillId="29" borderId="2" xfId="11" applyFont="1" applyFill="1" applyBorder="1" applyAlignment="1">
      <alignment horizontal="center" vertical="center" readingOrder="1"/>
    </xf>
    <xf numFmtId="168" fontId="147" fillId="29" borderId="2" xfId="4" applyNumberFormat="1" applyFont="1" applyFill="1" applyBorder="1" applyAlignment="1">
      <alignment horizontal="center" vertical="center" readingOrder="1"/>
    </xf>
    <xf numFmtId="164" fontId="148" fillId="3" borderId="2" xfId="11" applyFont="1" applyFill="1" applyBorder="1" applyAlignment="1">
      <alignment horizontal="center" vertical="center" readingOrder="1"/>
    </xf>
    <xf numFmtId="164" fontId="147" fillId="29" borderId="2" xfId="11" applyFont="1" applyFill="1" applyBorder="1"/>
    <xf numFmtId="0" fontId="147" fillId="29" borderId="2" xfId="8" applyFont="1" applyFill="1" applyBorder="1"/>
    <xf numFmtId="164" fontId="147" fillId="0" borderId="2" xfId="11" applyFont="1" applyBorder="1"/>
    <xf numFmtId="0" fontId="147" fillId="3" borderId="2" xfId="8" applyFont="1" applyFill="1" applyBorder="1"/>
    <xf numFmtId="164" fontId="149" fillId="19" borderId="2" xfId="11" applyFont="1" applyFill="1" applyBorder="1" applyAlignment="1">
      <alignment horizontal="center" vertical="center"/>
    </xf>
    <xf numFmtId="0" fontId="149" fillId="19" borderId="2" xfId="8" applyFont="1" applyFill="1" applyBorder="1" applyAlignment="1">
      <alignment horizontal="center" vertical="center"/>
    </xf>
    <xf numFmtId="0" fontId="85" fillId="3" borderId="2" xfId="7" applyNumberFormat="1" applyFont="1" applyFill="1" applyBorder="1" applyAlignment="1">
      <alignment horizontal="left" vertical="center" wrapText="1" readingOrder="1"/>
    </xf>
    <xf numFmtId="168" fontId="48" fillId="3" borderId="2" xfId="7" applyNumberFormat="1" applyFont="1" applyFill="1" applyBorder="1" applyAlignment="1">
      <alignment horizontal="center" vertical="center" wrapText="1"/>
    </xf>
    <xf numFmtId="168" fontId="87" fillId="3" borderId="2" xfId="4" applyNumberFormat="1" applyFont="1" applyFill="1" applyBorder="1" applyAlignment="1">
      <alignment horizontal="center" vertical="center"/>
    </xf>
    <xf numFmtId="39" fontId="89" fillId="4" borderId="2" xfId="7" applyNumberFormat="1" applyFont="1" applyFill="1" applyBorder="1" applyAlignment="1">
      <alignment horizontal="right" vertical="center"/>
    </xf>
    <xf numFmtId="164" fontId="14" fillId="0" borderId="0" xfId="11" applyFont="1"/>
    <xf numFmtId="0" fontId="14" fillId="29" borderId="0" xfId="8" applyFont="1" applyFill="1"/>
    <xf numFmtId="0" fontId="11" fillId="0" borderId="0" xfId="1" applyFont="1" applyFill="1" applyBorder="1" applyAlignment="1">
      <alignment horizontal="center"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39" fontId="73" fillId="14" borderId="2" xfId="7" applyNumberFormat="1" applyFont="1" applyFill="1" applyBorder="1" applyAlignment="1">
      <alignment horizontal="center" vertical="center" wrapText="1" readingOrder="1"/>
    </xf>
    <xf numFmtId="0" fontId="48" fillId="0" borderId="0" xfId="7" applyFont="1" applyFill="1" applyBorder="1" applyAlignment="1">
      <alignment horizontal="center"/>
    </xf>
    <xf numFmtId="0" fontId="93" fillId="9" borderId="17" xfId="7" applyNumberFormat="1" applyFont="1" applyFill="1" applyBorder="1" applyAlignment="1">
      <alignment horizontal="center" vertical="center" wrapText="1" readingOrder="1"/>
    </xf>
    <xf numFmtId="39" fontId="101" fillId="5" borderId="2" xfId="7" applyNumberFormat="1" applyFont="1" applyFill="1" applyBorder="1" applyAlignment="1">
      <alignment horizontal="right" vertical="center" wrapText="1" readingOrder="1"/>
    </xf>
    <xf numFmtId="168" fontId="87" fillId="5" borderId="18" xfId="4" applyNumberFormat="1" applyFont="1" applyFill="1" applyBorder="1" applyAlignment="1">
      <alignment horizontal="center" vertical="center"/>
    </xf>
    <xf numFmtId="168" fontId="50" fillId="5" borderId="2" xfId="4" applyNumberFormat="1" applyFont="1" applyFill="1" applyBorder="1" applyAlignment="1">
      <alignment horizontal="center" vertical="center"/>
    </xf>
    <xf numFmtId="168" fontId="53" fillId="5" borderId="18" xfId="4" applyNumberFormat="1" applyFont="1" applyFill="1" applyBorder="1" applyAlignment="1">
      <alignment horizontal="center" vertical="center"/>
    </xf>
    <xf numFmtId="39" fontId="114" fillId="20" borderId="2" xfId="7" applyNumberFormat="1" applyFont="1" applyFill="1" applyBorder="1" applyAlignment="1">
      <alignment horizontal="right" vertical="center" wrapText="1"/>
    </xf>
    <xf numFmtId="0" fontId="40" fillId="4" borderId="0" xfId="0" applyFont="1" applyFill="1" applyBorder="1" applyAlignment="1">
      <alignment horizontal="center" vertical="center" wrapText="1"/>
    </xf>
    <xf numFmtId="0" fontId="11" fillId="0" borderId="0" xfId="1" applyFont="1" applyFill="1" applyBorder="1" applyAlignment="1">
      <alignment horizontal="center" vertical="center" wrapText="1"/>
    </xf>
    <xf numFmtId="0" fontId="5" fillId="7" borderId="2" xfId="8" applyFill="1" applyBorder="1" applyAlignment="1">
      <alignment horizontal="center"/>
    </xf>
    <xf numFmtId="0" fontId="128" fillId="8" borderId="2" xfId="8" applyFont="1" applyFill="1" applyBorder="1" applyAlignment="1">
      <alignment horizontal="center" vertical="center" readingOrder="1"/>
    </xf>
    <xf numFmtId="49" fontId="96" fillId="19" borderId="4" xfId="7" applyNumberFormat="1" applyFont="1" applyFill="1" applyBorder="1" applyAlignment="1">
      <alignment horizontal="center" vertical="center" wrapText="1" readingOrder="1"/>
    </xf>
    <xf numFmtId="49" fontId="96" fillId="19" borderId="20" xfId="7" applyNumberFormat="1" applyFont="1" applyFill="1" applyBorder="1" applyAlignment="1">
      <alignment horizontal="center" vertical="center" wrapText="1" readingOrder="1"/>
    </xf>
    <xf numFmtId="49" fontId="96" fillId="19" borderId="5" xfId="7" applyNumberFormat="1" applyFont="1" applyFill="1" applyBorder="1" applyAlignment="1">
      <alignment horizontal="center" vertical="center" wrapText="1" readingOrder="1"/>
    </xf>
    <xf numFmtId="164" fontId="145" fillId="7" borderId="2" xfId="11" applyFont="1" applyFill="1" applyBorder="1" applyAlignment="1">
      <alignment horizontal="center"/>
    </xf>
    <xf numFmtId="0" fontId="124" fillId="3" borderId="0" xfId="8" applyFont="1" applyFill="1" applyBorder="1" applyAlignment="1">
      <alignment horizontal="center" vertical="center" wrapText="1"/>
    </xf>
    <xf numFmtId="172" fontId="121" fillId="3" borderId="2" xfId="7" applyNumberFormat="1" applyFont="1" applyFill="1" applyBorder="1" applyAlignment="1">
      <alignment horizontal="center" vertical="center" wrapText="1"/>
    </xf>
    <xf numFmtId="0" fontId="121" fillId="3" borderId="2" xfId="7" applyFont="1" applyFill="1" applyBorder="1" applyAlignment="1">
      <alignment horizontal="center" vertical="center" wrapText="1"/>
    </xf>
    <xf numFmtId="172" fontId="121" fillId="3" borderId="4" xfId="7" applyNumberFormat="1" applyFont="1" applyFill="1" applyBorder="1" applyAlignment="1">
      <alignment horizontal="center" wrapText="1"/>
    </xf>
    <xf numFmtId="0" fontId="121" fillId="3" borderId="5" xfId="7" applyFont="1" applyFill="1" applyBorder="1" applyAlignment="1">
      <alignment horizontal="center" wrapText="1"/>
    </xf>
    <xf numFmtId="0" fontId="120" fillId="5" borderId="4" xfId="7" applyFont="1" applyFill="1" applyBorder="1" applyAlignment="1">
      <alignment horizontal="center" vertical="center"/>
    </xf>
    <xf numFmtId="0" fontId="120" fillId="5" borderId="20" xfId="7" applyFont="1" applyFill="1" applyBorder="1" applyAlignment="1">
      <alignment horizontal="center" vertical="center"/>
    </xf>
    <xf numFmtId="39" fontId="121" fillId="5" borderId="12" xfId="7" applyNumberFormat="1" applyFont="1" applyFill="1" applyBorder="1" applyAlignment="1">
      <alignment horizontal="center" vertical="center" wrapText="1"/>
    </xf>
    <xf numFmtId="39" fontId="121" fillId="5" borderId="13" xfId="7" applyNumberFormat="1" applyFont="1" applyFill="1" applyBorder="1" applyAlignment="1">
      <alignment horizontal="center" vertical="center" wrapText="1"/>
    </xf>
    <xf numFmtId="39" fontId="121" fillId="5" borderId="14" xfId="7" applyNumberFormat="1" applyFont="1" applyFill="1" applyBorder="1" applyAlignment="1">
      <alignment horizontal="center" vertical="center" wrapText="1"/>
    </xf>
    <xf numFmtId="0" fontId="121" fillId="5" borderId="2" xfId="7" applyFont="1" applyFill="1" applyBorder="1" applyAlignment="1">
      <alignment horizontal="center" vertical="center" wrapText="1"/>
    </xf>
    <xf numFmtId="39" fontId="121" fillId="5" borderId="2" xfId="7" applyNumberFormat="1" applyFont="1" applyFill="1" applyBorder="1" applyAlignment="1">
      <alignment horizontal="center" vertical="center" wrapText="1"/>
    </xf>
    <xf numFmtId="39" fontId="121" fillId="5" borderId="12" xfId="7" applyNumberFormat="1" applyFont="1" applyFill="1" applyBorder="1" applyAlignment="1">
      <alignment horizontal="center" vertical="center"/>
    </xf>
    <xf numFmtId="39" fontId="121" fillId="5" borderId="13" xfId="7" applyNumberFormat="1" applyFont="1" applyFill="1" applyBorder="1" applyAlignment="1">
      <alignment horizontal="center" vertical="center"/>
    </xf>
    <xf numFmtId="39" fontId="121" fillId="5" borderId="14" xfId="7" applyNumberFormat="1" applyFont="1" applyFill="1" applyBorder="1" applyAlignment="1">
      <alignment horizontal="center" vertical="center"/>
    </xf>
    <xf numFmtId="9" fontId="120" fillId="3" borderId="4" xfId="9" applyFont="1" applyFill="1" applyBorder="1" applyAlignment="1">
      <alignment horizontal="center" vertical="center"/>
    </xf>
    <xf numFmtId="9" fontId="120" fillId="3" borderId="20" xfId="9" applyFont="1" applyFill="1" applyBorder="1" applyAlignment="1">
      <alignment horizontal="center" vertical="center"/>
    </xf>
    <xf numFmtId="9" fontId="120" fillId="3" borderId="5" xfId="9" applyFont="1" applyFill="1" applyBorder="1" applyAlignment="1">
      <alignment horizontal="center" vertical="center"/>
    </xf>
    <xf numFmtId="0" fontId="2" fillId="9" borderId="0" xfId="8" applyFont="1" applyFill="1" applyBorder="1" applyAlignment="1">
      <alignment horizontal="center" vertical="center" wrapText="1"/>
    </xf>
    <xf numFmtId="0" fontId="2" fillId="9" borderId="13" xfId="8" applyFont="1" applyFill="1" applyBorder="1" applyAlignment="1">
      <alignment horizontal="center" vertical="center" wrapText="1"/>
    </xf>
    <xf numFmtId="168" fontId="64" fillId="5" borderId="2" xfId="4" applyNumberFormat="1" applyFont="1" applyFill="1" applyBorder="1" applyAlignment="1">
      <alignment horizontal="center" vertical="center" wrapText="1"/>
    </xf>
    <xf numFmtId="49" fontId="91" fillId="14" borderId="6" xfId="7" applyNumberFormat="1" applyFont="1" applyFill="1" applyBorder="1" applyAlignment="1">
      <alignment horizontal="center" vertical="center" wrapText="1" readingOrder="1"/>
    </xf>
    <xf numFmtId="49" fontId="91" fillId="14" borderId="7" xfId="7" applyNumberFormat="1" applyFont="1" applyFill="1" applyBorder="1" applyAlignment="1">
      <alignment horizontal="center" vertical="center" wrapText="1" readingOrder="1"/>
    </xf>
    <xf numFmtId="49" fontId="91" fillId="14" borderId="8" xfId="7" applyNumberFormat="1" applyFont="1" applyFill="1" applyBorder="1" applyAlignment="1">
      <alignment horizontal="center" vertical="center" wrapText="1" readingOrder="1"/>
    </xf>
    <xf numFmtId="49" fontId="91" fillId="14" borderId="9" xfId="7" applyNumberFormat="1" applyFont="1" applyFill="1" applyBorder="1" applyAlignment="1">
      <alignment horizontal="center" vertical="center" wrapText="1" readingOrder="1"/>
    </xf>
    <xf numFmtId="49" fontId="91" fillId="14" borderId="0" xfId="7" applyNumberFormat="1" applyFont="1" applyFill="1" applyBorder="1" applyAlignment="1">
      <alignment horizontal="center" vertical="center" wrapText="1" readingOrder="1"/>
    </xf>
    <xf numFmtId="49" fontId="91" fillId="14" borderId="10" xfId="7" applyNumberFormat="1" applyFont="1" applyFill="1" applyBorder="1" applyAlignment="1">
      <alignment horizontal="center" vertical="center" wrapText="1" readingOrder="1"/>
    </xf>
    <xf numFmtId="49" fontId="91" fillId="14" borderId="12" xfId="7" applyNumberFormat="1" applyFont="1" applyFill="1" applyBorder="1" applyAlignment="1">
      <alignment horizontal="center" vertical="center" wrapText="1" readingOrder="1"/>
    </xf>
    <xf numFmtId="49" fontId="91" fillId="14" borderId="13" xfId="7" applyNumberFormat="1" applyFont="1" applyFill="1" applyBorder="1" applyAlignment="1">
      <alignment horizontal="center" vertical="center" wrapText="1" readingOrder="1"/>
    </xf>
    <xf numFmtId="49" fontId="91" fillId="14" borderId="14" xfId="7" applyNumberFormat="1" applyFont="1" applyFill="1" applyBorder="1" applyAlignment="1">
      <alignment horizontal="center" vertical="center" wrapText="1" readingOrder="1"/>
    </xf>
    <xf numFmtId="39" fontId="73" fillId="14" borderId="2" xfId="7" applyNumberFormat="1" applyFont="1" applyFill="1" applyBorder="1" applyAlignment="1">
      <alignment horizontal="center" vertical="center" wrapText="1" readingOrder="1"/>
    </xf>
    <xf numFmtId="0" fontId="96" fillId="3" borderId="4" xfId="7" applyNumberFormat="1" applyFont="1" applyFill="1" applyBorder="1" applyAlignment="1">
      <alignment horizontal="center" vertical="center" wrapText="1" readingOrder="1"/>
    </xf>
    <xf numFmtId="0" fontId="96" fillId="3" borderId="20" xfId="7" applyNumberFormat="1" applyFont="1" applyFill="1" applyBorder="1" applyAlignment="1">
      <alignment horizontal="center" vertical="center" wrapText="1" readingOrder="1"/>
    </xf>
    <xf numFmtId="0" fontId="88" fillId="8" borderId="4" xfId="7" applyNumberFormat="1" applyFont="1" applyFill="1" applyBorder="1" applyAlignment="1">
      <alignment horizontal="center" vertical="center" wrapText="1" readingOrder="1"/>
    </xf>
    <xf numFmtId="0" fontId="88" fillId="8" borderId="20" xfId="7" applyNumberFormat="1" applyFont="1" applyFill="1" applyBorder="1" applyAlignment="1">
      <alignment horizontal="center" vertical="center" wrapText="1" readingOrder="1"/>
    </xf>
    <xf numFmtId="0" fontId="88" fillId="8" borderId="5" xfId="7" applyNumberFormat="1" applyFont="1" applyFill="1" applyBorder="1" applyAlignment="1">
      <alignment horizontal="center" vertical="center" wrapText="1" readingOrder="1"/>
    </xf>
    <xf numFmtId="0" fontId="48" fillId="0" borderId="0" xfId="7" applyFont="1" applyFill="1" applyBorder="1" applyAlignment="1">
      <alignment horizontal="center"/>
    </xf>
    <xf numFmtId="0" fontId="52" fillId="0" borderId="0" xfId="7" applyFont="1" applyFill="1" applyBorder="1" applyAlignment="1">
      <alignment horizontal="center"/>
    </xf>
    <xf numFmtId="49" fontId="53" fillId="0" borderId="0" xfId="4" applyNumberFormat="1" applyFont="1" applyFill="1" applyBorder="1" applyAlignment="1">
      <alignment horizontal="center"/>
    </xf>
    <xf numFmtId="0" fontId="93" fillId="9" borderId="2" xfId="7" applyNumberFormat="1" applyFont="1" applyFill="1" applyBorder="1" applyAlignment="1">
      <alignment horizontal="center" vertical="center" wrapText="1" readingOrder="1"/>
    </xf>
    <xf numFmtId="0" fontId="93" fillId="9" borderId="17" xfId="7" applyNumberFormat="1" applyFont="1" applyFill="1" applyBorder="1" applyAlignment="1">
      <alignment horizontal="center" vertical="center" wrapText="1" readingOrder="1"/>
    </xf>
    <xf numFmtId="0" fontId="130" fillId="5" borderId="12" xfId="7" applyNumberFormat="1" applyFont="1" applyFill="1" applyBorder="1" applyAlignment="1">
      <alignment horizontal="center" vertical="center" wrapText="1" readingOrder="1"/>
    </xf>
    <xf numFmtId="0" fontId="130" fillId="5" borderId="13" xfId="7" applyNumberFormat="1" applyFont="1" applyFill="1" applyBorder="1" applyAlignment="1">
      <alignment horizontal="center" vertical="center" wrapText="1" readingOrder="1"/>
    </xf>
    <xf numFmtId="0" fontId="19" fillId="0" borderId="0" xfId="0" applyFont="1" applyBorder="1" applyAlignment="1">
      <alignment horizontal="center" vertical="center" wrapText="1"/>
    </xf>
    <xf numFmtId="0" fontId="21" fillId="0" borderId="0" xfId="0" applyFont="1" applyBorder="1" applyAlignment="1">
      <alignment horizontal="left" vertical="center" wrapText="1"/>
    </xf>
    <xf numFmtId="0" fontId="22"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2" fillId="0" borderId="2" xfId="0" quotePrefix="1" applyFont="1" applyBorder="1" applyAlignment="1">
      <alignment horizontal="center" vertical="center" wrapText="1"/>
    </xf>
    <xf numFmtId="0" fontId="22" fillId="0" borderId="0" xfId="0" quotePrefix="1" applyFont="1" applyAlignment="1">
      <alignment horizontal="center" vertical="center" wrapText="1"/>
    </xf>
    <xf numFmtId="0" fontId="22" fillId="3" borderId="2" xfId="0" applyFont="1" applyFill="1" applyBorder="1" applyAlignment="1">
      <alignment horizontal="center"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169" fontId="29" fillId="3" borderId="4" xfId="0" applyNumberFormat="1" applyFont="1" applyFill="1" applyBorder="1" applyAlignment="1">
      <alignment horizontal="right" vertical="center" wrapText="1"/>
    </xf>
    <xf numFmtId="169" fontId="29" fillId="3" borderId="5" xfId="0" applyNumberFormat="1" applyFont="1" applyFill="1" applyBorder="1" applyAlignment="1">
      <alignment horizontal="right" vertical="center" wrapText="1"/>
    </xf>
    <xf numFmtId="170" fontId="30" fillId="3" borderId="2" xfId="0" applyNumberFormat="1" applyFont="1" applyFill="1" applyBorder="1" applyAlignment="1">
      <alignment horizontal="right" vertical="center" wrapText="1"/>
    </xf>
    <xf numFmtId="167" fontId="30" fillId="3" borderId="2" xfId="4" applyFont="1" applyFill="1" applyBorder="1" applyAlignment="1">
      <alignment horizontal="right" vertical="center" wrapText="1"/>
    </xf>
    <xf numFmtId="14" fontId="29" fillId="5" borderId="4" xfId="0" applyNumberFormat="1" applyFont="1" applyFill="1" applyBorder="1" applyAlignment="1">
      <alignment horizontal="right" vertical="center" wrapText="1"/>
    </xf>
    <xf numFmtId="14" fontId="29" fillId="5" borderId="5" xfId="0" applyNumberFormat="1" applyFont="1" applyFill="1" applyBorder="1" applyAlignment="1">
      <alignment horizontal="right" vertical="center" wrapText="1"/>
    </xf>
    <xf numFmtId="0" fontId="11" fillId="0" borderId="0" xfId="1" applyFont="1" applyFill="1" applyBorder="1" applyAlignment="1">
      <alignment horizontal="center" vertical="center" wrapText="1"/>
    </xf>
    <xf numFmtId="0" fontId="21" fillId="0" borderId="15" xfId="0" applyFont="1" applyBorder="1" applyAlignment="1">
      <alignment horizontal="left"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0" fontId="40" fillId="0" borderId="17" xfId="0" applyFont="1" applyFill="1" applyBorder="1" applyAlignment="1">
      <alignment horizontal="center" vertical="center" wrapText="1"/>
    </xf>
    <xf numFmtId="0" fontId="40" fillId="0" borderId="17" xfId="0" applyFont="1" applyFill="1" applyBorder="1" applyAlignment="1">
      <alignment horizontal="left" vertical="center" wrapText="1"/>
    </xf>
    <xf numFmtId="14" fontId="40" fillId="0" borderId="17" xfId="0" applyNumberFormat="1" applyFont="1" applyFill="1" applyBorder="1" applyAlignment="1">
      <alignment horizontal="center" vertical="center" wrapText="1"/>
    </xf>
    <xf numFmtId="170" fontId="40" fillId="0" borderId="17" xfId="2" applyNumberFormat="1" applyFont="1" applyFill="1" applyBorder="1" applyAlignment="1">
      <alignment vertical="center" wrapText="1"/>
    </xf>
    <xf numFmtId="44" fontId="40" fillId="0" borderId="17" xfId="5" applyNumberFormat="1" applyFont="1" applyFill="1" applyBorder="1" applyAlignment="1">
      <alignment vertical="center" wrapText="1"/>
    </xf>
    <xf numFmtId="14" fontId="41" fillId="0" borderId="2" xfId="0" applyNumberFormat="1" applyFont="1" applyFill="1" applyBorder="1" applyAlignment="1">
      <alignment horizontal="center" vertical="center" wrapText="1"/>
    </xf>
    <xf numFmtId="44" fontId="41" fillId="0" borderId="2" xfId="5" applyNumberFormat="1" applyFont="1" applyFill="1" applyBorder="1" applyAlignment="1">
      <alignment horizontal="center" vertical="center" wrapText="1"/>
    </xf>
    <xf numFmtId="0" fontId="39" fillId="0" borderId="17" xfId="0" applyFont="1" applyFill="1" applyBorder="1" applyAlignment="1">
      <alignment horizontal="center" vertical="center" wrapText="1"/>
    </xf>
    <xf numFmtId="16" fontId="40" fillId="0" borderId="2" xfId="0" applyNumberFormat="1" applyFont="1" applyFill="1" applyBorder="1" applyAlignment="1">
      <alignment horizontal="center" vertical="center" wrapText="1"/>
    </xf>
    <xf numFmtId="0" fontId="39" fillId="0" borderId="18"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2" xfId="0" applyFont="1" applyFill="1" applyBorder="1" applyAlignment="1">
      <alignment vertical="center" wrapText="1"/>
    </xf>
    <xf numFmtId="170" fontId="40" fillId="0" borderId="2" xfId="2" applyNumberFormat="1" applyFont="1" applyFill="1" applyBorder="1" applyAlignment="1">
      <alignment vertical="center" wrapText="1"/>
    </xf>
    <xf numFmtId="0" fontId="43" fillId="0" borderId="2" xfId="0" applyFont="1" applyFill="1" applyBorder="1" applyAlignment="1">
      <alignment horizontal="left" vertical="center" wrapText="1"/>
    </xf>
    <xf numFmtId="0" fontId="40" fillId="0" borderId="19" xfId="0" applyFont="1" applyFill="1" applyBorder="1" applyAlignment="1">
      <alignment horizontal="center" vertical="center" wrapText="1"/>
    </xf>
    <xf numFmtId="44" fontId="40" fillId="0" borderId="2" xfId="5" applyNumberFormat="1" applyFont="1" applyFill="1" applyBorder="1" applyAlignment="1">
      <alignment vertical="center" wrapText="1"/>
    </xf>
    <xf numFmtId="0" fontId="40" fillId="0" borderId="2" xfId="0"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170" fontId="40" fillId="0" borderId="2" xfId="12" applyNumberFormat="1" applyFont="1" applyFill="1" applyBorder="1" applyAlignment="1">
      <alignment horizontal="right" vertical="center" wrapText="1"/>
    </xf>
    <xf numFmtId="0" fontId="39"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70" fontId="40" fillId="0" borderId="0" xfId="12" applyNumberFormat="1" applyFont="1" applyFill="1" applyBorder="1" applyAlignment="1">
      <alignment horizontal="right" vertical="center" wrapText="1"/>
    </xf>
    <xf numFmtId="44" fontId="40" fillId="0" borderId="0" xfId="5" applyNumberFormat="1" applyFont="1" applyFill="1" applyBorder="1" applyAlignment="1">
      <alignment horizontal="center" vertical="center" wrapText="1"/>
    </xf>
    <xf numFmtId="0" fontId="138" fillId="0" borderId="2" xfId="0" applyFont="1" applyFill="1" applyBorder="1" applyAlignment="1">
      <alignment horizontal="center" vertical="center" wrapText="1"/>
    </xf>
    <xf numFmtId="15" fontId="140" fillId="0" borderId="2" xfId="0" applyNumberFormat="1" applyFont="1" applyFill="1" applyBorder="1" applyAlignment="1">
      <alignment horizontal="center" vertical="center" wrapText="1"/>
    </xf>
    <xf numFmtId="0" fontId="139" fillId="0" borderId="2" xfId="0" applyFont="1" applyFill="1" applyBorder="1" applyAlignment="1">
      <alignment horizontal="left" vertical="center" wrapText="1"/>
    </xf>
    <xf numFmtId="0" fontId="139" fillId="0" borderId="2" xfId="0" applyFont="1" applyFill="1" applyBorder="1" applyAlignment="1">
      <alignment horizontal="center" vertical="center" wrapText="1"/>
    </xf>
    <xf numFmtId="44" fontId="139" fillId="0" borderId="2" xfId="10" applyFont="1" applyFill="1" applyBorder="1" applyAlignment="1">
      <alignment horizontal="center" vertical="center" wrapText="1"/>
    </xf>
    <xf numFmtId="169" fontId="88" fillId="0" borderId="2" xfId="10" applyNumberFormat="1" applyFont="1" applyFill="1" applyBorder="1" applyAlignment="1">
      <alignment horizontal="center" vertical="center" wrapText="1"/>
    </xf>
    <xf numFmtId="0" fontId="139" fillId="0" borderId="2" xfId="10" applyNumberFormat="1" applyFont="1" applyFill="1" applyBorder="1" applyAlignment="1">
      <alignment horizontal="center" vertical="center" wrapText="1"/>
    </xf>
    <xf numFmtId="0" fontId="140" fillId="0" borderId="2" xfId="0" applyFont="1" applyFill="1" applyBorder="1" applyAlignment="1">
      <alignment horizontal="left" vertical="center" wrapText="1"/>
    </xf>
    <xf numFmtId="0" fontId="140" fillId="0" borderId="2" xfId="0" applyFont="1" applyFill="1" applyBorder="1" applyAlignment="1">
      <alignment horizontal="center" vertical="center" wrapText="1"/>
    </xf>
    <xf numFmtId="169" fontId="140" fillId="0" borderId="2" xfId="10" applyNumberFormat="1" applyFont="1" applyFill="1" applyBorder="1" applyAlignment="1">
      <alignment horizontal="center" vertical="center" wrapText="1"/>
    </xf>
    <xf numFmtId="15" fontId="139" fillId="0" borderId="2" xfId="0" applyNumberFormat="1" applyFont="1" applyFill="1" applyBorder="1" applyAlignment="1">
      <alignment horizontal="center" vertical="center" wrapText="1"/>
    </xf>
    <xf numFmtId="0" fontId="143" fillId="0" borderId="2" xfId="0" applyFont="1" applyFill="1" applyBorder="1" applyAlignment="1">
      <alignment horizontal="center" vertical="center" wrapText="1"/>
    </xf>
    <xf numFmtId="44" fontId="140" fillId="0" borderId="2" xfId="10" applyFont="1" applyFill="1" applyBorder="1" applyAlignment="1">
      <alignment horizontal="center" vertical="center" wrapText="1"/>
    </xf>
    <xf numFmtId="169" fontId="141" fillId="0" borderId="2" xfId="10" applyNumberFormat="1" applyFont="1" applyFill="1" applyBorder="1" applyAlignment="1">
      <alignment horizontal="center" vertical="center" wrapText="1"/>
    </xf>
    <xf numFmtId="169" fontId="139" fillId="0" borderId="2" xfId="10" applyNumberFormat="1" applyFont="1" applyFill="1" applyBorder="1" applyAlignment="1">
      <alignment horizontal="center" vertical="center" wrapText="1"/>
    </xf>
  </cellXfs>
  <cellStyles count="22">
    <cellStyle name="Énfasis1" xfId="1" builtinId="29"/>
    <cellStyle name="Hipervínculo" xfId="3" builtinId="8"/>
    <cellStyle name="Millares [0] 2" xfId="2"/>
    <cellStyle name="Millares [0] 2 2" xfId="12"/>
    <cellStyle name="Millares [0] 2 3" xfId="16"/>
    <cellStyle name="Millares [0] 3" xfId="6"/>
    <cellStyle name="Millares [0] 3 2" xfId="13"/>
    <cellStyle name="Moneda [0]" xfId="11" builtinId="7"/>
    <cellStyle name="Moneda [0] 2" xfId="14"/>
    <cellStyle name="Moneda [0] 2 2" xfId="4"/>
    <cellStyle name="Moneda [0] 3" xfId="17"/>
    <cellStyle name="Moneda 2" xfId="10"/>
    <cellStyle name="Moneda 2 2" xfId="5"/>
    <cellStyle name="Moneda 3" xfId="15"/>
    <cellStyle name="Moneda 4" xfId="18"/>
    <cellStyle name="Moneda 5" xfId="19"/>
    <cellStyle name="Moneda 6" xfId="20"/>
    <cellStyle name="Moneda 7" xfId="21"/>
    <cellStyle name="Normal" xfId="0" builtinId="0"/>
    <cellStyle name="Normal 2" xfId="7"/>
    <cellStyle name="Normal 3" xfId="8"/>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6"/>
  <sheetViews>
    <sheetView topLeftCell="E34" zoomScale="77" zoomScaleNormal="77" workbookViewId="0">
      <selection activeCell="Q36" sqref="Q36"/>
    </sheetView>
  </sheetViews>
  <sheetFormatPr baseColWidth="10" defaultColWidth="11" defaultRowHeight="15" x14ac:dyDescent="0.25"/>
  <cols>
    <col min="1" max="1" width="3.6328125" style="545" customWidth="1"/>
    <col min="2" max="2" width="3.453125" style="545" customWidth="1"/>
    <col min="3" max="3" width="4" style="545" customWidth="1"/>
    <col min="4" max="5" width="5.1796875" style="545" customWidth="1"/>
    <col min="6" max="6" width="4.08984375" style="545" customWidth="1"/>
    <col min="7" max="7" width="2.453125" style="545" customWidth="1"/>
    <col min="8" max="8" width="2.26953125" style="545" customWidth="1"/>
    <col min="9" max="9" width="20.7265625" style="545" customWidth="1"/>
    <col min="10" max="10" width="15.1796875" style="545" customWidth="1"/>
    <col min="11" max="11" width="17.08984375" style="545" customWidth="1"/>
    <col min="12" max="12" width="1.7265625" style="562" customWidth="1"/>
    <col min="13" max="13" width="15.1796875" style="545" customWidth="1"/>
    <col min="14" max="14" width="17.08984375" style="545" customWidth="1"/>
    <col min="15" max="15" width="1.36328125" style="562" customWidth="1"/>
    <col min="16" max="16" width="15.1796875" style="545" customWidth="1"/>
    <col min="17" max="17" width="17.08984375" style="545" customWidth="1"/>
    <col min="18" max="16384" width="11" style="545"/>
  </cols>
  <sheetData>
    <row r="2" spans="1:17" x14ac:dyDescent="0.25">
      <c r="J2" s="753" t="s">
        <v>521</v>
      </c>
      <c r="K2" s="753"/>
      <c r="L2" s="546"/>
      <c r="M2" s="753" t="s">
        <v>522</v>
      </c>
      <c r="N2" s="753"/>
      <c r="O2" s="547"/>
      <c r="P2" s="753" t="s">
        <v>523</v>
      </c>
      <c r="Q2" s="753"/>
    </row>
    <row r="3" spans="1:17" ht="39.950000000000003" customHeight="1" x14ac:dyDescent="0.25">
      <c r="A3" s="102" t="s">
        <v>365</v>
      </c>
      <c r="B3" s="102" t="s">
        <v>366</v>
      </c>
      <c r="C3" s="102" t="s">
        <v>367</v>
      </c>
      <c r="D3" s="102" t="s">
        <v>368</v>
      </c>
      <c r="E3" s="102" t="s">
        <v>369</v>
      </c>
      <c r="F3" s="102" t="s">
        <v>370</v>
      </c>
      <c r="G3" s="102" t="s">
        <v>371</v>
      </c>
      <c r="H3" s="102" t="s">
        <v>372</v>
      </c>
      <c r="I3" s="103" t="s">
        <v>373</v>
      </c>
      <c r="J3" s="548" t="s">
        <v>524</v>
      </c>
      <c r="K3" s="103" t="s">
        <v>525</v>
      </c>
      <c r="L3" s="108"/>
      <c r="M3" s="548" t="s">
        <v>524</v>
      </c>
      <c r="N3" s="103" t="s">
        <v>525</v>
      </c>
      <c r="O3" s="108"/>
      <c r="P3" s="548" t="s">
        <v>524</v>
      </c>
      <c r="Q3" s="103" t="s">
        <v>525</v>
      </c>
    </row>
    <row r="4" spans="1:17" ht="18.75" x14ac:dyDescent="0.25">
      <c r="A4" s="259" t="s">
        <v>405</v>
      </c>
      <c r="B4" s="259" t="s">
        <v>403</v>
      </c>
      <c r="C4" s="259" t="s">
        <v>403</v>
      </c>
      <c r="D4" s="259" t="s">
        <v>426</v>
      </c>
      <c r="E4" s="259"/>
      <c r="F4" s="259"/>
      <c r="G4" s="260"/>
      <c r="H4" s="260"/>
      <c r="I4" s="261" t="s">
        <v>427</v>
      </c>
      <c r="J4" s="549">
        <f>SUM(J5:J5)</f>
        <v>85300000</v>
      </c>
      <c r="K4" s="549">
        <f>SUM(K5:K5)</f>
        <v>0</v>
      </c>
      <c r="L4" s="550"/>
      <c r="M4" s="549">
        <f t="shared" ref="M4:Q4" si="0">SUM(M5:M5)</f>
        <v>0</v>
      </c>
      <c r="N4" s="549">
        <f t="shared" si="0"/>
        <v>0</v>
      </c>
      <c r="O4" s="550"/>
      <c r="P4" s="549">
        <f t="shared" si="0"/>
        <v>85300000</v>
      </c>
      <c r="Q4" s="549">
        <f t="shared" si="0"/>
        <v>0</v>
      </c>
    </row>
    <row r="5" spans="1:17" ht="45" x14ac:dyDescent="0.25">
      <c r="A5" s="235" t="s">
        <v>405</v>
      </c>
      <c r="B5" s="235" t="s">
        <v>403</v>
      </c>
      <c r="C5" s="235" t="s">
        <v>403</v>
      </c>
      <c r="D5" s="235" t="s">
        <v>426</v>
      </c>
      <c r="E5" s="235" t="s">
        <v>435</v>
      </c>
      <c r="F5" s="235" t="s">
        <v>405</v>
      </c>
      <c r="G5" s="236"/>
      <c r="H5" s="236"/>
      <c r="I5" s="278" t="s">
        <v>438</v>
      </c>
      <c r="J5" s="550">
        <v>85300000</v>
      </c>
      <c r="K5" s="551"/>
      <c r="L5" s="551"/>
      <c r="M5" s="550"/>
      <c r="N5" s="551"/>
      <c r="O5" s="551"/>
      <c r="P5" s="550">
        <f>SUM(J5-M5)</f>
        <v>85300000</v>
      </c>
      <c r="Q5" s="551"/>
    </row>
    <row r="6" spans="1:17" ht="18.75" x14ac:dyDescent="0.25">
      <c r="A6" s="285"/>
      <c r="B6" s="285"/>
      <c r="C6" s="285"/>
      <c r="D6" s="285"/>
      <c r="E6" s="285"/>
      <c r="F6" s="285"/>
      <c r="G6" s="286"/>
      <c r="H6" s="286"/>
      <c r="I6" s="287"/>
      <c r="J6" s="552"/>
      <c r="K6" s="552"/>
      <c r="L6" s="553"/>
      <c r="M6" s="552"/>
      <c r="N6" s="552"/>
      <c r="O6" s="553"/>
      <c r="P6" s="552"/>
      <c r="Q6" s="552"/>
    </row>
    <row r="7" spans="1:17" ht="30" x14ac:dyDescent="0.25">
      <c r="A7" s="235" t="s">
        <v>405</v>
      </c>
      <c r="B7" s="235" t="s">
        <v>405</v>
      </c>
      <c r="C7" s="235"/>
      <c r="D7" s="235"/>
      <c r="E7" s="235"/>
      <c r="F7" s="235"/>
      <c r="G7" s="236"/>
      <c r="H7" s="236"/>
      <c r="I7" s="237" t="s">
        <v>447</v>
      </c>
      <c r="J7" s="554">
        <f>SUM(J8+J16)</f>
        <v>28922227</v>
      </c>
      <c r="K7" s="554">
        <f>SUM(K8+K16)</f>
        <v>114222227</v>
      </c>
      <c r="L7" s="550"/>
      <c r="M7" s="555">
        <f t="shared" ref="M7:Q7" si="1">SUM(M8+M16)</f>
        <v>25922227</v>
      </c>
      <c r="N7" s="555">
        <f t="shared" si="1"/>
        <v>25922227</v>
      </c>
      <c r="O7" s="550"/>
      <c r="P7" s="555">
        <f t="shared" si="1"/>
        <v>3000000</v>
      </c>
      <c r="Q7" s="555">
        <f t="shared" si="1"/>
        <v>88300000</v>
      </c>
    </row>
    <row r="8" spans="1:17" ht="18.75" x14ac:dyDescent="0.25">
      <c r="A8" s="241" t="s">
        <v>405</v>
      </c>
      <c r="B8" s="241" t="s">
        <v>405</v>
      </c>
      <c r="C8" s="241" t="s">
        <v>403</v>
      </c>
      <c r="D8" s="241"/>
      <c r="E8" s="241"/>
      <c r="F8" s="241"/>
      <c r="G8" s="242"/>
      <c r="H8" s="242"/>
      <c r="I8" s="243" t="s">
        <v>448</v>
      </c>
      <c r="J8" s="556">
        <f>SUM(J9+J14)</f>
        <v>5000000</v>
      </c>
      <c r="K8" s="556">
        <f>SUM(K9+K14)</f>
        <v>48400000</v>
      </c>
      <c r="L8" s="550"/>
      <c r="M8" s="556">
        <f t="shared" ref="M8:Q8" si="2">SUM(M9+M14)</f>
        <v>2000000</v>
      </c>
      <c r="N8" s="556">
        <f t="shared" si="2"/>
        <v>2000000</v>
      </c>
      <c r="O8" s="550"/>
      <c r="P8" s="556">
        <f t="shared" si="2"/>
        <v>3000000</v>
      </c>
      <c r="Q8" s="556">
        <f t="shared" si="2"/>
        <v>46400000</v>
      </c>
    </row>
    <row r="9" spans="1:17" ht="75" x14ac:dyDescent="0.25">
      <c r="A9" s="259" t="s">
        <v>405</v>
      </c>
      <c r="B9" s="259" t="s">
        <v>405</v>
      </c>
      <c r="C9" s="259" t="s">
        <v>403</v>
      </c>
      <c r="D9" s="308" t="s">
        <v>415</v>
      </c>
      <c r="E9" s="259"/>
      <c r="F9" s="259"/>
      <c r="G9" s="260"/>
      <c r="H9" s="260"/>
      <c r="I9" s="261" t="s">
        <v>452</v>
      </c>
      <c r="J9" s="549">
        <f>SUM(J10:J13)</f>
        <v>2000000</v>
      </c>
      <c r="K9" s="549">
        <f>SUM(K10:K13)</f>
        <v>48400000</v>
      </c>
      <c r="L9" s="550"/>
      <c r="M9" s="549">
        <f t="shared" ref="M9:Q9" si="3">SUM(M10:M13)</f>
        <v>2000000</v>
      </c>
      <c r="N9" s="549">
        <f t="shared" si="3"/>
        <v>2000000</v>
      </c>
      <c r="O9" s="550"/>
      <c r="P9" s="549">
        <f t="shared" si="3"/>
        <v>0</v>
      </c>
      <c r="Q9" s="549">
        <f t="shared" si="3"/>
        <v>46400000</v>
      </c>
    </row>
    <row r="10" spans="1:17" ht="30" x14ac:dyDescent="0.25">
      <c r="A10" s="235" t="s">
        <v>405</v>
      </c>
      <c r="B10" s="235" t="s">
        <v>405</v>
      </c>
      <c r="C10" s="235" t="s">
        <v>403</v>
      </c>
      <c r="D10" s="235" t="s">
        <v>415</v>
      </c>
      <c r="E10" s="235" t="s">
        <v>449</v>
      </c>
      <c r="F10" s="235" t="s">
        <v>403</v>
      </c>
      <c r="G10" s="236"/>
      <c r="H10" s="236"/>
      <c r="I10" s="278" t="s">
        <v>453</v>
      </c>
      <c r="J10" s="550"/>
      <c r="K10" s="551">
        <v>20400000</v>
      </c>
      <c r="L10" s="551"/>
      <c r="M10" s="550"/>
      <c r="N10" s="551"/>
      <c r="O10" s="551"/>
      <c r="P10" s="550">
        <f>SUM(J10-M10)</f>
        <v>0</v>
      </c>
      <c r="Q10" s="551">
        <f>SUM(K10-N10)</f>
        <v>20400000</v>
      </c>
    </row>
    <row r="11" spans="1:17" ht="75" x14ac:dyDescent="0.25">
      <c r="A11" s="235" t="s">
        <v>405</v>
      </c>
      <c r="B11" s="235" t="s">
        <v>405</v>
      </c>
      <c r="C11" s="235" t="s">
        <v>403</v>
      </c>
      <c r="D11" s="235" t="s">
        <v>415</v>
      </c>
      <c r="E11" s="235" t="s">
        <v>435</v>
      </c>
      <c r="F11" s="235" t="s">
        <v>403</v>
      </c>
      <c r="G11" s="236"/>
      <c r="H11" s="236"/>
      <c r="I11" s="278" t="s">
        <v>455</v>
      </c>
      <c r="J11" s="550"/>
      <c r="K11" s="551">
        <v>23000000</v>
      </c>
      <c r="L11" s="551"/>
      <c r="M11" s="550"/>
      <c r="N11" s="551"/>
      <c r="O11" s="551"/>
      <c r="P11" s="550">
        <f t="shared" ref="P11:Q13" si="4">SUM(J11-M11)</f>
        <v>0</v>
      </c>
      <c r="Q11" s="551">
        <f t="shared" si="4"/>
        <v>23000000</v>
      </c>
    </row>
    <row r="12" spans="1:17" ht="60" x14ac:dyDescent="0.25">
      <c r="A12" s="235" t="s">
        <v>405</v>
      </c>
      <c r="B12" s="235" t="s">
        <v>405</v>
      </c>
      <c r="C12" s="235" t="s">
        <v>403</v>
      </c>
      <c r="D12" s="235" t="s">
        <v>415</v>
      </c>
      <c r="E12" s="235" t="s">
        <v>443</v>
      </c>
      <c r="F12" s="235"/>
      <c r="G12" s="236"/>
      <c r="H12" s="236"/>
      <c r="I12" s="278" t="s">
        <v>458</v>
      </c>
      <c r="J12" s="550"/>
      <c r="K12" s="551">
        <v>5000000</v>
      </c>
      <c r="L12" s="551"/>
      <c r="M12" s="550"/>
      <c r="N12" s="551">
        <v>2000000</v>
      </c>
      <c r="O12" s="551"/>
      <c r="P12" s="550">
        <f t="shared" si="4"/>
        <v>0</v>
      </c>
      <c r="Q12" s="551">
        <f t="shared" si="4"/>
        <v>3000000</v>
      </c>
    </row>
    <row r="13" spans="1:17" ht="60" x14ac:dyDescent="0.25">
      <c r="A13" s="235" t="s">
        <v>405</v>
      </c>
      <c r="B13" s="235" t="s">
        <v>405</v>
      </c>
      <c r="C13" s="235" t="s">
        <v>403</v>
      </c>
      <c r="D13" s="235" t="s">
        <v>415</v>
      </c>
      <c r="E13" s="235" t="s">
        <v>443</v>
      </c>
      <c r="F13" s="235" t="s">
        <v>405</v>
      </c>
      <c r="G13" s="236"/>
      <c r="H13" s="236"/>
      <c r="I13" s="278" t="s">
        <v>459</v>
      </c>
      <c r="J13" s="550">
        <v>2000000</v>
      </c>
      <c r="K13" s="551"/>
      <c r="L13" s="551"/>
      <c r="M13" s="550">
        <v>2000000</v>
      </c>
      <c r="N13" s="551"/>
      <c r="O13" s="551"/>
      <c r="P13" s="550">
        <f t="shared" si="4"/>
        <v>0</v>
      </c>
      <c r="Q13" s="551">
        <f t="shared" si="4"/>
        <v>0</v>
      </c>
    </row>
    <row r="14" spans="1:17" ht="45" x14ac:dyDescent="0.25">
      <c r="A14" s="259" t="s">
        <v>405</v>
      </c>
      <c r="B14" s="259" t="s">
        <v>405</v>
      </c>
      <c r="C14" s="259" t="s">
        <v>403</v>
      </c>
      <c r="D14" s="259" t="s">
        <v>426</v>
      </c>
      <c r="E14" s="259"/>
      <c r="F14" s="259"/>
      <c r="G14" s="260"/>
      <c r="H14" s="260"/>
      <c r="I14" s="261" t="s">
        <v>460</v>
      </c>
      <c r="J14" s="549">
        <f>SUM(J15:J15)</f>
        <v>3000000</v>
      </c>
      <c r="K14" s="549">
        <f>SUM(K15:K15)</f>
        <v>0</v>
      </c>
      <c r="L14" s="550"/>
      <c r="M14" s="549">
        <f t="shared" ref="M14:Q14" si="5">SUM(M15:M15)</f>
        <v>0</v>
      </c>
      <c r="N14" s="549">
        <f t="shared" si="5"/>
        <v>0</v>
      </c>
      <c r="O14" s="550"/>
      <c r="P14" s="549">
        <f t="shared" si="5"/>
        <v>3000000</v>
      </c>
      <c r="Q14" s="549">
        <f t="shared" si="5"/>
        <v>0</v>
      </c>
    </row>
    <row r="15" spans="1:17" ht="45" x14ac:dyDescent="0.25">
      <c r="A15" s="235" t="s">
        <v>405</v>
      </c>
      <c r="B15" s="235" t="s">
        <v>405</v>
      </c>
      <c r="C15" s="235" t="s">
        <v>403</v>
      </c>
      <c r="D15" s="235" t="s">
        <v>426</v>
      </c>
      <c r="E15" s="235" t="s">
        <v>449</v>
      </c>
      <c r="F15" s="235"/>
      <c r="G15" s="236"/>
      <c r="H15" s="236"/>
      <c r="I15" s="278" t="s">
        <v>461</v>
      </c>
      <c r="J15" s="550">
        <v>3000000</v>
      </c>
      <c r="K15" s="551"/>
      <c r="L15" s="551"/>
      <c r="M15" s="550"/>
      <c r="N15" s="551"/>
      <c r="O15" s="551"/>
      <c r="P15" s="550">
        <v>3000000</v>
      </c>
      <c r="Q15" s="551"/>
    </row>
    <row r="16" spans="1:17" ht="30" x14ac:dyDescent="0.25">
      <c r="A16" s="241" t="s">
        <v>405</v>
      </c>
      <c r="B16" s="241" t="s">
        <v>405</v>
      </c>
      <c r="C16" s="241" t="s">
        <v>405</v>
      </c>
      <c r="D16" s="241"/>
      <c r="E16" s="241"/>
      <c r="F16" s="241"/>
      <c r="G16" s="242"/>
      <c r="H16" s="242"/>
      <c r="I16" s="243" t="s">
        <v>462</v>
      </c>
      <c r="J16" s="556">
        <f>SUM(J17+J19+J22)</f>
        <v>23922227</v>
      </c>
      <c r="K16" s="556">
        <f>SUM(K17+K19+K22)</f>
        <v>65822227</v>
      </c>
      <c r="L16" s="550"/>
      <c r="M16" s="556">
        <f t="shared" ref="M16:Q16" si="6">SUM(M17+M19+M22)</f>
        <v>23922227</v>
      </c>
      <c r="N16" s="556">
        <f t="shared" si="6"/>
        <v>23922227</v>
      </c>
      <c r="O16" s="550"/>
      <c r="P16" s="556">
        <f t="shared" si="6"/>
        <v>0</v>
      </c>
      <c r="Q16" s="556">
        <f t="shared" si="6"/>
        <v>41900000</v>
      </c>
    </row>
    <row r="17" spans="1:17" ht="30" x14ac:dyDescent="0.25">
      <c r="A17" s="259" t="s">
        <v>405</v>
      </c>
      <c r="B17" s="259" t="s">
        <v>405</v>
      </c>
      <c r="C17" s="259" t="s">
        <v>405</v>
      </c>
      <c r="D17" s="259" t="s">
        <v>435</v>
      </c>
      <c r="E17" s="259"/>
      <c r="F17" s="259"/>
      <c r="G17" s="260"/>
      <c r="H17" s="260"/>
      <c r="I17" s="261" t="s">
        <v>463</v>
      </c>
      <c r="J17" s="549">
        <f>SUM(J18:J18)</f>
        <v>0</v>
      </c>
      <c r="K17" s="549">
        <f>SUM(K18:K18)</f>
        <v>27300000</v>
      </c>
      <c r="L17" s="550"/>
      <c r="M17" s="549">
        <f t="shared" ref="M17:Q17" si="7">SUM(M18:M18)</f>
        <v>0</v>
      </c>
      <c r="N17" s="549">
        <f t="shared" si="7"/>
        <v>0</v>
      </c>
      <c r="O17" s="550"/>
      <c r="P17" s="549">
        <f t="shared" si="7"/>
        <v>0</v>
      </c>
      <c r="Q17" s="549">
        <f t="shared" si="7"/>
        <v>27300000</v>
      </c>
    </row>
    <row r="18" spans="1:17" ht="60" x14ac:dyDescent="0.25">
      <c r="A18" s="235" t="s">
        <v>405</v>
      </c>
      <c r="B18" s="235" t="s">
        <v>405</v>
      </c>
      <c r="C18" s="235" t="s">
        <v>405</v>
      </c>
      <c r="D18" s="235" t="s">
        <v>435</v>
      </c>
      <c r="E18" s="235" t="s">
        <v>426</v>
      </c>
      <c r="F18" s="235" t="s">
        <v>405</v>
      </c>
      <c r="G18" s="236" t="s">
        <v>464</v>
      </c>
      <c r="H18" s="236"/>
      <c r="I18" s="278" t="s">
        <v>105</v>
      </c>
      <c r="J18" s="550"/>
      <c r="K18" s="551">
        <v>27300000</v>
      </c>
      <c r="L18" s="551"/>
      <c r="M18" s="550"/>
      <c r="N18" s="551"/>
      <c r="O18" s="551"/>
      <c r="P18" s="550"/>
      <c r="Q18" s="551">
        <v>27300000</v>
      </c>
    </row>
    <row r="19" spans="1:17" ht="105" x14ac:dyDescent="0.25">
      <c r="A19" s="259" t="s">
        <v>405</v>
      </c>
      <c r="B19" s="259" t="s">
        <v>405</v>
      </c>
      <c r="C19" s="259" t="s">
        <v>405</v>
      </c>
      <c r="D19" s="259" t="s">
        <v>409</v>
      </c>
      <c r="E19" s="259"/>
      <c r="F19" s="259"/>
      <c r="G19" s="260"/>
      <c r="H19" s="260"/>
      <c r="I19" s="261" t="s">
        <v>466</v>
      </c>
      <c r="J19" s="549">
        <f>SUM(J20:J21)</f>
        <v>5000000</v>
      </c>
      <c r="K19" s="549">
        <f>SUM(K20:K21)</f>
        <v>5000000</v>
      </c>
      <c r="L19" s="550"/>
      <c r="M19" s="549">
        <f t="shared" ref="M19:Q19" si="8">SUM(M20:M21)</f>
        <v>5000000</v>
      </c>
      <c r="N19" s="549">
        <f t="shared" si="8"/>
        <v>5000000</v>
      </c>
      <c r="O19" s="550"/>
      <c r="P19" s="549">
        <f t="shared" si="8"/>
        <v>0</v>
      </c>
      <c r="Q19" s="549">
        <f t="shared" si="8"/>
        <v>0</v>
      </c>
    </row>
    <row r="20" spans="1:17" ht="60" x14ac:dyDescent="0.25">
      <c r="A20" s="235" t="s">
        <v>405</v>
      </c>
      <c r="B20" s="235" t="s">
        <v>405</v>
      </c>
      <c r="C20" s="235" t="s">
        <v>405</v>
      </c>
      <c r="D20" s="235" t="s">
        <v>409</v>
      </c>
      <c r="E20" s="235" t="s">
        <v>415</v>
      </c>
      <c r="F20" s="235" t="s">
        <v>429</v>
      </c>
      <c r="G20" s="236"/>
      <c r="H20" s="236"/>
      <c r="I20" s="278" t="s">
        <v>471</v>
      </c>
      <c r="J20" s="550"/>
      <c r="K20" s="551">
        <v>5000000</v>
      </c>
      <c r="L20" s="551"/>
      <c r="M20" s="550"/>
      <c r="N20" s="551">
        <v>5000000</v>
      </c>
      <c r="O20" s="551"/>
      <c r="P20" s="550">
        <f t="shared" ref="P20:Q21" si="9">SUM(J20-M20)</f>
        <v>0</v>
      </c>
      <c r="Q20" s="551">
        <f t="shared" si="9"/>
        <v>0</v>
      </c>
    </row>
    <row r="21" spans="1:17" ht="45" x14ac:dyDescent="0.25">
      <c r="A21" s="235" t="s">
        <v>405</v>
      </c>
      <c r="B21" s="235" t="s">
        <v>405</v>
      </c>
      <c r="C21" s="235" t="s">
        <v>405</v>
      </c>
      <c r="D21" s="235" t="s">
        <v>409</v>
      </c>
      <c r="E21" s="235" t="s">
        <v>426</v>
      </c>
      <c r="F21" s="235"/>
      <c r="G21" s="236"/>
      <c r="H21" s="236"/>
      <c r="I21" s="278" t="s">
        <v>128</v>
      </c>
      <c r="J21" s="550">
        <v>5000000</v>
      </c>
      <c r="K21" s="551"/>
      <c r="L21" s="551"/>
      <c r="M21" s="550">
        <v>5000000</v>
      </c>
      <c r="N21" s="551"/>
      <c r="O21" s="551"/>
      <c r="P21" s="550">
        <f t="shared" si="9"/>
        <v>0</v>
      </c>
      <c r="Q21" s="551">
        <f t="shared" si="9"/>
        <v>0</v>
      </c>
    </row>
    <row r="22" spans="1:17" ht="60" x14ac:dyDescent="0.25">
      <c r="A22" s="259" t="s">
        <v>405</v>
      </c>
      <c r="B22" s="259" t="s">
        <v>405</v>
      </c>
      <c r="C22" s="259" t="s">
        <v>405</v>
      </c>
      <c r="D22" s="259" t="s">
        <v>417</v>
      </c>
      <c r="E22" s="259"/>
      <c r="F22" s="259"/>
      <c r="G22" s="260"/>
      <c r="H22" s="260"/>
      <c r="I22" s="261" t="s">
        <v>481</v>
      </c>
      <c r="J22" s="549">
        <f>SUM(J23:J35)</f>
        <v>18922227</v>
      </c>
      <c r="K22" s="549">
        <f t="shared" ref="K22:Q22" si="10">SUM(K23:K35)</f>
        <v>33522227</v>
      </c>
      <c r="L22" s="550"/>
      <c r="M22" s="549">
        <f t="shared" si="10"/>
        <v>18922227</v>
      </c>
      <c r="N22" s="549">
        <f t="shared" si="10"/>
        <v>18922227</v>
      </c>
      <c r="O22" s="550"/>
      <c r="P22" s="549">
        <f t="shared" si="10"/>
        <v>0</v>
      </c>
      <c r="Q22" s="549">
        <f t="shared" si="10"/>
        <v>14600000</v>
      </c>
    </row>
    <row r="23" spans="1:17" ht="30" x14ac:dyDescent="0.25">
      <c r="A23" s="235" t="s">
        <v>405</v>
      </c>
      <c r="B23" s="235" t="s">
        <v>405</v>
      </c>
      <c r="C23" s="235" t="s">
        <v>405</v>
      </c>
      <c r="D23" s="235" t="s">
        <v>417</v>
      </c>
      <c r="E23" s="235" t="s">
        <v>449</v>
      </c>
      <c r="F23" s="235" t="s">
        <v>403</v>
      </c>
      <c r="G23" s="236"/>
      <c r="H23" s="236"/>
      <c r="I23" s="278" t="s">
        <v>159</v>
      </c>
      <c r="J23" s="550">
        <v>240000</v>
      </c>
      <c r="K23" s="551"/>
      <c r="L23" s="551"/>
      <c r="M23" s="550">
        <v>240000</v>
      </c>
      <c r="N23" s="551"/>
      <c r="O23" s="551"/>
      <c r="P23" s="550">
        <f t="shared" ref="P23:Q24" si="11">SUM(J23-M23)</f>
        <v>0</v>
      </c>
      <c r="Q23" s="551">
        <f t="shared" si="11"/>
        <v>0</v>
      </c>
    </row>
    <row r="24" spans="1:17" ht="60" x14ac:dyDescent="0.25">
      <c r="A24" s="235" t="s">
        <v>405</v>
      </c>
      <c r="B24" s="235" t="s">
        <v>405</v>
      </c>
      <c r="C24" s="235" t="s">
        <v>405</v>
      </c>
      <c r="D24" s="235" t="s">
        <v>417</v>
      </c>
      <c r="E24" s="235" t="s">
        <v>415</v>
      </c>
      <c r="F24" s="235" t="s">
        <v>403</v>
      </c>
      <c r="G24" s="236" t="s">
        <v>420</v>
      </c>
      <c r="H24" s="236"/>
      <c r="I24" s="278" t="s">
        <v>161</v>
      </c>
      <c r="J24" s="550">
        <v>3400000</v>
      </c>
      <c r="K24" s="551"/>
      <c r="L24" s="551"/>
      <c r="M24" s="550">
        <v>3400000</v>
      </c>
      <c r="N24" s="551"/>
      <c r="O24" s="551"/>
      <c r="P24" s="550">
        <f t="shared" si="11"/>
        <v>0</v>
      </c>
      <c r="Q24" s="551">
        <f t="shared" si="11"/>
        <v>0</v>
      </c>
    </row>
    <row r="25" spans="1:17" ht="60" x14ac:dyDescent="0.25">
      <c r="A25" s="235" t="s">
        <v>405</v>
      </c>
      <c r="B25" s="235" t="s">
        <v>405</v>
      </c>
      <c r="C25" s="235" t="s">
        <v>405</v>
      </c>
      <c r="D25" s="235" t="s">
        <v>417</v>
      </c>
      <c r="E25" s="235" t="s">
        <v>415</v>
      </c>
      <c r="F25" s="235" t="s">
        <v>403</v>
      </c>
      <c r="G25" s="236" t="s">
        <v>482</v>
      </c>
      <c r="H25" s="236"/>
      <c r="I25" s="278" t="s">
        <v>148</v>
      </c>
      <c r="J25" s="550"/>
      <c r="K25" s="551"/>
      <c r="L25" s="551"/>
      <c r="M25" s="550"/>
      <c r="N25" s="551"/>
      <c r="O25" s="551"/>
      <c r="P25" s="550"/>
      <c r="Q25" s="551"/>
    </row>
    <row r="26" spans="1:17" ht="60" x14ac:dyDescent="0.25">
      <c r="A26" s="235" t="s">
        <v>405</v>
      </c>
      <c r="B26" s="235" t="s">
        <v>405</v>
      </c>
      <c r="C26" s="235" t="s">
        <v>405</v>
      </c>
      <c r="D26" s="235" t="s">
        <v>417</v>
      </c>
      <c r="E26" s="235" t="s">
        <v>426</v>
      </c>
      <c r="F26" s="235"/>
      <c r="G26" s="236"/>
      <c r="H26" s="236"/>
      <c r="I26" s="278" t="s">
        <v>483</v>
      </c>
      <c r="J26" s="550"/>
      <c r="K26" s="551"/>
      <c r="L26" s="551"/>
      <c r="M26" s="550"/>
      <c r="N26" s="551"/>
      <c r="O26" s="551"/>
      <c r="P26" s="550"/>
      <c r="Q26" s="551"/>
    </row>
    <row r="27" spans="1:17" ht="45" x14ac:dyDescent="0.25">
      <c r="A27" s="235" t="s">
        <v>405</v>
      </c>
      <c r="B27" s="235" t="s">
        <v>405</v>
      </c>
      <c r="C27" s="235" t="s">
        <v>405</v>
      </c>
      <c r="D27" s="235" t="s">
        <v>417</v>
      </c>
      <c r="E27" s="235" t="s">
        <v>426</v>
      </c>
      <c r="F27" s="235" t="s">
        <v>403</v>
      </c>
      <c r="G27" s="236"/>
      <c r="H27" s="236"/>
      <c r="I27" s="278" t="s">
        <v>484</v>
      </c>
      <c r="J27" s="550"/>
      <c r="K27" s="551"/>
      <c r="L27" s="551"/>
      <c r="M27" s="550"/>
      <c r="N27" s="551"/>
      <c r="O27" s="551"/>
      <c r="P27" s="550"/>
      <c r="Q27" s="551"/>
    </row>
    <row r="28" spans="1:17" ht="45" x14ac:dyDescent="0.25">
      <c r="A28" s="235" t="s">
        <v>405</v>
      </c>
      <c r="B28" s="235" t="s">
        <v>405</v>
      </c>
      <c r="C28" s="235" t="s">
        <v>405</v>
      </c>
      <c r="D28" s="235" t="s">
        <v>417</v>
      </c>
      <c r="E28" s="235" t="s">
        <v>426</v>
      </c>
      <c r="F28" s="235" t="s">
        <v>405</v>
      </c>
      <c r="G28" s="236"/>
      <c r="H28" s="236"/>
      <c r="I28" s="278" t="s">
        <v>485</v>
      </c>
      <c r="J28" s="550"/>
      <c r="K28" s="551"/>
      <c r="L28" s="551"/>
      <c r="M28" s="550"/>
      <c r="N28" s="551"/>
      <c r="O28" s="551"/>
      <c r="P28" s="550"/>
      <c r="Q28" s="551"/>
    </row>
    <row r="29" spans="1:17" ht="30" x14ac:dyDescent="0.25">
      <c r="A29" s="235" t="s">
        <v>405</v>
      </c>
      <c r="B29" s="235" t="s">
        <v>405</v>
      </c>
      <c r="C29" s="235" t="s">
        <v>405</v>
      </c>
      <c r="D29" s="235" t="s">
        <v>417</v>
      </c>
      <c r="E29" s="235" t="s">
        <v>435</v>
      </c>
      <c r="F29" s="235"/>
      <c r="G29" s="236"/>
      <c r="H29" s="236"/>
      <c r="I29" s="278" t="s">
        <v>95</v>
      </c>
      <c r="J29" s="550"/>
      <c r="K29" s="551"/>
      <c r="L29" s="551"/>
      <c r="M29" s="550"/>
      <c r="N29" s="551"/>
      <c r="O29" s="551"/>
      <c r="P29" s="550"/>
      <c r="Q29" s="551"/>
    </row>
    <row r="30" spans="1:17" ht="60" x14ac:dyDescent="0.25">
      <c r="A30" s="235" t="s">
        <v>405</v>
      </c>
      <c r="B30" s="235" t="s">
        <v>405</v>
      </c>
      <c r="C30" s="235" t="s">
        <v>405</v>
      </c>
      <c r="D30" s="235" t="s">
        <v>417</v>
      </c>
      <c r="E30" s="235" t="s">
        <v>435</v>
      </c>
      <c r="F30" s="235" t="s">
        <v>405</v>
      </c>
      <c r="G30" s="236"/>
      <c r="H30" s="236"/>
      <c r="I30" s="278" t="s">
        <v>351</v>
      </c>
      <c r="J30" s="550"/>
      <c r="K30" s="551"/>
      <c r="L30" s="551"/>
      <c r="M30" s="550"/>
      <c r="N30" s="551"/>
      <c r="O30" s="551"/>
      <c r="P30" s="550"/>
      <c r="Q30" s="551"/>
    </row>
    <row r="31" spans="1:17" ht="105" x14ac:dyDescent="0.25">
      <c r="A31" s="235" t="s">
        <v>405</v>
      </c>
      <c r="B31" s="235" t="s">
        <v>405</v>
      </c>
      <c r="C31" s="235" t="s">
        <v>405</v>
      </c>
      <c r="D31" s="235" t="s">
        <v>417</v>
      </c>
      <c r="E31" s="235" t="s">
        <v>443</v>
      </c>
      <c r="F31" s="235" t="s">
        <v>403</v>
      </c>
      <c r="G31" s="236"/>
      <c r="H31" s="236"/>
      <c r="I31" s="278" t="s">
        <v>89</v>
      </c>
      <c r="J31" s="557"/>
      <c r="K31" s="558">
        <f>18240000+15282227</f>
        <v>33522227</v>
      </c>
      <c r="L31" s="551"/>
      <c r="M31" s="550"/>
      <c r="N31" s="551">
        <f>240000+3400000+15282227</f>
        <v>18922227</v>
      </c>
      <c r="O31" s="551"/>
      <c r="P31" s="550">
        <f t="shared" ref="P31" si="12">SUM(J31-M31)</f>
        <v>0</v>
      </c>
      <c r="Q31" s="551">
        <f t="shared" ref="Q31:Q32" si="13">SUM(K31-N31)</f>
        <v>14600000</v>
      </c>
    </row>
    <row r="32" spans="1:17" ht="90" x14ac:dyDescent="0.25">
      <c r="A32" s="235" t="s">
        <v>405</v>
      </c>
      <c r="B32" s="235" t="s">
        <v>405</v>
      </c>
      <c r="C32" s="235" t="s">
        <v>405</v>
      </c>
      <c r="D32" s="235" t="s">
        <v>417</v>
      </c>
      <c r="E32" s="235" t="s">
        <v>443</v>
      </c>
      <c r="F32" s="235" t="s">
        <v>403</v>
      </c>
      <c r="G32" s="236" t="s">
        <v>482</v>
      </c>
      <c r="H32" s="236"/>
      <c r="I32" s="278" t="s">
        <v>125</v>
      </c>
      <c r="J32" s="557">
        <v>15282227</v>
      </c>
      <c r="K32" s="558"/>
      <c r="L32" s="551"/>
      <c r="M32" s="550">
        <v>15282227</v>
      </c>
      <c r="N32" s="551"/>
      <c r="O32" s="551"/>
      <c r="P32" s="550"/>
      <c r="Q32" s="551">
        <f t="shared" si="13"/>
        <v>0</v>
      </c>
    </row>
    <row r="33" spans="1:17" ht="60" x14ac:dyDescent="0.25">
      <c r="A33" s="235" t="s">
        <v>405</v>
      </c>
      <c r="B33" s="235" t="s">
        <v>405</v>
      </c>
      <c r="C33" s="235" t="s">
        <v>405</v>
      </c>
      <c r="D33" s="235" t="s">
        <v>417</v>
      </c>
      <c r="E33" s="235" t="s">
        <v>443</v>
      </c>
      <c r="F33" s="235" t="s">
        <v>403</v>
      </c>
      <c r="G33" s="236" t="s">
        <v>424</v>
      </c>
      <c r="H33" s="236"/>
      <c r="I33" s="278" t="s">
        <v>486</v>
      </c>
      <c r="J33" s="550"/>
      <c r="K33" s="551"/>
      <c r="L33" s="551"/>
      <c r="M33" s="550"/>
      <c r="N33" s="551"/>
      <c r="O33" s="551"/>
      <c r="P33" s="550"/>
      <c r="Q33" s="551"/>
    </row>
    <row r="34" spans="1:17" ht="75" x14ac:dyDescent="0.25">
      <c r="A34" s="235" t="s">
        <v>405</v>
      </c>
      <c r="B34" s="235" t="s">
        <v>405</v>
      </c>
      <c r="C34" s="235" t="s">
        <v>405</v>
      </c>
      <c r="D34" s="235" t="s">
        <v>417</v>
      </c>
      <c r="E34" s="235" t="s">
        <v>443</v>
      </c>
      <c r="F34" s="235" t="s">
        <v>403</v>
      </c>
      <c r="G34" s="236" t="s">
        <v>477</v>
      </c>
      <c r="H34" s="236"/>
      <c r="I34" s="278" t="s">
        <v>101</v>
      </c>
      <c r="J34" s="550"/>
      <c r="K34" s="551"/>
      <c r="L34" s="551"/>
      <c r="M34" s="550"/>
      <c r="N34" s="551"/>
      <c r="O34" s="551"/>
      <c r="P34" s="550"/>
      <c r="Q34" s="551"/>
    </row>
    <row r="35" spans="1:17" ht="60" x14ac:dyDescent="0.25">
      <c r="A35" s="235" t="s">
        <v>405</v>
      </c>
      <c r="B35" s="235" t="s">
        <v>405</v>
      </c>
      <c r="C35" s="235" t="s">
        <v>405</v>
      </c>
      <c r="D35" s="235" t="s">
        <v>417</v>
      </c>
      <c r="E35" s="235" t="s">
        <v>473</v>
      </c>
      <c r="F35" s="235" t="s">
        <v>403</v>
      </c>
      <c r="G35" s="236"/>
      <c r="H35" s="236"/>
      <c r="I35" s="278" t="s">
        <v>164</v>
      </c>
      <c r="J35" s="559"/>
      <c r="K35" s="551"/>
      <c r="L35" s="551"/>
      <c r="M35" s="559"/>
      <c r="N35" s="551"/>
      <c r="O35" s="551"/>
      <c r="P35" s="559"/>
      <c r="Q35" s="551"/>
    </row>
    <row r="36" spans="1:17" ht="32.450000000000003" customHeight="1" x14ac:dyDescent="0.25">
      <c r="A36" s="754" t="s">
        <v>526</v>
      </c>
      <c r="B36" s="754"/>
      <c r="C36" s="754"/>
      <c r="D36" s="754"/>
      <c r="E36" s="754"/>
      <c r="F36" s="754"/>
      <c r="G36" s="754"/>
      <c r="H36" s="754"/>
      <c r="I36" s="754"/>
      <c r="J36" s="560">
        <f>SUM(J4+J7)</f>
        <v>114222227</v>
      </c>
      <c r="K36" s="560">
        <f>SUM(K4+K7)</f>
        <v>114222227</v>
      </c>
      <c r="L36" s="561"/>
      <c r="M36" s="560">
        <f t="shared" ref="M36:Q36" si="14">SUM(M4+M7)</f>
        <v>25922227</v>
      </c>
      <c r="N36" s="560">
        <f t="shared" si="14"/>
        <v>25922227</v>
      </c>
      <c r="O36" s="561"/>
      <c r="P36" s="560">
        <f t="shared" si="14"/>
        <v>88300000</v>
      </c>
      <c r="Q36" s="560">
        <f t="shared" si="14"/>
        <v>88300000</v>
      </c>
    </row>
  </sheetData>
  <mergeCells count="4">
    <mergeCell ref="J2:K2"/>
    <mergeCell ref="M2:N2"/>
    <mergeCell ref="P2:Q2"/>
    <mergeCell ref="A36: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4"/>
  <sheetViews>
    <sheetView zoomScale="59" zoomScaleNormal="59" workbookViewId="0">
      <pane xSplit="8" ySplit="4" topLeftCell="I38" activePane="bottomRight" state="frozen"/>
      <selection pane="topRight" activeCell="I1" sqref="I1"/>
      <selection pane="bottomLeft" activeCell="A5" sqref="A5"/>
      <selection pane="bottomRight" activeCell="I5" sqref="I5"/>
    </sheetView>
  </sheetViews>
  <sheetFormatPr baseColWidth="10" defaultColWidth="11" defaultRowHeight="15" x14ac:dyDescent="0.25"/>
  <cols>
    <col min="1" max="1" width="3.6328125" style="545" customWidth="1"/>
    <col min="2" max="2" width="3.453125" style="545" customWidth="1"/>
    <col min="3" max="3" width="4" style="545" customWidth="1"/>
    <col min="4" max="5" width="5.1796875" style="545" customWidth="1"/>
    <col min="6" max="6" width="4.08984375" style="545" customWidth="1"/>
    <col min="7" max="7" width="2.453125" style="545" customWidth="1"/>
    <col min="8" max="8" width="2.26953125" style="545" customWidth="1"/>
    <col min="9" max="9" width="35.453125" style="545" customWidth="1"/>
    <col min="10" max="10" width="15.1796875" style="545" customWidth="1"/>
    <col min="11" max="11" width="17.08984375" style="545" customWidth="1"/>
    <col min="12" max="12" width="1.7265625" style="562" customWidth="1"/>
    <col min="13" max="13" width="15.1796875" style="545" customWidth="1"/>
    <col min="14" max="14" width="17.08984375" style="545" customWidth="1"/>
    <col min="15" max="15" width="1.36328125" style="562" customWidth="1"/>
    <col min="16" max="16" width="15.1796875" style="545" customWidth="1"/>
    <col min="17" max="17" width="17.08984375" style="545" customWidth="1"/>
    <col min="18" max="16384" width="11" style="545"/>
  </cols>
  <sheetData>
    <row r="2" spans="1:17" x14ac:dyDescent="0.25">
      <c r="J2" s="753" t="s">
        <v>521</v>
      </c>
      <c r="K2" s="753"/>
      <c r="L2" s="546"/>
      <c r="M2" s="753" t="s">
        <v>522</v>
      </c>
      <c r="N2" s="753"/>
      <c r="O2" s="547"/>
      <c r="P2" s="753" t="s">
        <v>523</v>
      </c>
      <c r="Q2" s="753"/>
    </row>
    <row r="3" spans="1:17" ht="39.950000000000003" customHeight="1" x14ac:dyDescent="0.25">
      <c r="A3" s="102" t="s">
        <v>365</v>
      </c>
      <c r="B3" s="102" t="s">
        <v>366</v>
      </c>
      <c r="C3" s="102" t="s">
        <v>367</v>
      </c>
      <c r="D3" s="102" t="s">
        <v>368</v>
      </c>
      <c r="E3" s="102" t="s">
        <v>369</v>
      </c>
      <c r="F3" s="102" t="s">
        <v>370</v>
      </c>
      <c r="G3" s="102" t="s">
        <v>371</v>
      </c>
      <c r="H3" s="102" t="s">
        <v>372</v>
      </c>
      <c r="I3" s="103" t="s">
        <v>373</v>
      </c>
      <c r="J3" s="548" t="s">
        <v>524</v>
      </c>
      <c r="K3" s="103" t="s">
        <v>525</v>
      </c>
      <c r="L3" s="108"/>
      <c r="M3" s="548" t="s">
        <v>524</v>
      </c>
      <c r="N3" s="103" t="s">
        <v>525</v>
      </c>
      <c r="O3" s="108"/>
      <c r="P3" s="548" t="s">
        <v>524</v>
      </c>
      <c r="Q3" s="103" t="s">
        <v>525</v>
      </c>
    </row>
    <row r="4" spans="1:17" ht="18.75" x14ac:dyDescent="0.25">
      <c r="A4" s="259" t="s">
        <v>405</v>
      </c>
      <c r="B4" s="259" t="s">
        <v>403</v>
      </c>
      <c r="C4" s="259" t="s">
        <v>403</v>
      </c>
      <c r="D4" s="259" t="s">
        <v>426</v>
      </c>
      <c r="E4" s="259"/>
      <c r="F4" s="259"/>
      <c r="G4" s="260"/>
      <c r="H4" s="260"/>
      <c r="I4" s="261" t="s">
        <v>427</v>
      </c>
      <c r="J4" s="549">
        <f>SUM(J5:J5)</f>
        <v>85300000</v>
      </c>
      <c r="K4" s="549">
        <f>SUM(K5:K5)</f>
        <v>0</v>
      </c>
      <c r="L4" s="550"/>
      <c r="M4" s="549">
        <f t="shared" ref="M4:Q4" si="0">SUM(M5:M5)</f>
        <v>0</v>
      </c>
      <c r="N4" s="549">
        <f t="shared" si="0"/>
        <v>0</v>
      </c>
      <c r="O4" s="550"/>
      <c r="P4" s="549">
        <f t="shared" si="0"/>
        <v>85300000</v>
      </c>
      <c r="Q4" s="549">
        <f t="shared" si="0"/>
        <v>0</v>
      </c>
    </row>
    <row r="5" spans="1:17" ht="30" x14ac:dyDescent="0.25">
      <c r="A5" s="235" t="s">
        <v>405</v>
      </c>
      <c r="B5" s="235" t="s">
        <v>403</v>
      </c>
      <c r="C5" s="235" t="s">
        <v>403</v>
      </c>
      <c r="D5" s="235" t="s">
        <v>426</v>
      </c>
      <c r="E5" s="235" t="s">
        <v>435</v>
      </c>
      <c r="F5" s="235" t="s">
        <v>405</v>
      </c>
      <c r="G5" s="236"/>
      <c r="H5" s="236"/>
      <c r="I5" s="278" t="s">
        <v>438</v>
      </c>
      <c r="J5" s="550">
        <v>85300000</v>
      </c>
      <c r="K5" s="551"/>
      <c r="L5" s="551"/>
      <c r="M5" s="550"/>
      <c r="N5" s="551"/>
      <c r="O5" s="551"/>
      <c r="P5" s="550">
        <f>SUM(J5-M5)</f>
        <v>85300000</v>
      </c>
      <c r="Q5" s="551"/>
    </row>
    <row r="6" spans="1:17" ht="18.75" x14ac:dyDescent="0.25">
      <c r="A6" s="285"/>
      <c r="B6" s="285"/>
      <c r="C6" s="285"/>
      <c r="D6" s="285"/>
      <c r="E6" s="285"/>
      <c r="F6" s="285"/>
      <c r="G6" s="286"/>
      <c r="H6" s="286"/>
      <c r="I6" s="287"/>
      <c r="J6" s="552"/>
      <c r="K6" s="552"/>
      <c r="L6" s="553"/>
      <c r="M6" s="552"/>
      <c r="N6" s="552"/>
      <c r="O6" s="553"/>
      <c r="P6" s="552"/>
      <c r="Q6" s="552"/>
    </row>
    <row r="7" spans="1:17" ht="18.75" x14ac:dyDescent="0.25">
      <c r="A7" s="235" t="s">
        <v>405</v>
      </c>
      <c r="B7" s="235" t="s">
        <v>405</v>
      </c>
      <c r="C7" s="235"/>
      <c r="D7" s="235"/>
      <c r="E7" s="235"/>
      <c r="F7" s="235"/>
      <c r="G7" s="236"/>
      <c r="H7" s="236"/>
      <c r="I7" s="237" t="s">
        <v>447</v>
      </c>
      <c r="J7" s="554">
        <f>SUM(J8+J17)</f>
        <v>55922227</v>
      </c>
      <c r="K7" s="554">
        <f>SUM(K8+K17)</f>
        <v>141222227</v>
      </c>
      <c r="L7" s="550"/>
      <c r="M7" s="555">
        <f t="shared" ref="M7:Q7" si="1">SUM(M8+M17)</f>
        <v>42422227</v>
      </c>
      <c r="N7" s="555">
        <f t="shared" si="1"/>
        <v>42422227</v>
      </c>
      <c r="O7" s="550"/>
      <c r="P7" s="555">
        <f t="shared" si="1"/>
        <v>13500000</v>
      </c>
      <c r="Q7" s="555">
        <f t="shared" si="1"/>
        <v>98800000</v>
      </c>
    </row>
    <row r="8" spans="1:17" ht="18.75" x14ac:dyDescent="0.25">
      <c r="A8" s="241" t="s">
        <v>405</v>
      </c>
      <c r="B8" s="241" t="s">
        <v>405</v>
      </c>
      <c r="C8" s="241" t="s">
        <v>403</v>
      </c>
      <c r="D8" s="241"/>
      <c r="E8" s="241"/>
      <c r="F8" s="241"/>
      <c r="G8" s="242"/>
      <c r="H8" s="242"/>
      <c r="I8" s="243" t="s">
        <v>448</v>
      </c>
      <c r="J8" s="556">
        <f>SUM(J9+J14)</f>
        <v>5000000</v>
      </c>
      <c r="K8" s="556">
        <f>SUM(K9+K14)</f>
        <v>47500000</v>
      </c>
      <c r="L8" s="550"/>
      <c r="M8" s="556">
        <f t="shared" ref="M8:Q8" si="2">SUM(M9+M14)</f>
        <v>4500000</v>
      </c>
      <c r="N8" s="556">
        <f t="shared" si="2"/>
        <v>4500000</v>
      </c>
      <c r="O8" s="550"/>
      <c r="P8" s="556">
        <f t="shared" si="2"/>
        <v>500000</v>
      </c>
      <c r="Q8" s="556">
        <f t="shared" si="2"/>
        <v>43000000</v>
      </c>
    </row>
    <row r="9" spans="1:17" ht="45" x14ac:dyDescent="0.25">
      <c r="A9" s="259" t="s">
        <v>405</v>
      </c>
      <c r="B9" s="259" t="s">
        <v>405</v>
      </c>
      <c r="C9" s="259" t="s">
        <v>403</v>
      </c>
      <c r="D9" s="308" t="s">
        <v>415</v>
      </c>
      <c r="E9" s="259"/>
      <c r="F9" s="259"/>
      <c r="G9" s="260"/>
      <c r="H9" s="260"/>
      <c r="I9" s="261" t="s">
        <v>452</v>
      </c>
      <c r="J9" s="549">
        <f>SUM(J10:J13)</f>
        <v>2000000</v>
      </c>
      <c r="K9" s="549">
        <f>SUM(K10:K13)</f>
        <v>45000000</v>
      </c>
      <c r="L9" s="550"/>
      <c r="M9" s="549">
        <f t="shared" ref="M9:Q9" si="3">SUM(M10:M13)</f>
        <v>2000000</v>
      </c>
      <c r="N9" s="549">
        <f t="shared" si="3"/>
        <v>2000000</v>
      </c>
      <c r="O9" s="550"/>
      <c r="P9" s="549">
        <f t="shared" si="3"/>
        <v>0</v>
      </c>
      <c r="Q9" s="549">
        <f t="shared" si="3"/>
        <v>43000000</v>
      </c>
    </row>
    <row r="10" spans="1:17" ht="18.75" x14ac:dyDescent="0.25">
      <c r="A10" s="235" t="s">
        <v>405</v>
      </c>
      <c r="B10" s="235" t="s">
        <v>405</v>
      </c>
      <c r="C10" s="235" t="s">
        <v>403</v>
      </c>
      <c r="D10" s="235" t="s">
        <v>415</v>
      </c>
      <c r="E10" s="235" t="s">
        <v>449</v>
      </c>
      <c r="F10" s="235" t="s">
        <v>403</v>
      </c>
      <c r="G10" s="236"/>
      <c r="H10" s="236"/>
      <c r="I10" s="278" t="s">
        <v>453</v>
      </c>
      <c r="J10" s="550"/>
      <c r="K10" s="551">
        <v>15000000</v>
      </c>
      <c r="L10" s="551"/>
      <c r="M10" s="550"/>
      <c r="N10" s="551"/>
      <c r="O10" s="551"/>
      <c r="P10" s="550">
        <f>SUM(J10-M10)</f>
        <v>0</v>
      </c>
      <c r="Q10" s="551">
        <f>SUM(K10-N10)</f>
        <v>15000000</v>
      </c>
    </row>
    <row r="11" spans="1:17" ht="45" x14ac:dyDescent="0.25">
      <c r="A11" s="235" t="s">
        <v>405</v>
      </c>
      <c r="B11" s="235" t="s">
        <v>405</v>
      </c>
      <c r="C11" s="235" t="s">
        <v>403</v>
      </c>
      <c r="D11" s="235" t="s">
        <v>415</v>
      </c>
      <c r="E11" s="235" t="s">
        <v>435</v>
      </c>
      <c r="F11" s="235" t="s">
        <v>403</v>
      </c>
      <c r="G11" s="236"/>
      <c r="H11" s="236"/>
      <c r="I11" s="278" t="s">
        <v>455</v>
      </c>
      <c r="J11" s="550"/>
      <c r="K11" s="551">
        <v>25000000</v>
      </c>
      <c r="L11" s="551"/>
      <c r="M11" s="550"/>
      <c r="N11" s="551"/>
      <c r="O11" s="551"/>
      <c r="P11" s="550">
        <f t="shared" ref="P11:P13" si="4">SUM(J11-M11)</f>
        <v>0</v>
      </c>
      <c r="Q11" s="551">
        <f t="shared" ref="Q11:Q13" si="5">SUM(K11-N11)</f>
        <v>25000000</v>
      </c>
    </row>
    <row r="12" spans="1:17" ht="30" x14ac:dyDescent="0.25">
      <c r="A12" s="235" t="s">
        <v>405</v>
      </c>
      <c r="B12" s="235" t="s">
        <v>405</v>
      </c>
      <c r="C12" s="235" t="s">
        <v>403</v>
      </c>
      <c r="D12" s="235" t="s">
        <v>415</v>
      </c>
      <c r="E12" s="235" t="s">
        <v>443</v>
      </c>
      <c r="F12" s="235"/>
      <c r="G12" s="236"/>
      <c r="H12" s="236"/>
      <c r="I12" s="278" t="s">
        <v>458</v>
      </c>
      <c r="J12" s="550"/>
      <c r="K12" s="551">
        <v>5000000</v>
      </c>
      <c r="L12" s="551"/>
      <c r="M12" s="550"/>
      <c r="N12" s="551">
        <v>2000000</v>
      </c>
      <c r="O12" s="551"/>
      <c r="P12" s="550">
        <f t="shared" si="4"/>
        <v>0</v>
      </c>
      <c r="Q12" s="551">
        <f t="shared" si="5"/>
        <v>3000000</v>
      </c>
    </row>
    <row r="13" spans="1:17" ht="30" x14ac:dyDescent="0.25">
      <c r="A13" s="235" t="s">
        <v>405</v>
      </c>
      <c r="B13" s="235" t="s">
        <v>405</v>
      </c>
      <c r="C13" s="235" t="s">
        <v>403</v>
      </c>
      <c r="D13" s="235" t="s">
        <v>415</v>
      </c>
      <c r="E13" s="235" t="s">
        <v>443</v>
      </c>
      <c r="F13" s="235" t="s">
        <v>405</v>
      </c>
      <c r="G13" s="236"/>
      <c r="H13" s="236"/>
      <c r="I13" s="278" t="s">
        <v>459</v>
      </c>
      <c r="J13" s="550">
        <v>2000000</v>
      </c>
      <c r="K13" s="551"/>
      <c r="L13" s="551"/>
      <c r="M13" s="550">
        <v>2000000</v>
      </c>
      <c r="N13" s="551"/>
      <c r="O13" s="551"/>
      <c r="P13" s="550">
        <f t="shared" si="4"/>
        <v>0</v>
      </c>
      <c r="Q13" s="551">
        <f t="shared" si="5"/>
        <v>0</v>
      </c>
    </row>
    <row r="14" spans="1:17" ht="30" x14ac:dyDescent="0.25">
      <c r="A14" s="259" t="s">
        <v>405</v>
      </c>
      <c r="B14" s="259" t="s">
        <v>405</v>
      </c>
      <c r="C14" s="259" t="s">
        <v>403</v>
      </c>
      <c r="D14" s="259" t="s">
        <v>426</v>
      </c>
      <c r="E14" s="259"/>
      <c r="F14" s="259"/>
      <c r="G14" s="260"/>
      <c r="H14" s="260"/>
      <c r="I14" s="261" t="s">
        <v>460</v>
      </c>
      <c r="J14" s="549">
        <f>SUM(J15:J16)</f>
        <v>3000000</v>
      </c>
      <c r="K14" s="549">
        <f>SUM(K15:K16)</f>
        <v>2500000</v>
      </c>
      <c r="L14" s="550"/>
      <c r="M14" s="549">
        <f>SUM(M15:M16)</f>
        <v>2500000</v>
      </c>
      <c r="N14" s="549">
        <f>SUM(N15:N16)</f>
        <v>2500000</v>
      </c>
      <c r="O14" s="550"/>
      <c r="P14" s="549">
        <f>SUM(P15:P16)</f>
        <v>500000</v>
      </c>
      <c r="Q14" s="549">
        <f>SUM(Q15:Q16)</f>
        <v>0</v>
      </c>
    </row>
    <row r="15" spans="1:17" ht="30" x14ac:dyDescent="0.25">
      <c r="A15" s="235" t="s">
        <v>405</v>
      </c>
      <c r="B15" s="235" t="s">
        <v>405</v>
      </c>
      <c r="C15" s="235" t="s">
        <v>403</v>
      </c>
      <c r="D15" s="235" t="s">
        <v>426</v>
      </c>
      <c r="E15" s="235" t="s">
        <v>449</v>
      </c>
      <c r="F15" s="235"/>
      <c r="G15" s="236"/>
      <c r="H15" s="236"/>
      <c r="I15" s="278" t="s">
        <v>461</v>
      </c>
      <c r="J15" s="550">
        <v>3000000</v>
      </c>
      <c r="K15" s="551"/>
      <c r="L15" s="551"/>
      <c r="M15" s="550">
        <v>2500000</v>
      </c>
      <c r="N15" s="551"/>
      <c r="O15" s="551"/>
      <c r="P15" s="550">
        <f>SUM(J15-M15)</f>
        <v>500000</v>
      </c>
      <c r="Q15" s="551">
        <f t="shared" ref="Q15:Q16" si="6">SUM(K15-N15)</f>
        <v>0</v>
      </c>
    </row>
    <row r="16" spans="1:17" ht="44.45" customHeight="1" x14ac:dyDescent="0.25">
      <c r="A16" s="603" t="s">
        <v>405</v>
      </c>
      <c r="B16" s="603" t="s">
        <v>405</v>
      </c>
      <c r="C16" s="603" t="s">
        <v>403</v>
      </c>
      <c r="D16" s="603" t="s">
        <v>426</v>
      </c>
      <c r="E16" s="603" t="s">
        <v>443</v>
      </c>
      <c r="F16" s="603">
        <v>8</v>
      </c>
      <c r="G16" s="236"/>
      <c r="H16" s="236"/>
      <c r="I16" s="278" t="s">
        <v>222</v>
      </c>
      <c r="J16" s="550"/>
      <c r="K16" s="551">
        <v>2500000</v>
      </c>
      <c r="L16" s="551"/>
      <c r="M16" s="550"/>
      <c r="N16" s="551">
        <v>2500000</v>
      </c>
      <c r="O16" s="551"/>
      <c r="P16" s="550"/>
      <c r="Q16" s="551">
        <f t="shared" si="6"/>
        <v>0</v>
      </c>
    </row>
    <row r="17" spans="1:17" ht="18.75" x14ac:dyDescent="0.25">
      <c r="A17" s="241" t="s">
        <v>405</v>
      </c>
      <c r="B17" s="241" t="s">
        <v>405</v>
      </c>
      <c r="C17" s="241" t="s">
        <v>405</v>
      </c>
      <c r="D17" s="241"/>
      <c r="E17" s="241"/>
      <c r="F17" s="241"/>
      <c r="G17" s="242"/>
      <c r="H17" s="242"/>
      <c r="I17" s="243" t="s">
        <v>462</v>
      </c>
      <c r="J17" s="556">
        <f>SUM(J18+J21+J25+J42+J39)</f>
        <v>50922227</v>
      </c>
      <c r="K17" s="556">
        <f>SUM(K18+K21+K25+K42+K39)</f>
        <v>93722227</v>
      </c>
      <c r="L17" s="550"/>
      <c r="M17" s="556">
        <f t="shared" ref="M17:N17" si="7">SUM(M18+M21+M25+M42+M39)</f>
        <v>37922227</v>
      </c>
      <c r="N17" s="556">
        <f t="shared" si="7"/>
        <v>37922227</v>
      </c>
      <c r="O17" s="550"/>
      <c r="P17" s="556">
        <f t="shared" ref="P17:Q17" si="8">SUM(P18+P21+P25+P42+P39)</f>
        <v>13000000</v>
      </c>
      <c r="Q17" s="556">
        <f t="shared" si="8"/>
        <v>55800000</v>
      </c>
    </row>
    <row r="18" spans="1:17" ht="18.75" x14ac:dyDescent="0.25">
      <c r="A18" s="259" t="s">
        <v>405</v>
      </c>
      <c r="B18" s="259" t="s">
        <v>405</v>
      </c>
      <c r="C18" s="259" t="s">
        <v>405</v>
      </c>
      <c r="D18" s="259" t="s">
        <v>435</v>
      </c>
      <c r="E18" s="259"/>
      <c r="F18" s="259"/>
      <c r="G18" s="260"/>
      <c r="H18" s="260"/>
      <c r="I18" s="261" t="s">
        <v>463</v>
      </c>
      <c r="J18" s="549">
        <f>SUM(J19:J20)</f>
        <v>3500000</v>
      </c>
      <c r="K18" s="549">
        <f>SUM(K19:K20)</f>
        <v>20000000</v>
      </c>
      <c r="L18" s="550"/>
      <c r="M18" s="549">
        <f>SUM(M19:M20)</f>
        <v>3500000</v>
      </c>
      <c r="N18" s="549">
        <f>SUM(N19:N20)</f>
        <v>3500000</v>
      </c>
      <c r="O18" s="550"/>
      <c r="P18" s="549">
        <f>SUM(P19:P20)</f>
        <v>0</v>
      </c>
      <c r="Q18" s="549">
        <f>SUM(Q19:Q20)</f>
        <v>16500000</v>
      </c>
    </row>
    <row r="19" spans="1:17" ht="45" x14ac:dyDescent="0.25">
      <c r="A19" s="235" t="s">
        <v>405</v>
      </c>
      <c r="B19" s="235" t="s">
        <v>405</v>
      </c>
      <c r="C19" s="235" t="s">
        <v>405</v>
      </c>
      <c r="D19" s="235" t="s">
        <v>435</v>
      </c>
      <c r="E19" s="235" t="s">
        <v>426</v>
      </c>
      <c r="F19" s="235" t="s">
        <v>405</v>
      </c>
      <c r="G19" s="236" t="s">
        <v>464</v>
      </c>
      <c r="H19" s="236"/>
      <c r="I19" s="278" t="s">
        <v>105</v>
      </c>
      <c r="J19" s="550"/>
      <c r="K19" s="551">
        <v>20000000</v>
      </c>
      <c r="L19" s="551"/>
      <c r="M19" s="550"/>
      <c r="N19" s="551">
        <v>3500000</v>
      </c>
      <c r="O19" s="551"/>
      <c r="P19" s="550"/>
      <c r="Q19" s="551">
        <f>SUM(K19-N19)</f>
        <v>16500000</v>
      </c>
    </row>
    <row r="20" spans="1:17" ht="50.1" customHeight="1" x14ac:dyDescent="0.25">
      <c r="A20" s="603" t="s">
        <v>405</v>
      </c>
      <c r="B20" s="603" t="s">
        <v>405</v>
      </c>
      <c r="C20" s="603" t="s">
        <v>405</v>
      </c>
      <c r="D20" s="603" t="s">
        <v>435</v>
      </c>
      <c r="E20" s="603" t="s">
        <v>426</v>
      </c>
      <c r="F20" s="603" t="s">
        <v>465</v>
      </c>
      <c r="G20" s="236"/>
      <c r="H20" s="236"/>
      <c r="I20" s="278" t="s">
        <v>135</v>
      </c>
      <c r="J20" s="550">
        <v>3500000</v>
      </c>
      <c r="K20" s="551"/>
      <c r="L20" s="551"/>
      <c r="M20" s="550">
        <v>3500000</v>
      </c>
      <c r="N20" s="551"/>
      <c r="O20" s="551"/>
      <c r="P20" s="550"/>
      <c r="Q20" s="551">
        <f>SUM(K20-N20)</f>
        <v>0</v>
      </c>
    </row>
    <row r="21" spans="1:17" ht="75" x14ac:dyDescent="0.25">
      <c r="A21" s="259" t="s">
        <v>405</v>
      </c>
      <c r="B21" s="259" t="s">
        <v>405</v>
      </c>
      <c r="C21" s="259" t="s">
        <v>405</v>
      </c>
      <c r="D21" s="259" t="s">
        <v>409</v>
      </c>
      <c r="E21" s="259"/>
      <c r="F21" s="259"/>
      <c r="G21" s="260"/>
      <c r="H21" s="260"/>
      <c r="I21" s="261" t="s">
        <v>466</v>
      </c>
      <c r="J21" s="549">
        <f>SUM(J22:J24)</f>
        <v>10000000</v>
      </c>
      <c r="K21" s="549">
        <f>SUM(K22:K24)</f>
        <v>10000000</v>
      </c>
      <c r="L21" s="550"/>
      <c r="M21" s="549">
        <f>SUM(M22:M24)</f>
        <v>10000000</v>
      </c>
      <c r="N21" s="549">
        <f>SUM(N22:N24)</f>
        <v>10000000</v>
      </c>
      <c r="O21" s="550"/>
      <c r="P21" s="549">
        <f>SUM(P22:P24)</f>
        <v>0</v>
      </c>
      <c r="Q21" s="549">
        <f>SUM(Q22:Q24)</f>
        <v>0</v>
      </c>
    </row>
    <row r="22" spans="1:17" ht="20.25" x14ac:dyDescent="0.25">
      <c r="A22" s="603" t="s">
        <v>405</v>
      </c>
      <c r="B22" s="603" t="s">
        <v>405</v>
      </c>
      <c r="C22" s="603" t="s">
        <v>405</v>
      </c>
      <c r="D22" s="603" t="s">
        <v>409</v>
      </c>
      <c r="E22" s="603" t="s">
        <v>415</v>
      </c>
      <c r="F22" s="603" t="s">
        <v>445</v>
      </c>
      <c r="G22" s="236"/>
      <c r="H22" s="236"/>
      <c r="I22" s="278" t="s">
        <v>470</v>
      </c>
      <c r="J22" s="550">
        <v>5000000</v>
      </c>
      <c r="K22" s="609"/>
      <c r="L22" s="609"/>
      <c r="M22" s="550">
        <v>5000000</v>
      </c>
      <c r="N22" s="609"/>
      <c r="O22" s="609"/>
      <c r="P22" s="550"/>
      <c r="Q22" s="609"/>
    </row>
    <row r="23" spans="1:17" ht="30" x14ac:dyDescent="0.25">
      <c r="A23" s="235" t="s">
        <v>405</v>
      </c>
      <c r="B23" s="235" t="s">
        <v>405</v>
      </c>
      <c r="C23" s="235" t="s">
        <v>405</v>
      </c>
      <c r="D23" s="235" t="s">
        <v>409</v>
      </c>
      <c r="E23" s="235" t="s">
        <v>415</v>
      </c>
      <c r="F23" s="235" t="s">
        <v>429</v>
      </c>
      <c r="G23" s="236"/>
      <c r="H23" s="236"/>
      <c r="I23" s="278" t="s">
        <v>471</v>
      </c>
      <c r="J23" s="550"/>
      <c r="K23" s="551">
        <v>10000000</v>
      </c>
      <c r="L23" s="551"/>
      <c r="M23" s="550"/>
      <c r="N23" s="551">
        <v>10000000</v>
      </c>
      <c r="O23" s="551"/>
      <c r="P23" s="550">
        <f t="shared" ref="P23:Q24" si="9">SUM(J23-M23)</f>
        <v>0</v>
      </c>
      <c r="Q23" s="551">
        <f t="shared" si="9"/>
        <v>0</v>
      </c>
    </row>
    <row r="24" spans="1:17" ht="65.099999999999994" customHeight="1" x14ac:dyDescent="0.25">
      <c r="A24" s="235" t="s">
        <v>405</v>
      </c>
      <c r="B24" s="235" t="s">
        <v>405</v>
      </c>
      <c r="C24" s="235" t="s">
        <v>405</v>
      </c>
      <c r="D24" s="235" t="s">
        <v>409</v>
      </c>
      <c r="E24" s="235" t="s">
        <v>426</v>
      </c>
      <c r="F24" s="235"/>
      <c r="G24" s="236"/>
      <c r="H24" s="236"/>
      <c r="I24" s="278" t="s">
        <v>128</v>
      </c>
      <c r="J24" s="550">
        <v>5000000</v>
      </c>
      <c r="K24" s="551"/>
      <c r="L24" s="551"/>
      <c r="M24" s="550">
        <v>5000000</v>
      </c>
      <c r="N24" s="551"/>
      <c r="O24" s="551"/>
      <c r="P24" s="550">
        <f t="shared" si="9"/>
        <v>0</v>
      </c>
      <c r="Q24" s="551">
        <f t="shared" si="9"/>
        <v>0</v>
      </c>
    </row>
    <row r="25" spans="1:17" ht="30" x14ac:dyDescent="0.25">
      <c r="A25" s="259" t="s">
        <v>405</v>
      </c>
      <c r="B25" s="259" t="s">
        <v>405</v>
      </c>
      <c r="C25" s="259" t="s">
        <v>405</v>
      </c>
      <c r="D25" s="259" t="s">
        <v>417</v>
      </c>
      <c r="E25" s="259"/>
      <c r="F25" s="259"/>
      <c r="G25" s="260"/>
      <c r="H25" s="260"/>
      <c r="I25" s="261" t="s">
        <v>481</v>
      </c>
      <c r="J25" s="549">
        <f>SUM(J26:J38)</f>
        <v>28922227</v>
      </c>
      <c r="K25" s="549">
        <f>SUM(K26:K38)</f>
        <v>58222227</v>
      </c>
      <c r="L25" s="550"/>
      <c r="M25" s="549">
        <f t="shared" ref="M25:Q25" si="10">SUM(M26:M38)</f>
        <v>18922227</v>
      </c>
      <c r="N25" s="549">
        <f t="shared" si="10"/>
        <v>18922227</v>
      </c>
      <c r="O25" s="550"/>
      <c r="P25" s="549">
        <f t="shared" si="10"/>
        <v>10000000</v>
      </c>
      <c r="Q25" s="549">
        <f t="shared" si="10"/>
        <v>39300000</v>
      </c>
    </row>
    <row r="26" spans="1:17" ht="18.75" x14ac:dyDescent="0.25">
      <c r="A26" s="235" t="s">
        <v>405</v>
      </c>
      <c r="B26" s="235" t="s">
        <v>405</v>
      </c>
      <c r="C26" s="235" t="s">
        <v>405</v>
      </c>
      <c r="D26" s="235" t="s">
        <v>417</v>
      </c>
      <c r="E26" s="235" t="s">
        <v>449</v>
      </c>
      <c r="F26" s="235" t="s">
        <v>403</v>
      </c>
      <c r="G26" s="236"/>
      <c r="H26" s="236"/>
      <c r="I26" s="278" t="s">
        <v>159</v>
      </c>
      <c r="J26" s="550">
        <v>240000</v>
      </c>
      <c r="K26" s="551"/>
      <c r="L26" s="551"/>
      <c r="M26" s="550">
        <v>240000</v>
      </c>
      <c r="N26" s="551"/>
      <c r="O26" s="551"/>
      <c r="P26" s="550">
        <f t="shared" ref="P26:Q27" si="11">SUM(J26-M26)</f>
        <v>0</v>
      </c>
      <c r="Q26" s="551">
        <f t="shared" si="11"/>
        <v>0</v>
      </c>
    </row>
    <row r="27" spans="1:17" ht="45" x14ac:dyDescent="0.25">
      <c r="A27" s="235" t="s">
        <v>405</v>
      </c>
      <c r="B27" s="235" t="s">
        <v>405</v>
      </c>
      <c r="C27" s="235" t="s">
        <v>405</v>
      </c>
      <c r="D27" s="235" t="s">
        <v>417</v>
      </c>
      <c r="E27" s="235" t="s">
        <v>415</v>
      </c>
      <c r="F27" s="235" t="s">
        <v>403</v>
      </c>
      <c r="G27" s="236" t="s">
        <v>420</v>
      </c>
      <c r="H27" s="236"/>
      <c r="I27" s="278" t="s">
        <v>161</v>
      </c>
      <c r="J27" s="550">
        <v>3400000</v>
      </c>
      <c r="K27" s="551"/>
      <c r="L27" s="551"/>
      <c r="M27" s="550">
        <v>3400000</v>
      </c>
      <c r="N27" s="551"/>
      <c r="O27" s="551"/>
      <c r="P27" s="550">
        <f t="shared" si="11"/>
        <v>0</v>
      </c>
      <c r="Q27" s="551">
        <f t="shared" si="11"/>
        <v>0</v>
      </c>
    </row>
    <row r="28" spans="1:17" ht="45" x14ac:dyDescent="0.25">
      <c r="A28" s="235" t="s">
        <v>405</v>
      </c>
      <c r="B28" s="235" t="s">
        <v>405</v>
      </c>
      <c r="C28" s="235" t="s">
        <v>405</v>
      </c>
      <c r="D28" s="235" t="s">
        <v>417</v>
      </c>
      <c r="E28" s="235" t="s">
        <v>415</v>
      </c>
      <c r="F28" s="235" t="s">
        <v>403</v>
      </c>
      <c r="G28" s="236" t="s">
        <v>482</v>
      </c>
      <c r="H28" s="236"/>
      <c r="I28" s="278" t="s">
        <v>148</v>
      </c>
      <c r="J28" s="550"/>
      <c r="K28" s="551"/>
      <c r="L28" s="551"/>
      <c r="M28" s="550"/>
      <c r="N28" s="551"/>
      <c r="O28" s="551"/>
      <c r="P28" s="550"/>
      <c r="Q28" s="551"/>
    </row>
    <row r="29" spans="1:17" ht="45" x14ac:dyDescent="0.25">
      <c r="A29" s="235" t="s">
        <v>405</v>
      </c>
      <c r="B29" s="235" t="s">
        <v>405</v>
      </c>
      <c r="C29" s="235" t="s">
        <v>405</v>
      </c>
      <c r="D29" s="235" t="s">
        <v>417</v>
      </c>
      <c r="E29" s="235" t="s">
        <v>426</v>
      </c>
      <c r="F29" s="235"/>
      <c r="G29" s="236"/>
      <c r="H29" s="236"/>
      <c r="I29" s="278" t="s">
        <v>483</v>
      </c>
      <c r="J29" s="550"/>
      <c r="K29" s="551"/>
      <c r="L29" s="551"/>
      <c r="M29" s="550"/>
      <c r="N29" s="551"/>
      <c r="O29" s="551"/>
      <c r="P29" s="550"/>
      <c r="Q29" s="551"/>
    </row>
    <row r="30" spans="1:17" ht="30" x14ac:dyDescent="0.25">
      <c r="A30" s="235" t="s">
        <v>405</v>
      </c>
      <c r="B30" s="235" t="s">
        <v>405</v>
      </c>
      <c r="C30" s="235" t="s">
        <v>405</v>
      </c>
      <c r="D30" s="235" t="s">
        <v>417</v>
      </c>
      <c r="E30" s="235" t="s">
        <v>426</v>
      </c>
      <c r="F30" s="235" t="s">
        <v>403</v>
      </c>
      <c r="G30" s="236"/>
      <c r="H30" s="236"/>
      <c r="I30" s="278" t="s">
        <v>484</v>
      </c>
      <c r="J30" s="550"/>
      <c r="K30" s="551"/>
      <c r="L30" s="551"/>
      <c r="M30" s="550"/>
      <c r="N30" s="551"/>
      <c r="O30" s="551"/>
      <c r="P30" s="550"/>
      <c r="Q30" s="551"/>
    </row>
    <row r="31" spans="1:17" ht="30" x14ac:dyDescent="0.25">
      <c r="A31" s="235" t="s">
        <v>405</v>
      </c>
      <c r="B31" s="235" t="s">
        <v>405</v>
      </c>
      <c r="C31" s="235" t="s">
        <v>405</v>
      </c>
      <c r="D31" s="235" t="s">
        <v>417</v>
      </c>
      <c r="E31" s="235" t="s">
        <v>426</v>
      </c>
      <c r="F31" s="235" t="s">
        <v>405</v>
      </c>
      <c r="G31" s="236"/>
      <c r="H31" s="236"/>
      <c r="I31" s="278" t="s">
        <v>485</v>
      </c>
      <c r="J31" s="550"/>
      <c r="K31" s="551"/>
      <c r="L31" s="551"/>
      <c r="M31" s="550"/>
      <c r="N31" s="551"/>
      <c r="O31" s="551"/>
      <c r="P31" s="550"/>
      <c r="Q31" s="551"/>
    </row>
    <row r="32" spans="1:17" ht="18.75" x14ac:dyDescent="0.25">
      <c r="A32" s="235" t="s">
        <v>405</v>
      </c>
      <c r="B32" s="235" t="s">
        <v>405</v>
      </c>
      <c r="C32" s="235" t="s">
        <v>405</v>
      </c>
      <c r="D32" s="235" t="s">
        <v>417</v>
      </c>
      <c r="E32" s="235" t="s">
        <v>435</v>
      </c>
      <c r="F32" s="235"/>
      <c r="G32" s="236"/>
      <c r="H32" s="236"/>
      <c r="I32" s="278" t="s">
        <v>95</v>
      </c>
      <c r="J32" s="550"/>
      <c r="K32" s="551"/>
      <c r="L32" s="551"/>
      <c r="M32" s="550"/>
      <c r="N32" s="551"/>
      <c r="O32" s="551"/>
      <c r="P32" s="550"/>
      <c r="Q32" s="551"/>
    </row>
    <row r="33" spans="1:17" ht="30" x14ac:dyDescent="0.25">
      <c r="A33" s="235" t="s">
        <v>405</v>
      </c>
      <c r="B33" s="235" t="s">
        <v>405</v>
      </c>
      <c r="C33" s="235" t="s">
        <v>405</v>
      </c>
      <c r="D33" s="235" t="s">
        <v>417</v>
      </c>
      <c r="E33" s="235" t="s">
        <v>435</v>
      </c>
      <c r="F33" s="235" t="s">
        <v>405</v>
      </c>
      <c r="G33" s="236"/>
      <c r="H33" s="236"/>
      <c r="I33" s="278" t="s">
        <v>351</v>
      </c>
      <c r="J33" s="550"/>
      <c r="K33" s="551"/>
      <c r="L33" s="551"/>
      <c r="M33" s="550"/>
      <c r="N33" s="551"/>
      <c r="O33" s="551"/>
      <c r="P33" s="550"/>
      <c r="Q33" s="551"/>
    </row>
    <row r="34" spans="1:17" ht="45" x14ac:dyDescent="0.25">
      <c r="A34" s="235" t="s">
        <v>405</v>
      </c>
      <c r="B34" s="235" t="s">
        <v>405</v>
      </c>
      <c r="C34" s="235" t="s">
        <v>405</v>
      </c>
      <c r="D34" s="235" t="s">
        <v>417</v>
      </c>
      <c r="E34" s="235" t="s">
        <v>443</v>
      </c>
      <c r="F34" s="235" t="s">
        <v>403</v>
      </c>
      <c r="G34" s="236"/>
      <c r="H34" s="236"/>
      <c r="I34" s="278" t="s">
        <v>89</v>
      </c>
      <c r="J34" s="557"/>
      <c r="K34" s="558">
        <v>58222227</v>
      </c>
      <c r="L34" s="551"/>
      <c r="M34" s="550"/>
      <c r="N34" s="551">
        <f>240000+3400000+15282227</f>
        <v>18922227</v>
      </c>
      <c r="O34" s="551"/>
      <c r="P34" s="550">
        <f>SUM(J34-M34)</f>
        <v>0</v>
      </c>
      <c r="Q34" s="551">
        <f t="shared" ref="Q34" si="12">SUM(K34-N34)</f>
        <v>39300000</v>
      </c>
    </row>
    <row r="35" spans="1:17" ht="45" x14ac:dyDescent="0.25">
      <c r="A35" s="235" t="s">
        <v>405</v>
      </c>
      <c r="B35" s="235" t="s">
        <v>405</v>
      </c>
      <c r="C35" s="235" t="s">
        <v>405</v>
      </c>
      <c r="D35" s="235" t="s">
        <v>417</v>
      </c>
      <c r="E35" s="235" t="s">
        <v>443</v>
      </c>
      <c r="F35" s="235" t="s">
        <v>403</v>
      </c>
      <c r="G35" s="236" t="s">
        <v>482</v>
      </c>
      <c r="H35" s="236"/>
      <c r="I35" s="278" t="s">
        <v>125</v>
      </c>
      <c r="J35" s="557">
        <v>15282227</v>
      </c>
      <c r="K35" s="558"/>
      <c r="L35" s="551"/>
      <c r="M35" s="550">
        <v>15282227</v>
      </c>
      <c r="N35" s="551"/>
      <c r="O35" s="551"/>
      <c r="P35" s="550">
        <f t="shared" ref="P35:P38" si="13">SUM(J35-M35)</f>
        <v>0</v>
      </c>
      <c r="Q35" s="551">
        <f t="shared" ref="Q35:Q38" si="14">SUM(K35-N35)</f>
        <v>0</v>
      </c>
    </row>
    <row r="36" spans="1:17" ht="30" x14ac:dyDescent="0.25">
      <c r="A36" s="235" t="s">
        <v>405</v>
      </c>
      <c r="B36" s="235" t="s">
        <v>405</v>
      </c>
      <c r="C36" s="235" t="s">
        <v>405</v>
      </c>
      <c r="D36" s="235" t="s">
        <v>417</v>
      </c>
      <c r="E36" s="235" t="s">
        <v>443</v>
      </c>
      <c r="F36" s="235" t="s">
        <v>403</v>
      </c>
      <c r="G36" s="236" t="s">
        <v>424</v>
      </c>
      <c r="H36" s="236"/>
      <c r="I36" s="278" t="s">
        <v>486</v>
      </c>
      <c r="J36" s="550"/>
      <c r="K36" s="551"/>
      <c r="L36" s="551"/>
      <c r="M36" s="550"/>
      <c r="N36" s="551"/>
      <c r="O36" s="551"/>
      <c r="P36" s="550">
        <f t="shared" si="13"/>
        <v>0</v>
      </c>
      <c r="Q36" s="551">
        <f t="shared" si="14"/>
        <v>0</v>
      </c>
    </row>
    <row r="37" spans="1:17" ht="45" x14ac:dyDescent="0.25">
      <c r="A37" s="235" t="s">
        <v>405</v>
      </c>
      <c r="B37" s="235" t="s">
        <v>405</v>
      </c>
      <c r="C37" s="235" t="s">
        <v>405</v>
      </c>
      <c r="D37" s="235" t="s">
        <v>417</v>
      </c>
      <c r="E37" s="235" t="s">
        <v>443</v>
      </c>
      <c r="F37" s="235" t="s">
        <v>403</v>
      </c>
      <c r="G37" s="236" t="s">
        <v>477</v>
      </c>
      <c r="H37" s="236"/>
      <c r="I37" s="278" t="s">
        <v>101</v>
      </c>
      <c r="J37" s="550">
        <v>10000000</v>
      </c>
      <c r="K37" s="551"/>
      <c r="L37" s="551"/>
      <c r="M37" s="550"/>
      <c r="N37" s="551"/>
      <c r="O37" s="551"/>
      <c r="P37" s="550">
        <f t="shared" si="13"/>
        <v>10000000</v>
      </c>
      <c r="Q37" s="551">
        <f t="shared" si="14"/>
        <v>0</v>
      </c>
    </row>
    <row r="38" spans="1:17" ht="30" x14ac:dyDescent="0.25">
      <c r="A38" s="235" t="s">
        <v>405</v>
      </c>
      <c r="B38" s="235" t="s">
        <v>405</v>
      </c>
      <c r="C38" s="235" t="s">
        <v>405</v>
      </c>
      <c r="D38" s="235" t="s">
        <v>417</v>
      </c>
      <c r="E38" s="235" t="s">
        <v>473</v>
      </c>
      <c r="F38" s="235" t="s">
        <v>403</v>
      </c>
      <c r="G38" s="236"/>
      <c r="H38" s="236"/>
      <c r="I38" s="278" t="s">
        <v>164</v>
      </c>
      <c r="J38" s="559"/>
      <c r="K38" s="551"/>
      <c r="L38" s="551"/>
      <c r="M38" s="559"/>
      <c r="N38" s="551"/>
      <c r="O38" s="551"/>
      <c r="P38" s="559">
        <f t="shared" si="13"/>
        <v>0</v>
      </c>
      <c r="Q38" s="551">
        <f t="shared" si="14"/>
        <v>0</v>
      </c>
    </row>
    <row r="39" spans="1:17" ht="60.75" x14ac:dyDescent="0.25">
      <c r="A39" s="605" t="s">
        <v>405</v>
      </c>
      <c r="B39" s="605" t="s">
        <v>405</v>
      </c>
      <c r="C39" s="605" t="s">
        <v>405</v>
      </c>
      <c r="D39" s="605" t="s">
        <v>473</v>
      </c>
      <c r="E39" s="605"/>
      <c r="F39" s="605"/>
      <c r="G39" s="606"/>
      <c r="H39" s="606"/>
      <c r="I39" s="592" t="s">
        <v>487</v>
      </c>
      <c r="J39" s="610">
        <f>SUM(J40:J41)</f>
        <v>5500000</v>
      </c>
      <c r="K39" s="614">
        <f>SUM(K40:K41)</f>
        <v>5500000</v>
      </c>
      <c r="L39" s="611"/>
      <c r="M39" s="610">
        <f t="shared" ref="M39:N39" si="15">SUM(M40:M41)</f>
        <v>5500000</v>
      </c>
      <c r="N39" s="614">
        <f t="shared" si="15"/>
        <v>5500000</v>
      </c>
      <c r="O39" s="611"/>
      <c r="P39" s="610">
        <f t="shared" ref="P39:Q39" si="16">SUM(P40:P41)</f>
        <v>0</v>
      </c>
      <c r="Q39" s="614">
        <f t="shared" si="16"/>
        <v>0</v>
      </c>
    </row>
    <row r="40" spans="1:17" ht="60.75" x14ac:dyDescent="0.25">
      <c r="A40" s="603" t="s">
        <v>405</v>
      </c>
      <c r="B40" s="603" t="s">
        <v>405</v>
      </c>
      <c r="C40" s="603" t="s">
        <v>405</v>
      </c>
      <c r="D40" s="603" t="s">
        <v>473</v>
      </c>
      <c r="E40" s="603" t="s">
        <v>449</v>
      </c>
      <c r="F40" s="603" t="s">
        <v>431</v>
      </c>
      <c r="G40" s="604"/>
      <c r="H40" s="604"/>
      <c r="I40" s="593" t="s">
        <v>200</v>
      </c>
      <c r="J40" s="559"/>
      <c r="K40" s="551">
        <v>5500000</v>
      </c>
      <c r="L40" s="551"/>
      <c r="M40" s="559"/>
      <c r="N40" s="551">
        <v>5500000</v>
      </c>
      <c r="O40" s="551"/>
      <c r="P40" s="559">
        <f t="shared" ref="P40:P41" si="17">SUM(J40-M40)</f>
        <v>0</v>
      </c>
      <c r="Q40" s="551">
        <f t="shared" ref="Q40:Q41" si="18">SUM(K40-N40)</f>
        <v>0</v>
      </c>
    </row>
    <row r="41" spans="1:17" ht="101.25" x14ac:dyDescent="0.25">
      <c r="A41" s="603" t="s">
        <v>405</v>
      </c>
      <c r="B41" s="603" t="s">
        <v>405</v>
      </c>
      <c r="C41" s="603" t="s">
        <v>405</v>
      </c>
      <c r="D41" s="603" t="s">
        <v>473</v>
      </c>
      <c r="E41" s="603" t="s">
        <v>426</v>
      </c>
      <c r="F41" s="603"/>
      <c r="G41" s="604"/>
      <c r="H41" s="604"/>
      <c r="I41" s="613" t="s">
        <v>488</v>
      </c>
      <c r="J41" s="550">
        <v>5500000</v>
      </c>
      <c r="K41" s="551"/>
      <c r="L41" s="551"/>
      <c r="M41" s="550">
        <v>5500000</v>
      </c>
      <c r="N41" s="551"/>
      <c r="O41" s="551"/>
      <c r="P41" s="550">
        <f t="shared" si="17"/>
        <v>0</v>
      </c>
      <c r="Q41" s="551">
        <f t="shared" si="18"/>
        <v>0</v>
      </c>
    </row>
    <row r="42" spans="1:17" ht="30" x14ac:dyDescent="0.25">
      <c r="A42" s="605" t="s">
        <v>405</v>
      </c>
      <c r="B42" s="605" t="s">
        <v>405</v>
      </c>
      <c r="C42" s="605" t="s">
        <v>405</v>
      </c>
      <c r="D42" s="605" t="s">
        <v>490</v>
      </c>
      <c r="E42" s="605"/>
      <c r="F42" s="605"/>
      <c r="G42" s="606"/>
      <c r="H42" s="606"/>
      <c r="I42" s="612" t="s">
        <v>491</v>
      </c>
      <c r="J42" s="610">
        <f>SUM(J43)</f>
        <v>3000000</v>
      </c>
      <c r="K42" s="610">
        <f t="shared" ref="K42:N42" si="19">SUM(K43)</f>
        <v>0</v>
      </c>
      <c r="L42" s="610">
        <f t="shared" si="19"/>
        <v>0</v>
      </c>
      <c r="M42" s="610">
        <f t="shared" si="19"/>
        <v>0</v>
      </c>
      <c r="N42" s="611">
        <f t="shared" si="19"/>
        <v>0</v>
      </c>
      <c r="O42" s="611"/>
      <c r="P42" s="610">
        <f>SUM(P43)</f>
        <v>3000000</v>
      </c>
      <c r="Q42" s="611">
        <f t="shared" ref="Q42" si="20">SUM(Q43)</f>
        <v>0</v>
      </c>
    </row>
    <row r="43" spans="1:17" ht="50.1" customHeight="1" x14ac:dyDescent="0.25">
      <c r="A43" s="605" t="s">
        <v>405</v>
      </c>
      <c r="B43" s="605" t="s">
        <v>405</v>
      </c>
      <c r="C43" s="605" t="s">
        <v>405</v>
      </c>
      <c r="D43" s="605" t="s">
        <v>490</v>
      </c>
      <c r="E43" s="235"/>
      <c r="F43" s="235"/>
      <c r="G43" s="236"/>
      <c r="H43" s="236"/>
      <c r="I43" s="278" t="s">
        <v>491</v>
      </c>
      <c r="J43" s="559">
        <v>3000000</v>
      </c>
      <c r="K43" s="551"/>
      <c r="L43" s="551"/>
      <c r="M43" s="559"/>
      <c r="N43" s="551"/>
      <c r="O43" s="551"/>
      <c r="P43" s="559">
        <f>SUM(J43-M43)</f>
        <v>3000000</v>
      </c>
      <c r="Q43" s="551">
        <f t="shared" ref="Q43" si="21">SUM(K43-N43)</f>
        <v>0</v>
      </c>
    </row>
    <row r="44" spans="1:17" ht="32.450000000000003" customHeight="1" x14ac:dyDescent="0.25">
      <c r="A44" s="754" t="s">
        <v>526</v>
      </c>
      <c r="B44" s="754"/>
      <c r="C44" s="754"/>
      <c r="D44" s="754"/>
      <c r="E44" s="754"/>
      <c r="F44" s="754"/>
      <c r="G44" s="754"/>
      <c r="H44" s="754"/>
      <c r="I44" s="754"/>
      <c r="J44" s="560">
        <f>SUM(J4+J7)</f>
        <v>141222227</v>
      </c>
      <c r="K44" s="560">
        <f>SUM(K4+K7)</f>
        <v>141222227</v>
      </c>
      <c r="L44" s="561"/>
      <c r="M44" s="560">
        <f t="shared" ref="M44:Q44" si="22">SUM(M4+M7)</f>
        <v>42422227</v>
      </c>
      <c r="N44" s="560">
        <f t="shared" si="22"/>
        <v>42422227</v>
      </c>
      <c r="O44" s="561"/>
      <c r="P44" s="560">
        <f t="shared" si="22"/>
        <v>98800000</v>
      </c>
      <c r="Q44" s="560">
        <f t="shared" si="22"/>
        <v>98800000</v>
      </c>
    </row>
  </sheetData>
  <mergeCells count="4">
    <mergeCell ref="J2:K2"/>
    <mergeCell ref="M2:N2"/>
    <mergeCell ref="P2:Q2"/>
    <mergeCell ref="A44:I44"/>
  </mergeCells>
  <pageMargins left="0.7" right="0.7" top="0.75" bottom="0.75"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2"/>
  <sheetViews>
    <sheetView topLeftCell="G1" zoomScale="42" zoomScaleNormal="42" zoomScaleSheetLayoutView="93" workbookViewId="0">
      <pane ySplit="3" topLeftCell="A24" activePane="bottomLeft" state="frozen"/>
      <selection pane="bottomLeft" activeCell="U25" sqref="U25:U28"/>
    </sheetView>
  </sheetViews>
  <sheetFormatPr baseColWidth="10" defaultColWidth="11" defaultRowHeight="15" x14ac:dyDescent="0.25"/>
  <cols>
    <col min="1" max="1" width="3.6328125" style="545" customWidth="1"/>
    <col min="2" max="2" width="3.453125" style="545" customWidth="1"/>
    <col min="3" max="3" width="4" style="545" customWidth="1"/>
    <col min="4" max="5" width="5.1796875" style="545" customWidth="1"/>
    <col min="6" max="6" width="4.08984375" style="545" customWidth="1"/>
    <col min="7" max="7" width="2.453125" style="545" customWidth="1"/>
    <col min="8" max="8" width="2.26953125" style="545" customWidth="1"/>
    <col min="9" max="9" width="37.08984375" style="545" customWidth="1"/>
    <col min="10" max="10" width="18.08984375" style="710" customWidth="1"/>
    <col min="11" max="11" width="18.26953125" style="710" customWidth="1"/>
    <col min="12" max="12" width="1.7265625" style="562" customWidth="1"/>
    <col min="13" max="13" width="15.1796875" style="710" customWidth="1"/>
    <col min="14" max="14" width="17.08984375" style="710" customWidth="1"/>
    <col min="15" max="15" width="1.36328125" style="562" customWidth="1"/>
    <col min="16" max="16" width="15.1796875" style="710" customWidth="1"/>
    <col min="17" max="17" width="17.08984375" style="710" customWidth="1"/>
    <col min="18" max="20" width="11" style="545"/>
    <col min="21" max="21" width="23.453125" style="545" customWidth="1"/>
    <col min="22" max="16384" width="11" style="545"/>
  </cols>
  <sheetData>
    <row r="2" spans="1:17" ht="18.75" x14ac:dyDescent="0.3">
      <c r="J2" s="758" t="s">
        <v>521</v>
      </c>
      <c r="K2" s="758"/>
      <c r="L2" s="713"/>
      <c r="M2" s="758" t="s">
        <v>522</v>
      </c>
      <c r="N2" s="758"/>
      <c r="O2" s="714"/>
      <c r="P2" s="758" t="s">
        <v>523</v>
      </c>
      <c r="Q2" s="758"/>
    </row>
    <row r="3" spans="1:17" ht="39.950000000000003" customHeight="1" x14ac:dyDescent="0.25">
      <c r="A3" s="102" t="s">
        <v>365</v>
      </c>
      <c r="B3" s="102" t="s">
        <v>366</v>
      </c>
      <c r="C3" s="102" t="s">
        <v>367</v>
      </c>
      <c r="D3" s="102" t="s">
        <v>368</v>
      </c>
      <c r="E3" s="102" t="s">
        <v>369</v>
      </c>
      <c r="F3" s="102" t="s">
        <v>370</v>
      </c>
      <c r="G3" s="102" t="s">
        <v>371</v>
      </c>
      <c r="H3" s="102" t="s">
        <v>372</v>
      </c>
      <c r="I3" s="103" t="s">
        <v>373</v>
      </c>
      <c r="J3" s="709" t="s">
        <v>524</v>
      </c>
      <c r="K3" s="709" t="s">
        <v>525</v>
      </c>
      <c r="L3" s="108"/>
      <c r="M3" s="709" t="s">
        <v>524</v>
      </c>
      <c r="N3" s="709" t="s">
        <v>525</v>
      </c>
      <c r="O3" s="108"/>
      <c r="P3" s="709" t="s">
        <v>524</v>
      </c>
      <c r="Q3" s="709" t="s">
        <v>525</v>
      </c>
    </row>
    <row r="4" spans="1:17" s="562" customFormat="1" ht="17.45" customHeight="1" x14ac:dyDescent="0.25">
      <c r="A4" s="107"/>
      <c r="B4" s="107"/>
      <c r="C4" s="107"/>
      <c r="D4" s="107"/>
      <c r="E4" s="107"/>
      <c r="F4" s="107"/>
      <c r="G4" s="107"/>
      <c r="H4" s="107"/>
      <c r="I4" s="108"/>
      <c r="J4" s="712"/>
      <c r="K4" s="712"/>
      <c r="L4" s="108"/>
      <c r="M4" s="712"/>
      <c r="N4" s="712"/>
      <c r="O4" s="108"/>
      <c r="P4" s="712"/>
      <c r="Q4" s="712"/>
    </row>
    <row r="5" spans="1:17" ht="20.25" x14ac:dyDescent="0.25">
      <c r="A5" s="665" t="s">
        <v>402</v>
      </c>
      <c r="B5" s="665" t="s">
        <v>403</v>
      </c>
      <c r="C5" s="665" t="s">
        <v>405</v>
      </c>
      <c r="D5" s="665" t="s">
        <v>407</v>
      </c>
      <c r="E5" s="665"/>
      <c r="F5" s="665"/>
      <c r="G5" s="677"/>
      <c r="H5" s="677"/>
      <c r="I5" s="664" t="s">
        <v>408</v>
      </c>
      <c r="J5" s="715"/>
      <c r="K5" s="716"/>
      <c r="L5" s="717"/>
      <c r="M5" s="716"/>
      <c r="N5" s="716"/>
      <c r="O5" s="717"/>
      <c r="P5" s="716"/>
      <c r="Q5" s="716"/>
    </row>
    <row r="6" spans="1:17" s="663" customFormat="1" ht="20.25" x14ac:dyDescent="0.25">
      <c r="A6" s="665" t="s">
        <v>402</v>
      </c>
      <c r="B6" s="665" t="s">
        <v>403</v>
      </c>
      <c r="C6" s="665" t="s">
        <v>405</v>
      </c>
      <c r="D6" s="665" t="s">
        <v>407</v>
      </c>
      <c r="E6" s="665"/>
      <c r="F6" s="665"/>
      <c r="G6" s="665"/>
      <c r="H6" s="665"/>
      <c r="I6" s="734" t="s">
        <v>408</v>
      </c>
      <c r="J6" s="715">
        <v>141000</v>
      </c>
      <c r="K6" s="716"/>
      <c r="L6" s="717"/>
      <c r="M6" s="716"/>
      <c r="N6" s="716"/>
      <c r="O6" s="717"/>
      <c r="P6" s="716">
        <f t="shared" ref="P6:P7" si="0">SUM(J6-M6)</f>
        <v>141000</v>
      </c>
      <c r="Q6" s="716"/>
    </row>
    <row r="7" spans="1:17" s="663" customFormat="1" ht="40.5" x14ac:dyDescent="0.25">
      <c r="A7" s="665" t="s">
        <v>402</v>
      </c>
      <c r="B7" s="665" t="s">
        <v>403</v>
      </c>
      <c r="C7" s="665" t="s">
        <v>405</v>
      </c>
      <c r="D7" s="665" t="s">
        <v>409</v>
      </c>
      <c r="E7" s="665"/>
      <c r="F7" s="665"/>
      <c r="G7" s="665"/>
      <c r="H7" s="665"/>
      <c r="I7" s="734" t="s">
        <v>410</v>
      </c>
      <c r="J7" s="715">
        <v>500000</v>
      </c>
      <c r="K7" s="716"/>
      <c r="L7" s="717"/>
      <c r="M7" s="716"/>
      <c r="N7" s="716"/>
      <c r="O7" s="717"/>
      <c r="P7" s="716">
        <f t="shared" si="0"/>
        <v>500000</v>
      </c>
      <c r="Q7" s="716">
        <f t="shared" ref="Q7:Q11" si="1">SUM(K7-N7)</f>
        <v>0</v>
      </c>
    </row>
    <row r="8" spans="1:17" s="698" customFormat="1" ht="6.95" customHeight="1" x14ac:dyDescent="0.25">
      <c r="A8" s="694"/>
      <c r="B8" s="694"/>
      <c r="C8" s="694"/>
      <c r="D8" s="695"/>
      <c r="E8" s="694"/>
      <c r="F8" s="694"/>
      <c r="G8" s="696"/>
      <c r="H8" s="696"/>
      <c r="I8" s="697"/>
      <c r="J8" s="718"/>
      <c r="K8" s="719"/>
      <c r="L8" s="720"/>
      <c r="M8" s="719"/>
      <c r="N8" s="719"/>
      <c r="O8" s="720"/>
      <c r="P8" s="719"/>
      <c r="Q8" s="719"/>
    </row>
    <row r="9" spans="1:17" ht="20.25" x14ac:dyDescent="0.25">
      <c r="A9" s="665" t="s">
        <v>405</v>
      </c>
      <c r="B9" s="665" t="s">
        <v>405</v>
      </c>
      <c r="C9" s="665" t="s">
        <v>403</v>
      </c>
      <c r="D9" s="665" t="s">
        <v>415</v>
      </c>
      <c r="E9" s="665" t="s">
        <v>449</v>
      </c>
      <c r="F9" s="665" t="s">
        <v>403</v>
      </c>
      <c r="G9" s="677"/>
      <c r="H9" s="677"/>
      <c r="I9" s="664" t="s">
        <v>453</v>
      </c>
      <c r="J9" s="716"/>
      <c r="K9" s="716">
        <v>12400000</v>
      </c>
      <c r="L9" s="721"/>
      <c r="M9" s="716"/>
      <c r="N9" s="722"/>
      <c r="O9" s="721"/>
      <c r="P9" s="716">
        <f t="shared" ref="P9:P11" si="2">SUM(J9-M9)</f>
        <v>0</v>
      </c>
      <c r="Q9" s="716">
        <f t="shared" si="1"/>
        <v>12400000</v>
      </c>
    </row>
    <row r="10" spans="1:17" ht="60.75" x14ac:dyDescent="0.25">
      <c r="A10" s="665" t="s">
        <v>405</v>
      </c>
      <c r="B10" s="665" t="s">
        <v>405</v>
      </c>
      <c r="C10" s="665" t="s">
        <v>403</v>
      </c>
      <c r="D10" s="665" t="s">
        <v>415</v>
      </c>
      <c r="E10" s="665" t="s">
        <v>435</v>
      </c>
      <c r="F10" s="665" t="s">
        <v>403</v>
      </c>
      <c r="G10" s="677"/>
      <c r="H10" s="677"/>
      <c r="I10" s="664" t="s">
        <v>455</v>
      </c>
      <c r="J10" s="716"/>
      <c r="K10" s="716">
        <v>13741000</v>
      </c>
      <c r="L10" s="723"/>
      <c r="M10" s="716"/>
      <c r="N10" s="724">
        <v>500000</v>
      </c>
      <c r="O10" s="723"/>
      <c r="P10" s="716">
        <f t="shared" si="2"/>
        <v>0</v>
      </c>
      <c r="Q10" s="716">
        <f t="shared" si="1"/>
        <v>13241000</v>
      </c>
    </row>
    <row r="11" spans="1:17" ht="40.5" x14ac:dyDescent="0.25">
      <c r="A11" s="665" t="s">
        <v>405</v>
      </c>
      <c r="B11" s="665" t="s">
        <v>405</v>
      </c>
      <c r="C11" s="665" t="s">
        <v>403</v>
      </c>
      <c r="D11" s="665" t="s">
        <v>415</v>
      </c>
      <c r="E11" s="665">
        <v>8</v>
      </c>
      <c r="F11" s="665">
        <v>9</v>
      </c>
      <c r="G11" s="677"/>
      <c r="H11" s="677"/>
      <c r="I11" s="664" t="s">
        <v>1174</v>
      </c>
      <c r="J11" s="716">
        <v>500000</v>
      </c>
      <c r="K11" s="716"/>
      <c r="L11" s="723"/>
      <c r="M11" s="716">
        <v>500000</v>
      </c>
      <c r="N11" s="724"/>
      <c r="O11" s="723"/>
      <c r="P11" s="716">
        <f t="shared" si="2"/>
        <v>0</v>
      </c>
      <c r="Q11" s="716">
        <f t="shared" si="1"/>
        <v>0</v>
      </c>
    </row>
    <row r="12" spans="1:17" s="698" customFormat="1" ht="6.6" customHeight="1" x14ac:dyDescent="0.25">
      <c r="A12" s="699"/>
      <c r="B12" s="699"/>
      <c r="C12" s="699"/>
      <c r="D12" s="699"/>
      <c r="E12" s="699"/>
      <c r="F12" s="699"/>
      <c r="G12" s="696"/>
      <c r="H12" s="696"/>
      <c r="I12" s="700"/>
      <c r="J12" s="719"/>
      <c r="K12" s="725"/>
      <c r="L12" s="726"/>
      <c r="M12" s="719"/>
      <c r="N12" s="725"/>
      <c r="O12" s="726"/>
      <c r="P12" s="719"/>
      <c r="Q12" s="725"/>
    </row>
    <row r="13" spans="1:17" ht="60.75" x14ac:dyDescent="0.25">
      <c r="A13" s="665" t="s">
        <v>405</v>
      </c>
      <c r="B13" s="665" t="s">
        <v>405</v>
      </c>
      <c r="C13" s="665" t="s">
        <v>405</v>
      </c>
      <c r="D13" s="665" t="s">
        <v>435</v>
      </c>
      <c r="E13" s="665" t="s">
        <v>426</v>
      </c>
      <c r="F13" s="665" t="s">
        <v>405</v>
      </c>
      <c r="G13" s="677" t="s">
        <v>464</v>
      </c>
      <c r="H13" s="677"/>
      <c r="I13" s="664" t="s">
        <v>105</v>
      </c>
      <c r="J13" s="716"/>
      <c r="K13" s="716">
        <v>5218000</v>
      </c>
      <c r="L13" s="717"/>
      <c r="M13" s="716"/>
      <c r="N13" s="716">
        <v>1000000</v>
      </c>
      <c r="O13" s="717"/>
      <c r="P13" s="716">
        <f t="shared" ref="P13:P14" si="3">SUM(J13-M13)</f>
        <v>0</v>
      </c>
      <c r="Q13" s="716">
        <f t="shared" ref="Q13:Q14" si="4">SUM(K13-N13)</f>
        <v>4218000</v>
      </c>
    </row>
    <row r="14" spans="1:17" ht="40.5" x14ac:dyDescent="0.25">
      <c r="A14" s="665" t="s">
        <v>405</v>
      </c>
      <c r="B14" s="665" t="s">
        <v>405</v>
      </c>
      <c r="C14" s="665" t="s">
        <v>405</v>
      </c>
      <c r="D14" s="665" t="s">
        <v>435</v>
      </c>
      <c r="E14" s="665" t="s">
        <v>426</v>
      </c>
      <c r="F14" s="665" t="s">
        <v>478</v>
      </c>
      <c r="G14" s="677"/>
      <c r="H14" s="677"/>
      <c r="I14" s="664" t="s">
        <v>1184</v>
      </c>
      <c r="J14" s="716">
        <v>1000000</v>
      </c>
      <c r="K14" s="716"/>
      <c r="L14" s="717"/>
      <c r="M14" s="716">
        <v>1000000</v>
      </c>
      <c r="N14" s="716"/>
      <c r="O14" s="717"/>
      <c r="P14" s="716">
        <f t="shared" si="3"/>
        <v>0</v>
      </c>
      <c r="Q14" s="716">
        <f t="shared" si="4"/>
        <v>0</v>
      </c>
    </row>
    <row r="15" spans="1:17" s="698" customFormat="1" ht="8.4499999999999993" customHeight="1" x14ac:dyDescent="0.25">
      <c r="A15" s="694"/>
      <c r="B15" s="694"/>
      <c r="C15" s="694"/>
      <c r="D15" s="694"/>
      <c r="E15" s="694"/>
      <c r="F15" s="694"/>
      <c r="G15" s="696"/>
      <c r="H15" s="696"/>
      <c r="I15" s="700"/>
      <c r="J15" s="719"/>
      <c r="K15" s="725"/>
      <c r="L15" s="726"/>
      <c r="M15" s="719"/>
      <c r="N15" s="725"/>
      <c r="O15" s="726"/>
      <c r="P15" s="719"/>
      <c r="Q15" s="725"/>
    </row>
    <row r="16" spans="1:17" s="562" customFormat="1" ht="32.1" customHeight="1" x14ac:dyDescent="0.25">
      <c r="A16" s="665" t="s">
        <v>405</v>
      </c>
      <c r="B16" s="665" t="s">
        <v>405</v>
      </c>
      <c r="C16" s="665" t="s">
        <v>405</v>
      </c>
      <c r="D16" s="665" t="s">
        <v>409</v>
      </c>
      <c r="E16" s="665" t="s">
        <v>415</v>
      </c>
      <c r="F16" s="665" t="s">
        <v>445</v>
      </c>
      <c r="G16" s="677"/>
      <c r="H16" s="677"/>
      <c r="I16" s="664" t="s">
        <v>470</v>
      </c>
      <c r="J16" s="716"/>
      <c r="K16" s="724">
        <v>1979577</v>
      </c>
      <c r="L16" s="723"/>
      <c r="M16" s="716"/>
      <c r="N16" s="724"/>
      <c r="O16" s="723"/>
      <c r="P16" s="716">
        <f t="shared" ref="P16:P19" si="5">SUM(J16-M16)</f>
        <v>0</v>
      </c>
      <c r="Q16" s="716">
        <f t="shared" ref="Q16:Q19" si="6">SUM(K16-N16)</f>
        <v>1979577</v>
      </c>
    </row>
    <row r="17" spans="1:21" ht="60.75" x14ac:dyDescent="0.25">
      <c r="A17" s="665" t="s">
        <v>405</v>
      </c>
      <c r="B17" s="665" t="s">
        <v>405</v>
      </c>
      <c r="C17" s="665" t="s">
        <v>405</v>
      </c>
      <c r="D17" s="665" t="s">
        <v>409</v>
      </c>
      <c r="E17" s="665" t="s">
        <v>415</v>
      </c>
      <c r="F17" s="665" t="s">
        <v>429</v>
      </c>
      <c r="G17" s="677"/>
      <c r="H17" s="677"/>
      <c r="I17" s="664" t="s">
        <v>471</v>
      </c>
      <c r="J17" s="716"/>
      <c r="K17" s="724">
        <v>5000000</v>
      </c>
      <c r="L17" s="723"/>
      <c r="M17" s="716"/>
      <c r="N17" s="724">
        <v>4318000</v>
      </c>
      <c r="O17" s="723"/>
      <c r="P17" s="716">
        <f t="shared" si="5"/>
        <v>0</v>
      </c>
      <c r="Q17" s="716">
        <f t="shared" si="6"/>
        <v>682000</v>
      </c>
    </row>
    <row r="18" spans="1:21" ht="60.75" x14ac:dyDescent="0.25">
      <c r="A18" s="665" t="s">
        <v>405</v>
      </c>
      <c r="B18" s="665" t="s">
        <v>405</v>
      </c>
      <c r="C18" s="665" t="s">
        <v>405</v>
      </c>
      <c r="D18" s="665" t="s">
        <v>409</v>
      </c>
      <c r="E18" s="665" t="s">
        <v>443</v>
      </c>
      <c r="F18" s="665" t="s">
        <v>431</v>
      </c>
      <c r="G18" s="677"/>
      <c r="H18" s="677"/>
      <c r="I18" s="664" t="s">
        <v>1185</v>
      </c>
      <c r="J18" s="716">
        <v>2318000</v>
      </c>
      <c r="K18" s="724"/>
      <c r="L18" s="723"/>
      <c r="M18" s="716">
        <v>2318000</v>
      </c>
      <c r="N18" s="724"/>
      <c r="O18" s="723"/>
      <c r="P18" s="716">
        <f t="shared" si="5"/>
        <v>0</v>
      </c>
      <c r="Q18" s="716">
        <f t="shared" si="6"/>
        <v>0</v>
      </c>
    </row>
    <row r="19" spans="1:21" ht="40.5" x14ac:dyDescent="0.25">
      <c r="A19" s="665" t="s">
        <v>405</v>
      </c>
      <c r="B19" s="665" t="s">
        <v>405</v>
      </c>
      <c r="C19" s="665" t="s">
        <v>405</v>
      </c>
      <c r="D19" s="665" t="s">
        <v>409</v>
      </c>
      <c r="E19" s="665" t="s">
        <v>417</v>
      </c>
      <c r="F19" s="665"/>
      <c r="G19" s="677"/>
      <c r="H19" s="677"/>
      <c r="I19" s="664" t="s">
        <v>472</v>
      </c>
      <c r="J19" s="716">
        <v>2000000</v>
      </c>
      <c r="K19" s="724"/>
      <c r="L19" s="723"/>
      <c r="M19" s="716">
        <v>2000000</v>
      </c>
      <c r="N19" s="724"/>
      <c r="O19" s="723"/>
      <c r="P19" s="716">
        <f t="shared" si="5"/>
        <v>0</v>
      </c>
      <c r="Q19" s="716">
        <f t="shared" si="6"/>
        <v>0</v>
      </c>
    </row>
    <row r="20" spans="1:21" s="698" customFormat="1" ht="9.9499999999999993" customHeight="1" x14ac:dyDescent="0.25">
      <c r="A20" s="694"/>
      <c r="B20" s="694"/>
      <c r="C20" s="694"/>
      <c r="D20" s="694"/>
      <c r="E20" s="694"/>
      <c r="F20" s="694"/>
      <c r="G20" s="696"/>
      <c r="H20" s="696"/>
      <c r="I20" s="700"/>
      <c r="J20" s="719"/>
      <c r="K20" s="725"/>
      <c r="L20" s="726"/>
      <c r="M20" s="719"/>
      <c r="N20" s="725"/>
      <c r="O20" s="726"/>
      <c r="P20" s="719"/>
      <c r="Q20" s="725"/>
    </row>
    <row r="21" spans="1:21" ht="40.5" x14ac:dyDescent="0.25">
      <c r="A21" s="665" t="s">
        <v>405</v>
      </c>
      <c r="B21" s="665" t="s">
        <v>405</v>
      </c>
      <c r="C21" s="665" t="s">
        <v>405</v>
      </c>
      <c r="D21" s="665" t="s">
        <v>417</v>
      </c>
      <c r="E21" s="665" t="s">
        <v>449</v>
      </c>
      <c r="F21" s="665" t="s">
        <v>403</v>
      </c>
      <c r="G21" s="677"/>
      <c r="H21" s="677"/>
      <c r="I21" s="664" t="s">
        <v>159</v>
      </c>
      <c r="J21" s="716"/>
      <c r="K21" s="724">
        <v>7850423</v>
      </c>
      <c r="L21" s="723"/>
      <c r="M21" s="716"/>
      <c r="N21" s="724">
        <v>7850423</v>
      </c>
      <c r="O21" s="723"/>
      <c r="P21" s="716">
        <f t="shared" ref="P21:P28" si="7">SUM(J21-M21)</f>
        <v>0</v>
      </c>
      <c r="Q21" s="716">
        <f t="shared" ref="Q21:Q28" si="8">SUM(K21-N21)</f>
        <v>0</v>
      </c>
    </row>
    <row r="22" spans="1:21" ht="81" x14ac:dyDescent="0.25">
      <c r="A22" s="665" t="s">
        <v>405</v>
      </c>
      <c r="B22" s="665" t="s">
        <v>405</v>
      </c>
      <c r="C22" s="665" t="s">
        <v>405</v>
      </c>
      <c r="D22" s="665" t="s">
        <v>417</v>
      </c>
      <c r="E22" s="665" t="s">
        <v>415</v>
      </c>
      <c r="F22" s="665" t="s">
        <v>403</v>
      </c>
      <c r="G22" s="677" t="s">
        <v>420</v>
      </c>
      <c r="H22" s="677"/>
      <c r="I22" s="664" t="s">
        <v>161</v>
      </c>
      <c r="J22" s="716">
        <v>17000000</v>
      </c>
      <c r="K22" s="724"/>
      <c r="L22" s="723"/>
      <c r="M22" s="716">
        <f>7850423+9149577</f>
        <v>17000000</v>
      </c>
      <c r="N22" s="724"/>
      <c r="O22" s="723"/>
      <c r="P22" s="716">
        <f t="shared" si="7"/>
        <v>0</v>
      </c>
      <c r="Q22" s="716">
        <f t="shared" si="8"/>
        <v>0</v>
      </c>
    </row>
    <row r="23" spans="1:21" ht="101.25" x14ac:dyDescent="0.25">
      <c r="A23" s="665" t="s">
        <v>405</v>
      </c>
      <c r="B23" s="665" t="s">
        <v>405</v>
      </c>
      <c r="C23" s="665" t="s">
        <v>405</v>
      </c>
      <c r="D23" s="665" t="s">
        <v>417</v>
      </c>
      <c r="E23" s="665" t="s">
        <v>443</v>
      </c>
      <c r="F23" s="665" t="s">
        <v>403</v>
      </c>
      <c r="G23" s="677"/>
      <c r="H23" s="677"/>
      <c r="I23" s="664" t="s">
        <v>89</v>
      </c>
      <c r="J23" s="727"/>
      <c r="K23" s="724">
        <v>10400000</v>
      </c>
      <c r="L23" s="723"/>
      <c r="M23" s="727"/>
      <c r="N23" s="724">
        <v>9379577</v>
      </c>
      <c r="O23" s="723"/>
      <c r="P23" s="716">
        <f t="shared" si="7"/>
        <v>0</v>
      </c>
      <c r="Q23" s="716">
        <f t="shared" si="8"/>
        <v>1020423</v>
      </c>
    </row>
    <row r="24" spans="1:21" s="663" customFormat="1" ht="81" x14ac:dyDescent="0.25">
      <c r="A24" s="665" t="s">
        <v>405</v>
      </c>
      <c r="B24" s="665" t="s">
        <v>405</v>
      </c>
      <c r="C24" s="665" t="s">
        <v>405</v>
      </c>
      <c r="D24" s="665" t="s">
        <v>417</v>
      </c>
      <c r="E24" s="665" t="s">
        <v>443</v>
      </c>
      <c r="F24" s="665" t="s">
        <v>403</v>
      </c>
      <c r="G24" s="677" t="s">
        <v>422</v>
      </c>
      <c r="H24" s="677"/>
      <c r="I24" s="664" t="s">
        <v>1186</v>
      </c>
      <c r="J24" s="716">
        <v>2000000</v>
      </c>
      <c r="K24" s="724"/>
      <c r="L24" s="723"/>
      <c r="M24" s="716">
        <v>2000000</v>
      </c>
      <c r="N24" s="724"/>
      <c r="O24" s="723"/>
      <c r="P24" s="716">
        <f t="shared" si="7"/>
        <v>0</v>
      </c>
      <c r="Q24" s="716">
        <f t="shared" si="8"/>
        <v>0</v>
      </c>
    </row>
    <row r="25" spans="1:21" ht="81" x14ac:dyDescent="0.3">
      <c r="A25" s="665" t="s">
        <v>405</v>
      </c>
      <c r="B25" s="665" t="s">
        <v>405</v>
      </c>
      <c r="C25" s="665" t="s">
        <v>405</v>
      </c>
      <c r="D25" s="665" t="s">
        <v>417</v>
      </c>
      <c r="E25" s="665" t="s">
        <v>443</v>
      </c>
      <c r="F25" s="665" t="s">
        <v>403</v>
      </c>
      <c r="G25" s="677" t="s">
        <v>482</v>
      </c>
      <c r="H25" s="677"/>
      <c r="I25" s="664" t="s">
        <v>125</v>
      </c>
      <c r="J25" s="716">
        <v>1000000</v>
      </c>
      <c r="K25" s="724"/>
      <c r="L25" s="723"/>
      <c r="M25" s="716">
        <v>1000000</v>
      </c>
      <c r="N25" s="724"/>
      <c r="O25" s="723"/>
      <c r="P25" s="716">
        <f t="shared" si="7"/>
        <v>0</v>
      </c>
      <c r="Q25" s="716">
        <f t="shared" si="8"/>
        <v>0</v>
      </c>
      <c r="U25" s="738"/>
    </row>
    <row r="26" spans="1:21" ht="50.1" customHeight="1" x14ac:dyDescent="0.3">
      <c r="A26" s="665" t="s">
        <v>405</v>
      </c>
      <c r="B26" s="665" t="s">
        <v>405</v>
      </c>
      <c r="C26" s="665" t="s">
        <v>405</v>
      </c>
      <c r="D26" s="665" t="s">
        <v>417</v>
      </c>
      <c r="E26" s="665" t="s">
        <v>443</v>
      </c>
      <c r="F26" s="665" t="s">
        <v>403</v>
      </c>
      <c r="G26" s="677" t="s">
        <v>477</v>
      </c>
      <c r="H26" s="677"/>
      <c r="I26" s="664" t="s">
        <v>101</v>
      </c>
      <c r="J26" s="727"/>
      <c r="K26" s="724">
        <v>5370000</v>
      </c>
      <c r="L26" s="723"/>
      <c r="M26" s="727"/>
      <c r="N26" s="724">
        <v>5370000</v>
      </c>
      <c r="O26" s="723"/>
      <c r="P26" s="716">
        <f t="shared" si="7"/>
        <v>0</v>
      </c>
      <c r="Q26" s="716">
        <f t="shared" si="8"/>
        <v>0</v>
      </c>
      <c r="U26" s="738"/>
    </row>
    <row r="27" spans="1:21" ht="32.450000000000003" customHeight="1" x14ac:dyDescent="0.3">
      <c r="A27" s="665" t="s">
        <v>405</v>
      </c>
      <c r="B27" s="665" t="s">
        <v>405</v>
      </c>
      <c r="C27" s="665" t="s">
        <v>405</v>
      </c>
      <c r="D27" s="665" t="s">
        <v>417</v>
      </c>
      <c r="E27" s="665" t="s">
        <v>443</v>
      </c>
      <c r="F27" s="665" t="s">
        <v>405</v>
      </c>
      <c r="G27" s="677" t="s">
        <v>424</v>
      </c>
      <c r="H27" s="677"/>
      <c r="I27" s="664" t="s">
        <v>1189</v>
      </c>
      <c r="J27" s="716">
        <v>2000000</v>
      </c>
      <c r="K27" s="724"/>
      <c r="L27" s="723"/>
      <c r="M27" s="716">
        <v>2000000</v>
      </c>
      <c r="N27" s="724"/>
      <c r="O27" s="723"/>
      <c r="P27" s="716">
        <f t="shared" si="7"/>
        <v>0</v>
      </c>
      <c r="Q27" s="716">
        <f t="shared" si="8"/>
        <v>0</v>
      </c>
      <c r="U27" s="738"/>
    </row>
    <row r="28" spans="1:21" ht="60.75" x14ac:dyDescent="0.3">
      <c r="A28" s="665" t="s">
        <v>405</v>
      </c>
      <c r="B28" s="665" t="s">
        <v>405</v>
      </c>
      <c r="C28" s="665" t="s">
        <v>405</v>
      </c>
      <c r="D28" s="665" t="s">
        <v>417</v>
      </c>
      <c r="E28" s="665" t="s">
        <v>473</v>
      </c>
      <c r="F28" s="665" t="s">
        <v>403</v>
      </c>
      <c r="G28" s="677"/>
      <c r="H28" s="677"/>
      <c r="I28" s="664" t="s">
        <v>164</v>
      </c>
      <c r="J28" s="716">
        <v>600000</v>
      </c>
      <c r="K28" s="716"/>
      <c r="L28" s="716"/>
      <c r="M28" s="716">
        <v>600000</v>
      </c>
      <c r="N28" s="716"/>
      <c r="O28" s="716"/>
      <c r="P28" s="716">
        <f t="shared" si="7"/>
        <v>0</v>
      </c>
      <c r="Q28" s="716">
        <f t="shared" si="8"/>
        <v>0</v>
      </c>
      <c r="U28" s="738"/>
    </row>
    <row r="29" spans="1:21" s="698" customFormat="1" ht="12.6" customHeight="1" x14ac:dyDescent="0.3">
      <c r="A29" s="701"/>
      <c r="B29" s="701"/>
      <c r="C29" s="701"/>
      <c r="D29" s="701"/>
      <c r="E29" s="701"/>
      <c r="F29" s="701"/>
      <c r="G29" s="702"/>
      <c r="H29" s="702"/>
      <c r="I29" s="703"/>
      <c r="J29" s="728"/>
      <c r="K29" s="728"/>
      <c r="L29" s="729"/>
      <c r="M29" s="728"/>
      <c r="N29" s="728"/>
      <c r="O29" s="729"/>
      <c r="P29" s="728"/>
      <c r="Q29" s="728"/>
      <c r="U29" s="739"/>
    </row>
    <row r="30" spans="1:21" ht="53.45" customHeight="1" x14ac:dyDescent="0.3">
      <c r="A30" s="665" t="s">
        <v>405</v>
      </c>
      <c r="B30" s="665" t="s">
        <v>405</v>
      </c>
      <c r="C30" s="665" t="s">
        <v>405</v>
      </c>
      <c r="D30" s="665" t="s">
        <v>473</v>
      </c>
      <c r="E30" s="665" t="s">
        <v>426</v>
      </c>
      <c r="F30" s="665" t="s">
        <v>429</v>
      </c>
      <c r="G30" s="677"/>
      <c r="H30" s="677"/>
      <c r="I30" s="664" t="s">
        <v>1092</v>
      </c>
      <c r="J30" s="730">
        <v>2400000</v>
      </c>
      <c r="K30" s="730"/>
      <c r="L30" s="731"/>
      <c r="M30" s="730"/>
      <c r="N30" s="730"/>
      <c r="O30" s="731"/>
      <c r="P30" s="716">
        <f t="shared" ref="P30:P31" si="9">SUM(J30-M30)</f>
        <v>2400000</v>
      </c>
      <c r="Q30" s="716">
        <f t="shared" ref="Q30:Q31" si="10">SUM(K30-N30)</f>
        <v>0</v>
      </c>
    </row>
    <row r="31" spans="1:21" ht="47.45" customHeight="1" x14ac:dyDescent="0.3">
      <c r="A31" s="665" t="s">
        <v>405</v>
      </c>
      <c r="B31" s="665" t="s">
        <v>405</v>
      </c>
      <c r="C31" s="665" t="s">
        <v>405</v>
      </c>
      <c r="D31" s="665" t="s">
        <v>473</v>
      </c>
      <c r="E31" s="665" t="s">
        <v>443</v>
      </c>
      <c r="F31" s="665" t="s">
        <v>403</v>
      </c>
      <c r="G31" s="677"/>
      <c r="H31" s="677"/>
      <c r="I31" s="664" t="s">
        <v>1193</v>
      </c>
      <c r="J31" s="730">
        <v>500000</v>
      </c>
      <c r="K31" s="730"/>
      <c r="L31" s="731"/>
      <c r="M31" s="730"/>
      <c r="N31" s="730"/>
      <c r="O31" s="731"/>
      <c r="P31" s="716">
        <f t="shared" si="9"/>
        <v>500000</v>
      </c>
      <c r="Q31" s="716">
        <f t="shared" si="10"/>
        <v>0</v>
      </c>
    </row>
    <row r="32" spans="1:21" s="698" customFormat="1" ht="11.45" customHeight="1" x14ac:dyDescent="0.3">
      <c r="A32" s="704"/>
      <c r="B32" s="705"/>
      <c r="C32" s="705"/>
      <c r="D32" s="705"/>
      <c r="E32" s="705"/>
      <c r="F32" s="705"/>
      <c r="G32" s="706"/>
      <c r="H32" s="706"/>
      <c r="I32" s="707"/>
      <c r="J32" s="728"/>
      <c r="K32" s="728"/>
      <c r="L32" s="729"/>
      <c r="M32" s="728"/>
      <c r="N32" s="728"/>
      <c r="O32" s="729"/>
      <c r="P32" s="728"/>
      <c r="Q32" s="728"/>
    </row>
    <row r="33" spans="1:17" ht="35.450000000000003" customHeight="1" x14ac:dyDescent="0.3">
      <c r="A33" s="677" t="s">
        <v>402</v>
      </c>
      <c r="B33" s="677" t="s">
        <v>429</v>
      </c>
      <c r="C33" s="677" t="s">
        <v>403</v>
      </c>
      <c r="D33" s="677"/>
      <c r="E33" s="677"/>
      <c r="F33" s="677"/>
      <c r="G33" s="677"/>
      <c r="H33" s="677"/>
      <c r="I33" s="708" t="s">
        <v>1192</v>
      </c>
      <c r="J33" s="730">
        <v>30000000</v>
      </c>
      <c r="K33" s="730"/>
      <c r="L33" s="731"/>
      <c r="M33" s="730"/>
      <c r="N33" s="730"/>
      <c r="O33" s="731"/>
      <c r="P33" s="716">
        <f>SUM(J33-M33)</f>
        <v>30000000</v>
      </c>
      <c r="Q33" s="716">
        <f>SUM(K33-N33)</f>
        <v>0</v>
      </c>
    </row>
    <row r="34" spans="1:17" ht="44.45" customHeight="1" x14ac:dyDescent="0.25">
      <c r="A34" s="755" t="s">
        <v>25</v>
      </c>
      <c r="B34" s="756"/>
      <c r="C34" s="756"/>
      <c r="D34" s="756"/>
      <c r="E34" s="756"/>
      <c r="F34" s="756"/>
      <c r="G34" s="756"/>
      <c r="H34" s="756"/>
      <c r="I34" s="757"/>
      <c r="J34" s="732">
        <f>SUM(J5:J33)</f>
        <v>61959000</v>
      </c>
      <c r="K34" s="732">
        <f>SUM(K5:K33)</f>
        <v>61959000</v>
      </c>
      <c r="L34" s="733"/>
      <c r="M34" s="732">
        <f>SUM(M5:M33)</f>
        <v>28418000</v>
      </c>
      <c r="N34" s="732">
        <f>SUM(N5:N33)</f>
        <v>28418000</v>
      </c>
      <c r="O34" s="733"/>
      <c r="P34" s="732">
        <f>SUM(P5:P33)</f>
        <v>33541000</v>
      </c>
      <c r="Q34" s="732">
        <f>SUM(Q5:Q33)</f>
        <v>33541000</v>
      </c>
    </row>
    <row r="35" spans="1:17" ht="20.25" x14ac:dyDescent="0.25">
      <c r="A35" s="665"/>
      <c r="B35" s="665"/>
      <c r="C35" s="665"/>
      <c r="D35" s="665"/>
      <c r="E35" s="665"/>
      <c r="F35" s="665"/>
      <c r="G35" s="677"/>
      <c r="H35" s="677"/>
      <c r="I35" s="664"/>
    </row>
    <row r="36" spans="1:17" ht="20.25" x14ac:dyDescent="0.25">
      <c r="A36" s="665"/>
      <c r="B36" s="665"/>
      <c r="C36" s="665"/>
      <c r="D36" s="665"/>
      <c r="E36" s="665"/>
      <c r="F36" s="665"/>
      <c r="G36" s="677"/>
      <c r="H36" s="677"/>
      <c r="I36" s="664"/>
      <c r="N36" s="710">
        <f>SUM(M34-N34)</f>
        <v>0</v>
      </c>
    </row>
    <row r="37" spans="1:17" ht="20.25" x14ac:dyDescent="0.25">
      <c r="A37" s="665"/>
      <c r="B37" s="665"/>
      <c r="C37" s="665"/>
      <c r="D37" s="665"/>
      <c r="E37" s="665"/>
      <c r="F37" s="665"/>
      <c r="G37" s="677"/>
      <c r="H37" s="677"/>
      <c r="I37" s="664"/>
    </row>
    <row r="38" spans="1:17" ht="20.25" x14ac:dyDescent="0.25">
      <c r="A38" s="665"/>
      <c r="B38" s="665"/>
      <c r="C38" s="665"/>
      <c r="D38" s="665"/>
      <c r="E38" s="665"/>
      <c r="F38" s="665"/>
      <c r="G38" s="677"/>
      <c r="H38" s="677"/>
      <c r="I38" s="664"/>
    </row>
    <row r="39" spans="1:17" ht="20.25" x14ac:dyDescent="0.25">
      <c r="A39" s="665"/>
      <c r="B39" s="665"/>
      <c r="C39" s="665"/>
      <c r="D39" s="665"/>
      <c r="E39" s="665"/>
      <c r="F39" s="665"/>
      <c r="G39" s="677"/>
      <c r="H39" s="677"/>
      <c r="I39" s="664"/>
    </row>
    <row r="40" spans="1:17" ht="20.25" x14ac:dyDescent="0.25">
      <c r="A40" s="665"/>
      <c r="B40" s="665"/>
      <c r="C40" s="665"/>
      <c r="D40" s="665"/>
      <c r="E40" s="665"/>
      <c r="F40" s="665"/>
      <c r="G40" s="677"/>
      <c r="H40" s="677"/>
      <c r="I40" s="664"/>
    </row>
    <row r="41" spans="1:17" ht="21" x14ac:dyDescent="0.25">
      <c r="A41" s="665"/>
      <c r="B41" s="665"/>
      <c r="C41" s="665"/>
      <c r="D41" s="665"/>
      <c r="E41" s="665"/>
      <c r="F41" s="665"/>
      <c r="G41" s="677"/>
      <c r="H41" s="677"/>
      <c r="I41" s="664"/>
      <c r="K41" s="711"/>
    </row>
    <row r="42" spans="1:17" ht="20.25" x14ac:dyDescent="0.25">
      <c r="A42" s="665"/>
      <c r="B42" s="665"/>
      <c r="C42" s="665"/>
      <c r="D42" s="665"/>
      <c r="E42" s="665"/>
      <c r="F42" s="665"/>
      <c r="G42" s="677"/>
      <c r="H42" s="677"/>
      <c r="I42" s="664"/>
    </row>
  </sheetData>
  <mergeCells count="4">
    <mergeCell ref="A34:I34"/>
    <mergeCell ref="J2:K2"/>
    <mergeCell ref="M2:N2"/>
    <mergeCell ref="P2:Q2"/>
  </mergeCells>
  <pageMargins left="0.7" right="0.7" top="0.75" bottom="0.75" header="0.3" footer="0.3"/>
  <pageSetup paperSize="9" scale="34"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V147"/>
  <sheetViews>
    <sheetView showGridLines="0" zoomScale="36" zoomScaleNormal="36" zoomScaleSheetLayoutView="53" zoomScalePageLayoutView="50" workbookViewId="0">
      <pane xSplit="13" ySplit="6" topLeftCell="Y119" activePane="bottomRight" state="frozen"/>
      <selection pane="topRight" activeCell="N1" sqref="N1"/>
      <selection pane="bottomLeft" activeCell="A7" sqref="A7"/>
      <selection pane="bottomRight" activeCell="AG124" sqref="AG124"/>
    </sheetView>
  </sheetViews>
  <sheetFormatPr baseColWidth="10" defaultColWidth="7.90625" defaultRowHeight="23.25" x14ac:dyDescent="0.35"/>
  <cols>
    <col min="1" max="1" width="5" style="76" customWidth="1"/>
    <col min="2" max="2" width="5.90625" style="689" customWidth="1"/>
    <col min="3" max="3" width="8.81640625" style="689" customWidth="1"/>
    <col min="4" max="4" width="5.6328125" style="689" customWidth="1"/>
    <col min="5" max="5" width="6.7265625" style="689" customWidth="1"/>
    <col min="6" max="6" width="6.453125" style="689" customWidth="1"/>
    <col min="7" max="7" width="3.6328125" style="689" customWidth="1"/>
    <col min="8" max="8" width="8.54296875" style="689" customWidth="1"/>
    <col min="9" max="9" width="7.90625" style="689" customWidth="1"/>
    <col min="10" max="10" width="39.90625" style="76" customWidth="1"/>
    <col min="11" max="11" width="12.08984375" style="76" hidden="1" customWidth="1"/>
    <col min="12" max="12" width="12.7265625" style="76" hidden="1" customWidth="1"/>
    <col min="13" max="13" width="13.36328125" style="76" hidden="1" customWidth="1"/>
    <col min="14" max="14" width="25.54296875" style="76" customWidth="1"/>
    <col min="15" max="15" width="27.1796875" style="76" customWidth="1"/>
    <col min="16" max="16" width="24.08984375" style="76" customWidth="1"/>
    <col min="17" max="17" width="21" style="76" customWidth="1"/>
    <col min="18" max="18" width="25.453125" style="76" customWidth="1"/>
    <col min="19" max="19" width="20.453125" style="76" customWidth="1"/>
    <col min="20" max="20" width="21.6328125" style="76" customWidth="1"/>
    <col min="21" max="21" width="21.26953125" style="76" customWidth="1"/>
    <col min="22" max="22" width="23.36328125" style="76" customWidth="1"/>
    <col min="23" max="23" width="24.54296875" style="76" customWidth="1"/>
    <col min="24" max="24" width="28.54296875" style="76" customWidth="1"/>
    <col min="25" max="25" width="22.7265625" style="538" customWidth="1"/>
    <col min="26" max="26" width="23.90625" style="76" customWidth="1"/>
    <col min="27" max="27" width="28.6328125" style="76" customWidth="1"/>
    <col min="28" max="28" width="29.7265625" style="76" customWidth="1"/>
    <col min="29" max="29" width="26.26953125" style="76" customWidth="1"/>
    <col min="30" max="30" width="27.90625" style="76" hidden="1" customWidth="1"/>
    <col min="31" max="31" width="29.36328125" style="76" customWidth="1"/>
    <col min="32" max="32" width="28.08984375" style="76" customWidth="1"/>
    <col min="33" max="33" width="29" style="76" customWidth="1"/>
    <col min="34" max="34" width="26.26953125" style="78" customWidth="1"/>
    <col min="35" max="35" width="18.26953125" style="79" customWidth="1"/>
    <col min="36" max="36" width="16.81640625" style="76" hidden="1" customWidth="1"/>
    <col min="37" max="37" width="67" style="80" hidden="1" customWidth="1"/>
    <col min="38" max="38" width="0.54296875" style="76" customWidth="1"/>
    <col min="39" max="39" width="17.08984375" style="79" customWidth="1"/>
    <col min="40" max="40" width="2.08984375" style="81" customWidth="1"/>
    <col min="41" max="41" width="19.7265625" style="76" customWidth="1"/>
    <col min="42" max="42" width="30.453125" style="76" customWidth="1"/>
    <col min="43" max="43" width="30.6328125" style="82" customWidth="1"/>
    <col min="44" max="44" width="28.7265625" style="82" customWidth="1"/>
    <col min="45" max="45" width="23.26953125" style="83" customWidth="1"/>
    <col min="46" max="46" width="9.453125" style="76" customWidth="1"/>
    <col min="47" max="47" width="27.08984375" style="76" customWidth="1"/>
    <col min="48" max="48" width="22.26953125" style="84" customWidth="1"/>
    <col min="49" max="49" width="25.26953125" style="76" customWidth="1"/>
    <col min="50" max="50" width="18.36328125" style="76" customWidth="1"/>
    <col min="51" max="257" width="7.90625" style="76"/>
    <col min="258" max="258" width="2.6328125" style="76" customWidth="1"/>
    <col min="259" max="259" width="5.90625" style="76" customWidth="1"/>
    <col min="260" max="260" width="5.6328125" style="76" customWidth="1"/>
    <col min="261" max="264" width="2.6328125" style="76" customWidth="1"/>
    <col min="265" max="265" width="8.54296875" style="76" customWidth="1"/>
    <col min="266" max="266" width="2.6328125" style="76" customWidth="1"/>
    <col min="267" max="267" width="31.453125" style="76" customWidth="1"/>
    <col min="268" max="270" width="0" style="76" hidden="1" customWidth="1"/>
    <col min="271" max="271" width="24.36328125" style="76" customWidth="1"/>
    <col min="272" max="272" width="17.7265625" style="76" customWidth="1"/>
    <col min="273" max="273" width="19.81640625" style="76" customWidth="1"/>
    <col min="274" max="274" width="20.90625" style="76" customWidth="1"/>
    <col min="275" max="275" width="16.1796875" style="76" customWidth="1"/>
    <col min="276" max="276" width="16.81640625" style="76" customWidth="1"/>
    <col min="277" max="277" width="15.81640625" style="76" customWidth="1"/>
    <col min="278" max="278" width="18.453125" style="76" customWidth="1"/>
    <col min="279" max="279" width="19.90625" style="76" customWidth="1"/>
    <col min="280" max="280" width="23.453125" style="76" customWidth="1"/>
    <col min="281" max="281" width="19.90625" style="76" customWidth="1"/>
    <col min="282" max="282" width="17.1796875" style="76" customWidth="1"/>
    <col min="283" max="284" width="24.90625" style="76" customWidth="1"/>
    <col min="285" max="285" width="21.7265625" style="76" customWidth="1"/>
    <col min="286" max="286" width="0" style="76" hidden="1" customWidth="1"/>
    <col min="287" max="287" width="24.26953125" style="76" customWidth="1"/>
    <col min="288" max="288" width="21.26953125" style="76" customWidth="1"/>
    <col min="289" max="289" width="23.90625" style="76" customWidth="1"/>
    <col min="290" max="290" width="21.6328125" style="76" customWidth="1"/>
    <col min="291" max="291" width="15.453125" style="76" customWidth="1"/>
    <col min="292" max="295" width="0" style="76" hidden="1" customWidth="1"/>
    <col min="296" max="296" width="2.08984375" style="76" customWidth="1"/>
    <col min="297" max="297" width="18.453125" style="76" customWidth="1"/>
    <col min="298" max="298" width="20.453125" style="76" customWidth="1"/>
    <col min="299" max="299" width="22.453125" style="76" customWidth="1"/>
    <col min="300" max="300" width="23.90625" style="76" customWidth="1"/>
    <col min="301" max="301" width="20.90625" style="76" customWidth="1"/>
    <col min="302" max="302" width="9.453125" style="76" customWidth="1"/>
    <col min="303" max="303" width="27.08984375" style="76" customWidth="1"/>
    <col min="304" max="304" width="16.1796875" style="76" customWidth="1"/>
    <col min="305" max="513" width="7.90625" style="76"/>
    <col min="514" max="514" width="2.6328125" style="76" customWidth="1"/>
    <col min="515" max="515" width="5.90625" style="76" customWidth="1"/>
    <col min="516" max="516" width="5.6328125" style="76" customWidth="1"/>
    <col min="517" max="520" width="2.6328125" style="76" customWidth="1"/>
    <col min="521" max="521" width="8.54296875" style="76" customWidth="1"/>
    <col min="522" max="522" width="2.6328125" style="76" customWidth="1"/>
    <col min="523" max="523" width="31.453125" style="76" customWidth="1"/>
    <col min="524" max="526" width="0" style="76" hidden="1" customWidth="1"/>
    <col min="527" max="527" width="24.36328125" style="76" customWidth="1"/>
    <col min="528" max="528" width="17.7265625" style="76" customWidth="1"/>
    <col min="529" max="529" width="19.81640625" style="76" customWidth="1"/>
    <col min="530" max="530" width="20.90625" style="76" customWidth="1"/>
    <col min="531" max="531" width="16.1796875" style="76" customWidth="1"/>
    <col min="532" max="532" width="16.81640625" style="76" customWidth="1"/>
    <col min="533" max="533" width="15.81640625" style="76" customWidth="1"/>
    <col min="534" max="534" width="18.453125" style="76" customWidth="1"/>
    <col min="535" max="535" width="19.90625" style="76" customWidth="1"/>
    <col min="536" max="536" width="23.453125" style="76" customWidth="1"/>
    <col min="537" max="537" width="19.90625" style="76" customWidth="1"/>
    <col min="538" max="538" width="17.1796875" style="76" customWidth="1"/>
    <col min="539" max="540" width="24.90625" style="76" customWidth="1"/>
    <col min="541" max="541" width="21.7265625" style="76" customWidth="1"/>
    <col min="542" max="542" width="0" style="76" hidden="1" customWidth="1"/>
    <col min="543" max="543" width="24.26953125" style="76" customWidth="1"/>
    <col min="544" max="544" width="21.26953125" style="76" customWidth="1"/>
    <col min="545" max="545" width="23.90625" style="76" customWidth="1"/>
    <col min="546" max="546" width="21.6328125" style="76" customWidth="1"/>
    <col min="547" max="547" width="15.453125" style="76" customWidth="1"/>
    <col min="548" max="551" width="0" style="76" hidden="1" customWidth="1"/>
    <col min="552" max="552" width="2.08984375" style="76" customWidth="1"/>
    <col min="553" max="553" width="18.453125" style="76" customWidth="1"/>
    <col min="554" max="554" width="20.453125" style="76" customWidth="1"/>
    <col min="555" max="555" width="22.453125" style="76" customWidth="1"/>
    <col min="556" max="556" width="23.90625" style="76" customWidth="1"/>
    <col min="557" max="557" width="20.90625" style="76" customWidth="1"/>
    <col min="558" max="558" width="9.453125" style="76" customWidth="1"/>
    <col min="559" max="559" width="27.08984375" style="76" customWidth="1"/>
    <col min="560" max="560" width="16.1796875" style="76" customWidth="1"/>
    <col min="561" max="769" width="7.90625" style="76"/>
    <col min="770" max="770" width="2.6328125" style="76" customWidth="1"/>
    <col min="771" max="771" width="5.90625" style="76" customWidth="1"/>
    <col min="772" max="772" width="5.6328125" style="76" customWidth="1"/>
    <col min="773" max="776" width="2.6328125" style="76" customWidth="1"/>
    <col min="777" max="777" width="8.54296875" style="76" customWidth="1"/>
    <col min="778" max="778" width="2.6328125" style="76" customWidth="1"/>
    <col min="779" max="779" width="31.453125" style="76" customWidth="1"/>
    <col min="780" max="782" width="0" style="76" hidden="1" customWidth="1"/>
    <col min="783" max="783" width="24.36328125" style="76" customWidth="1"/>
    <col min="784" max="784" width="17.7265625" style="76" customWidth="1"/>
    <col min="785" max="785" width="19.81640625" style="76" customWidth="1"/>
    <col min="786" max="786" width="20.90625" style="76" customWidth="1"/>
    <col min="787" max="787" width="16.1796875" style="76" customWidth="1"/>
    <col min="788" max="788" width="16.81640625" style="76" customWidth="1"/>
    <col min="789" max="789" width="15.81640625" style="76" customWidth="1"/>
    <col min="790" max="790" width="18.453125" style="76" customWidth="1"/>
    <col min="791" max="791" width="19.90625" style="76" customWidth="1"/>
    <col min="792" max="792" width="23.453125" style="76" customWidth="1"/>
    <col min="793" max="793" width="19.90625" style="76" customWidth="1"/>
    <col min="794" max="794" width="17.1796875" style="76" customWidth="1"/>
    <col min="795" max="796" width="24.90625" style="76" customWidth="1"/>
    <col min="797" max="797" width="21.7265625" style="76" customWidth="1"/>
    <col min="798" max="798" width="0" style="76" hidden="1" customWidth="1"/>
    <col min="799" max="799" width="24.26953125" style="76" customWidth="1"/>
    <col min="800" max="800" width="21.26953125" style="76" customWidth="1"/>
    <col min="801" max="801" width="23.90625" style="76" customWidth="1"/>
    <col min="802" max="802" width="21.6328125" style="76" customWidth="1"/>
    <col min="803" max="803" width="15.453125" style="76" customWidth="1"/>
    <col min="804" max="807" width="0" style="76" hidden="1" customWidth="1"/>
    <col min="808" max="808" width="2.08984375" style="76" customWidth="1"/>
    <col min="809" max="809" width="18.453125" style="76" customWidth="1"/>
    <col min="810" max="810" width="20.453125" style="76" customWidth="1"/>
    <col min="811" max="811" width="22.453125" style="76" customWidth="1"/>
    <col min="812" max="812" width="23.90625" style="76" customWidth="1"/>
    <col min="813" max="813" width="20.90625" style="76" customWidth="1"/>
    <col min="814" max="814" width="9.453125" style="76" customWidth="1"/>
    <col min="815" max="815" width="27.08984375" style="76" customWidth="1"/>
    <col min="816" max="816" width="16.1796875" style="76" customWidth="1"/>
    <col min="817" max="1025" width="7.90625" style="76"/>
    <col min="1026" max="1026" width="2.6328125" style="76" customWidth="1"/>
    <col min="1027" max="1027" width="5.90625" style="76" customWidth="1"/>
    <col min="1028" max="1028" width="5.6328125" style="76" customWidth="1"/>
    <col min="1029" max="1032" width="2.6328125" style="76" customWidth="1"/>
    <col min="1033" max="1033" width="8.54296875" style="76" customWidth="1"/>
    <col min="1034" max="1034" width="2.6328125" style="76" customWidth="1"/>
    <col min="1035" max="1035" width="31.453125" style="76" customWidth="1"/>
    <col min="1036" max="1038" width="0" style="76" hidden="1" customWidth="1"/>
    <col min="1039" max="1039" width="24.36328125" style="76" customWidth="1"/>
    <col min="1040" max="1040" width="17.7265625" style="76" customWidth="1"/>
    <col min="1041" max="1041" width="19.81640625" style="76" customWidth="1"/>
    <col min="1042" max="1042" width="20.90625" style="76" customWidth="1"/>
    <col min="1043" max="1043" width="16.1796875" style="76" customWidth="1"/>
    <col min="1044" max="1044" width="16.81640625" style="76" customWidth="1"/>
    <col min="1045" max="1045" width="15.81640625" style="76" customWidth="1"/>
    <col min="1046" max="1046" width="18.453125" style="76" customWidth="1"/>
    <col min="1047" max="1047" width="19.90625" style="76" customWidth="1"/>
    <col min="1048" max="1048" width="23.453125" style="76" customWidth="1"/>
    <col min="1049" max="1049" width="19.90625" style="76" customWidth="1"/>
    <col min="1050" max="1050" width="17.1796875" style="76" customWidth="1"/>
    <col min="1051" max="1052" width="24.90625" style="76" customWidth="1"/>
    <col min="1053" max="1053" width="21.7265625" style="76" customWidth="1"/>
    <col min="1054" max="1054" width="0" style="76" hidden="1" customWidth="1"/>
    <col min="1055" max="1055" width="24.26953125" style="76" customWidth="1"/>
    <col min="1056" max="1056" width="21.26953125" style="76" customWidth="1"/>
    <col min="1057" max="1057" width="23.90625" style="76" customWidth="1"/>
    <col min="1058" max="1058" width="21.6328125" style="76" customWidth="1"/>
    <col min="1059" max="1059" width="15.453125" style="76" customWidth="1"/>
    <col min="1060" max="1063" width="0" style="76" hidden="1" customWidth="1"/>
    <col min="1064" max="1064" width="2.08984375" style="76" customWidth="1"/>
    <col min="1065" max="1065" width="18.453125" style="76" customWidth="1"/>
    <col min="1066" max="1066" width="20.453125" style="76" customWidth="1"/>
    <col min="1067" max="1067" width="22.453125" style="76" customWidth="1"/>
    <col min="1068" max="1068" width="23.90625" style="76" customWidth="1"/>
    <col min="1069" max="1069" width="20.90625" style="76" customWidth="1"/>
    <col min="1070" max="1070" width="9.453125" style="76" customWidth="1"/>
    <col min="1071" max="1071" width="27.08984375" style="76" customWidth="1"/>
    <col min="1072" max="1072" width="16.1796875" style="76" customWidth="1"/>
    <col min="1073" max="1281" width="7.90625" style="76"/>
    <col min="1282" max="1282" width="2.6328125" style="76" customWidth="1"/>
    <col min="1283" max="1283" width="5.90625" style="76" customWidth="1"/>
    <col min="1284" max="1284" width="5.6328125" style="76" customWidth="1"/>
    <col min="1285" max="1288" width="2.6328125" style="76" customWidth="1"/>
    <col min="1289" max="1289" width="8.54296875" style="76" customWidth="1"/>
    <col min="1290" max="1290" width="2.6328125" style="76" customWidth="1"/>
    <col min="1291" max="1291" width="31.453125" style="76" customWidth="1"/>
    <col min="1292" max="1294" width="0" style="76" hidden="1" customWidth="1"/>
    <col min="1295" max="1295" width="24.36328125" style="76" customWidth="1"/>
    <col min="1296" max="1296" width="17.7265625" style="76" customWidth="1"/>
    <col min="1297" max="1297" width="19.81640625" style="76" customWidth="1"/>
    <col min="1298" max="1298" width="20.90625" style="76" customWidth="1"/>
    <col min="1299" max="1299" width="16.1796875" style="76" customWidth="1"/>
    <col min="1300" max="1300" width="16.81640625" style="76" customWidth="1"/>
    <col min="1301" max="1301" width="15.81640625" style="76" customWidth="1"/>
    <col min="1302" max="1302" width="18.453125" style="76" customWidth="1"/>
    <col min="1303" max="1303" width="19.90625" style="76" customWidth="1"/>
    <col min="1304" max="1304" width="23.453125" style="76" customWidth="1"/>
    <col min="1305" max="1305" width="19.90625" style="76" customWidth="1"/>
    <col min="1306" max="1306" width="17.1796875" style="76" customWidth="1"/>
    <col min="1307" max="1308" width="24.90625" style="76" customWidth="1"/>
    <col min="1309" max="1309" width="21.7265625" style="76" customWidth="1"/>
    <col min="1310" max="1310" width="0" style="76" hidden="1" customWidth="1"/>
    <col min="1311" max="1311" width="24.26953125" style="76" customWidth="1"/>
    <col min="1312" max="1312" width="21.26953125" style="76" customWidth="1"/>
    <col min="1313" max="1313" width="23.90625" style="76" customWidth="1"/>
    <col min="1314" max="1314" width="21.6328125" style="76" customWidth="1"/>
    <col min="1315" max="1315" width="15.453125" style="76" customWidth="1"/>
    <col min="1316" max="1319" width="0" style="76" hidden="1" customWidth="1"/>
    <col min="1320" max="1320" width="2.08984375" style="76" customWidth="1"/>
    <col min="1321" max="1321" width="18.453125" style="76" customWidth="1"/>
    <col min="1322" max="1322" width="20.453125" style="76" customWidth="1"/>
    <col min="1323" max="1323" width="22.453125" style="76" customWidth="1"/>
    <col min="1324" max="1324" width="23.90625" style="76" customWidth="1"/>
    <col min="1325" max="1325" width="20.90625" style="76" customWidth="1"/>
    <col min="1326" max="1326" width="9.453125" style="76" customWidth="1"/>
    <col min="1327" max="1327" width="27.08984375" style="76" customWidth="1"/>
    <col min="1328" max="1328" width="16.1796875" style="76" customWidth="1"/>
    <col min="1329" max="1537" width="7.90625" style="76"/>
    <col min="1538" max="1538" width="2.6328125" style="76" customWidth="1"/>
    <col min="1539" max="1539" width="5.90625" style="76" customWidth="1"/>
    <col min="1540" max="1540" width="5.6328125" style="76" customWidth="1"/>
    <col min="1541" max="1544" width="2.6328125" style="76" customWidth="1"/>
    <col min="1545" max="1545" width="8.54296875" style="76" customWidth="1"/>
    <col min="1546" max="1546" width="2.6328125" style="76" customWidth="1"/>
    <col min="1547" max="1547" width="31.453125" style="76" customWidth="1"/>
    <col min="1548" max="1550" width="0" style="76" hidden="1" customWidth="1"/>
    <col min="1551" max="1551" width="24.36328125" style="76" customWidth="1"/>
    <col min="1552" max="1552" width="17.7265625" style="76" customWidth="1"/>
    <col min="1553" max="1553" width="19.81640625" style="76" customWidth="1"/>
    <col min="1554" max="1554" width="20.90625" style="76" customWidth="1"/>
    <col min="1555" max="1555" width="16.1796875" style="76" customWidth="1"/>
    <col min="1556" max="1556" width="16.81640625" style="76" customWidth="1"/>
    <col min="1557" max="1557" width="15.81640625" style="76" customWidth="1"/>
    <col min="1558" max="1558" width="18.453125" style="76" customWidth="1"/>
    <col min="1559" max="1559" width="19.90625" style="76" customWidth="1"/>
    <col min="1560" max="1560" width="23.453125" style="76" customWidth="1"/>
    <col min="1561" max="1561" width="19.90625" style="76" customWidth="1"/>
    <col min="1562" max="1562" width="17.1796875" style="76" customWidth="1"/>
    <col min="1563" max="1564" width="24.90625" style="76" customWidth="1"/>
    <col min="1565" max="1565" width="21.7265625" style="76" customWidth="1"/>
    <col min="1566" max="1566" width="0" style="76" hidden="1" customWidth="1"/>
    <col min="1567" max="1567" width="24.26953125" style="76" customWidth="1"/>
    <col min="1568" max="1568" width="21.26953125" style="76" customWidth="1"/>
    <col min="1569" max="1569" width="23.90625" style="76" customWidth="1"/>
    <col min="1570" max="1570" width="21.6328125" style="76" customWidth="1"/>
    <col min="1571" max="1571" width="15.453125" style="76" customWidth="1"/>
    <col min="1572" max="1575" width="0" style="76" hidden="1" customWidth="1"/>
    <col min="1576" max="1576" width="2.08984375" style="76" customWidth="1"/>
    <col min="1577" max="1577" width="18.453125" style="76" customWidth="1"/>
    <col min="1578" max="1578" width="20.453125" style="76" customWidth="1"/>
    <col min="1579" max="1579" width="22.453125" style="76" customWidth="1"/>
    <col min="1580" max="1580" width="23.90625" style="76" customWidth="1"/>
    <col min="1581" max="1581" width="20.90625" style="76" customWidth="1"/>
    <col min="1582" max="1582" width="9.453125" style="76" customWidth="1"/>
    <col min="1583" max="1583" width="27.08984375" style="76" customWidth="1"/>
    <col min="1584" max="1584" width="16.1796875" style="76" customWidth="1"/>
    <col min="1585" max="1793" width="7.90625" style="76"/>
    <col min="1794" max="1794" width="2.6328125" style="76" customWidth="1"/>
    <col min="1795" max="1795" width="5.90625" style="76" customWidth="1"/>
    <col min="1796" max="1796" width="5.6328125" style="76" customWidth="1"/>
    <col min="1797" max="1800" width="2.6328125" style="76" customWidth="1"/>
    <col min="1801" max="1801" width="8.54296875" style="76" customWidth="1"/>
    <col min="1802" max="1802" width="2.6328125" style="76" customWidth="1"/>
    <col min="1803" max="1803" width="31.453125" style="76" customWidth="1"/>
    <col min="1804" max="1806" width="0" style="76" hidden="1" customWidth="1"/>
    <col min="1807" max="1807" width="24.36328125" style="76" customWidth="1"/>
    <col min="1808" max="1808" width="17.7265625" style="76" customWidth="1"/>
    <col min="1809" max="1809" width="19.81640625" style="76" customWidth="1"/>
    <col min="1810" max="1810" width="20.90625" style="76" customWidth="1"/>
    <col min="1811" max="1811" width="16.1796875" style="76" customWidth="1"/>
    <col min="1812" max="1812" width="16.81640625" style="76" customWidth="1"/>
    <col min="1813" max="1813" width="15.81640625" style="76" customWidth="1"/>
    <col min="1814" max="1814" width="18.453125" style="76" customWidth="1"/>
    <col min="1815" max="1815" width="19.90625" style="76" customWidth="1"/>
    <col min="1816" max="1816" width="23.453125" style="76" customWidth="1"/>
    <col min="1817" max="1817" width="19.90625" style="76" customWidth="1"/>
    <col min="1818" max="1818" width="17.1796875" style="76" customWidth="1"/>
    <col min="1819" max="1820" width="24.90625" style="76" customWidth="1"/>
    <col min="1821" max="1821" width="21.7265625" style="76" customWidth="1"/>
    <col min="1822" max="1822" width="0" style="76" hidden="1" customWidth="1"/>
    <col min="1823" max="1823" width="24.26953125" style="76" customWidth="1"/>
    <col min="1824" max="1824" width="21.26953125" style="76" customWidth="1"/>
    <col min="1825" max="1825" width="23.90625" style="76" customWidth="1"/>
    <col min="1826" max="1826" width="21.6328125" style="76" customWidth="1"/>
    <col min="1827" max="1827" width="15.453125" style="76" customWidth="1"/>
    <col min="1828" max="1831" width="0" style="76" hidden="1" customWidth="1"/>
    <col min="1832" max="1832" width="2.08984375" style="76" customWidth="1"/>
    <col min="1833" max="1833" width="18.453125" style="76" customWidth="1"/>
    <col min="1834" max="1834" width="20.453125" style="76" customWidth="1"/>
    <col min="1835" max="1835" width="22.453125" style="76" customWidth="1"/>
    <col min="1836" max="1836" width="23.90625" style="76" customWidth="1"/>
    <col min="1837" max="1837" width="20.90625" style="76" customWidth="1"/>
    <col min="1838" max="1838" width="9.453125" style="76" customWidth="1"/>
    <col min="1839" max="1839" width="27.08984375" style="76" customWidth="1"/>
    <col min="1840" max="1840" width="16.1796875" style="76" customWidth="1"/>
    <col min="1841" max="2049" width="7.90625" style="76"/>
    <col min="2050" max="2050" width="2.6328125" style="76" customWidth="1"/>
    <col min="2051" max="2051" width="5.90625" style="76" customWidth="1"/>
    <col min="2052" max="2052" width="5.6328125" style="76" customWidth="1"/>
    <col min="2053" max="2056" width="2.6328125" style="76" customWidth="1"/>
    <col min="2057" max="2057" width="8.54296875" style="76" customWidth="1"/>
    <col min="2058" max="2058" width="2.6328125" style="76" customWidth="1"/>
    <col min="2059" max="2059" width="31.453125" style="76" customWidth="1"/>
    <col min="2060" max="2062" width="0" style="76" hidden="1" customWidth="1"/>
    <col min="2063" max="2063" width="24.36328125" style="76" customWidth="1"/>
    <col min="2064" max="2064" width="17.7265625" style="76" customWidth="1"/>
    <col min="2065" max="2065" width="19.81640625" style="76" customWidth="1"/>
    <col min="2066" max="2066" width="20.90625" style="76" customWidth="1"/>
    <col min="2067" max="2067" width="16.1796875" style="76" customWidth="1"/>
    <col min="2068" max="2068" width="16.81640625" style="76" customWidth="1"/>
    <col min="2069" max="2069" width="15.81640625" style="76" customWidth="1"/>
    <col min="2070" max="2070" width="18.453125" style="76" customWidth="1"/>
    <col min="2071" max="2071" width="19.90625" style="76" customWidth="1"/>
    <col min="2072" max="2072" width="23.453125" style="76" customWidth="1"/>
    <col min="2073" max="2073" width="19.90625" style="76" customWidth="1"/>
    <col min="2074" max="2074" width="17.1796875" style="76" customWidth="1"/>
    <col min="2075" max="2076" width="24.90625" style="76" customWidth="1"/>
    <col min="2077" max="2077" width="21.7265625" style="76" customWidth="1"/>
    <col min="2078" max="2078" width="0" style="76" hidden="1" customWidth="1"/>
    <col min="2079" max="2079" width="24.26953125" style="76" customWidth="1"/>
    <col min="2080" max="2080" width="21.26953125" style="76" customWidth="1"/>
    <col min="2081" max="2081" width="23.90625" style="76" customWidth="1"/>
    <col min="2082" max="2082" width="21.6328125" style="76" customWidth="1"/>
    <col min="2083" max="2083" width="15.453125" style="76" customWidth="1"/>
    <col min="2084" max="2087" width="0" style="76" hidden="1" customWidth="1"/>
    <col min="2088" max="2088" width="2.08984375" style="76" customWidth="1"/>
    <col min="2089" max="2089" width="18.453125" style="76" customWidth="1"/>
    <col min="2090" max="2090" width="20.453125" style="76" customWidth="1"/>
    <col min="2091" max="2091" width="22.453125" style="76" customWidth="1"/>
    <col min="2092" max="2092" width="23.90625" style="76" customWidth="1"/>
    <col min="2093" max="2093" width="20.90625" style="76" customWidth="1"/>
    <col min="2094" max="2094" width="9.453125" style="76" customWidth="1"/>
    <col min="2095" max="2095" width="27.08984375" style="76" customWidth="1"/>
    <col min="2096" max="2096" width="16.1796875" style="76" customWidth="1"/>
    <col min="2097" max="2305" width="7.90625" style="76"/>
    <col min="2306" max="2306" width="2.6328125" style="76" customWidth="1"/>
    <col min="2307" max="2307" width="5.90625" style="76" customWidth="1"/>
    <col min="2308" max="2308" width="5.6328125" style="76" customWidth="1"/>
    <col min="2309" max="2312" width="2.6328125" style="76" customWidth="1"/>
    <col min="2313" max="2313" width="8.54296875" style="76" customWidth="1"/>
    <col min="2314" max="2314" width="2.6328125" style="76" customWidth="1"/>
    <col min="2315" max="2315" width="31.453125" style="76" customWidth="1"/>
    <col min="2316" max="2318" width="0" style="76" hidden="1" customWidth="1"/>
    <col min="2319" max="2319" width="24.36328125" style="76" customWidth="1"/>
    <col min="2320" max="2320" width="17.7265625" style="76" customWidth="1"/>
    <col min="2321" max="2321" width="19.81640625" style="76" customWidth="1"/>
    <col min="2322" max="2322" width="20.90625" style="76" customWidth="1"/>
    <col min="2323" max="2323" width="16.1796875" style="76" customWidth="1"/>
    <col min="2324" max="2324" width="16.81640625" style="76" customWidth="1"/>
    <col min="2325" max="2325" width="15.81640625" style="76" customWidth="1"/>
    <col min="2326" max="2326" width="18.453125" style="76" customWidth="1"/>
    <col min="2327" max="2327" width="19.90625" style="76" customWidth="1"/>
    <col min="2328" max="2328" width="23.453125" style="76" customWidth="1"/>
    <col min="2329" max="2329" width="19.90625" style="76" customWidth="1"/>
    <col min="2330" max="2330" width="17.1796875" style="76" customWidth="1"/>
    <col min="2331" max="2332" width="24.90625" style="76" customWidth="1"/>
    <col min="2333" max="2333" width="21.7265625" style="76" customWidth="1"/>
    <col min="2334" max="2334" width="0" style="76" hidden="1" customWidth="1"/>
    <col min="2335" max="2335" width="24.26953125" style="76" customWidth="1"/>
    <col min="2336" max="2336" width="21.26953125" style="76" customWidth="1"/>
    <col min="2337" max="2337" width="23.90625" style="76" customWidth="1"/>
    <col min="2338" max="2338" width="21.6328125" style="76" customWidth="1"/>
    <col min="2339" max="2339" width="15.453125" style="76" customWidth="1"/>
    <col min="2340" max="2343" width="0" style="76" hidden="1" customWidth="1"/>
    <col min="2344" max="2344" width="2.08984375" style="76" customWidth="1"/>
    <col min="2345" max="2345" width="18.453125" style="76" customWidth="1"/>
    <col min="2346" max="2346" width="20.453125" style="76" customWidth="1"/>
    <col min="2347" max="2347" width="22.453125" style="76" customWidth="1"/>
    <col min="2348" max="2348" width="23.90625" style="76" customWidth="1"/>
    <col min="2349" max="2349" width="20.90625" style="76" customWidth="1"/>
    <col min="2350" max="2350" width="9.453125" style="76" customWidth="1"/>
    <col min="2351" max="2351" width="27.08984375" style="76" customWidth="1"/>
    <col min="2352" max="2352" width="16.1796875" style="76" customWidth="1"/>
    <col min="2353" max="2561" width="7.90625" style="76"/>
    <col min="2562" max="2562" width="2.6328125" style="76" customWidth="1"/>
    <col min="2563" max="2563" width="5.90625" style="76" customWidth="1"/>
    <col min="2564" max="2564" width="5.6328125" style="76" customWidth="1"/>
    <col min="2565" max="2568" width="2.6328125" style="76" customWidth="1"/>
    <col min="2569" max="2569" width="8.54296875" style="76" customWidth="1"/>
    <col min="2570" max="2570" width="2.6328125" style="76" customWidth="1"/>
    <col min="2571" max="2571" width="31.453125" style="76" customWidth="1"/>
    <col min="2572" max="2574" width="0" style="76" hidden="1" customWidth="1"/>
    <col min="2575" max="2575" width="24.36328125" style="76" customWidth="1"/>
    <col min="2576" max="2576" width="17.7265625" style="76" customWidth="1"/>
    <col min="2577" max="2577" width="19.81640625" style="76" customWidth="1"/>
    <col min="2578" max="2578" width="20.90625" style="76" customWidth="1"/>
    <col min="2579" max="2579" width="16.1796875" style="76" customWidth="1"/>
    <col min="2580" max="2580" width="16.81640625" style="76" customWidth="1"/>
    <col min="2581" max="2581" width="15.81640625" style="76" customWidth="1"/>
    <col min="2582" max="2582" width="18.453125" style="76" customWidth="1"/>
    <col min="2583" max="2583" width="19.90625" style="76" customWidth="1"/>
    <col min="2584" max="2584" width="23.453125" style="76" customWidth="1"/>
    <col min="2585" max="2585" width="19.90625" style="76" customWidth="1"/>
    <col min="2586" max="2586" width="17.1796875" style="76" customWidth="1"/>
    <col min="2587" max="2588" width="24.90625" style="76" customWidth="1"/>
    <col min="2589" max="2589" width="21.7265625" style="76" customWidth="1"/>
    <col min="2590" max="2590" width="0" style="76" hidden="1" customWidth="1"/>
    <col min="2591" max="2591" width="24.26953125" style="76" customWidth="1"/>
    <col min="2592" max="2592" width="21.26953125" style="76" customWidth="1"/>
    <col min="2593" max="2593" width="23.90625" style="76" customWidth="1"/>
    <col min="2594" max="2594" width="21.6328125" style="76" customWidth="1"/>
    <col min="2595" max="2595" width="15.453125" style="76" customWidth="1"/>
    <col min="2596" max="2599" width="0" style="76" hidden="1" customWidth="1"/>
    <col min="2600" max="2600" width="2.08984375" style="76" customWidth="1"/>
    <col min="2601" max="2601" width="18.453125" style="76" customWidth="1"/>
    <col min="2602" max="2602" width="20.453125" style="76" customWidth="1"/>
    <col min="2603" max="2603" width="22.453125" style="76" customWidth="1"/>
    <col min="2604" max="2604" width="23.90625" style="76" customWidth="1"/>
    <col min="2605" max="2605" width="20.90625" style="76" customWidth="1"/>
    <col min="2606" max="2606" width="9.453125" style="76" customWidth="1"/>
    <col min="2607" max="2607" width="27.08984375" style="76" customWidth="1"/>
    <col min="2608" max="2608" width="16.1796875" style="76" customWidth="1"/>
    <col min="2609" max="2817" width="7.90625" style="76"/>
    <col min="2818" max="2818" width="2.6328125" style="76" customWidth="1"/>
    <col min="2819" max="2819" width="5.90625" style="76" customWidth="1"/>
    <col min="2820" max="2820" width="5.6328125" style="76" customWidth="1"/>
    <col min="2821" max="2824" width="2.6328125" style="76" customWidth="1"/>
    <col min="2825" max="2825" width="8.54296875" style="76" customWidth="1"/>
    <col min="2826" max="2826" width="2.6328125" style="76" customWidth="1"/>
    <col min="2827" max="2827" width="31.453125" style="76" customWidth="1"/>
    <col min="2828" max="2830" width="0" style="76" hidden="1" customWidth="1"/>
    <col min="2831" max="2831" width="24.36328125" style="76" customWidth="1"/>
    <col min="2832" max="2832" width="17.7265625" style="76" customWidth="1"/>
    <col min="2833" max="2833" width="19.81640625" style="76" customWidth="1"/>
    <col min="2834" max="2834" width="20.90625" style="76" customWidth="1"/>
    <col min="2835" max="2835" width="16.1796875" style="76" customWidth="1"/>
    <col min="2836" max="2836" width="16.81640625" style="76" customWidth="1"/>
    <col min="2837" max="2837" width="15.81640625" style="76" customWidth="1"/>
    <col min="2838" max="2838" width="18.453125" style="76" customWidth="1"/>
    <col min="2839" max="2839" width="19.90625" style="76" customWidth="1"/>
    <col min="2840" max="2840" width="23.453125" style="76" customWidth="1"/>
    <col min="2841" max="2841" width="19.90625" style="76" customWidth="1"/>
    <col min="2842" max="2842" width="17.1796875" style="76" customWidth="1"/>
    <col min="2843" max="2844" width="24.90625" style="76" customWidth="1"/>
    <col min="2845" max="2845" width="21.7265625" style="76" customWidth="1"/>
    <col min="2846" max="2846" width="0" style="76" hidden="1" customWidth="1"/>
    <col min="2847" max="2847" width="24.26953125" style="76" customWidth="1"/>
    <col min="2848" max="2848" width="21.26953125" style="76" customWidth="1"/>
    <col min="2849" max="2849" width="23.90625" style="76" customWidth="1"/>
    <col min="2850" max="2850" width="21.6328125" style="76" customWidth="1"/>
    <col min="2851" max="2851" width="15.453125" style="76" customWidth="1"/>
    <col min="2852" max="2855" width="0" style="76" hidden="1" customWidth="1"/>
    <col min="2856" max="2856" width="2.08984375" style="76" customWidth="1"/>
    <col min="2857" max="2857" width="18.453125" style="76" customWidth="1"/>
    <col min="2858" max="2858" width="20.453125" style="76" customWidth="1"/>
    <col min="2859" max="2859" width="22.453125" style="76" customWidth="1"/>
    <col min="2860" max="2860" width="23.90625" style="76" customWidth="1"/>
    <col min="2861" max="2861" width="20.90625" style="76" customWidth="1"/>
    <col min="2862" max="2862" width="9.453125" style="76" customWidth="1"/>
    <col min="2863" max="2863" width="27.08984375" style="76" customWidth="1"/>
    <col min="2864" max="2864" width="16.1796875" style="76" customWidth="1"/>
    <col min="2865" max="3073" width="7.90625" style="76"/>
    <col min="3074" max="3074" width="2.6328125" style="76" customWidth="1"/>
    <col min="3075" max="3075" width="5.90625" style="76" customWidth="1"/>
    <col min="3076" max="3076" width="5.6328125" style="76" customWidth="1"/>
    <col min="3077" max="3080" width="2.6328125" style="76" customWidth="1"/>
    <col min="3081" max="3081" width="8.54296875" style="76" customWidth="1"/>
    <col min="3082" max="3082" width="2.6328125" style="76" customWidth="1"/>
    <col min="3083" max="3083" width="31.453125" style="76" customWidth="1"/>
    <col min="3084" max="3086" width="0" style="76" hidden="1" customWidth="1"/>
    <col min="3087" max="3087" width="24.36328125" style="76" customWidth="1"/>
    <col min="3088" max="3088" width="17.7265625" style="76" customWidth="1"/>
    <col min="3089" max="3089" width="19.81640625" style="76" customWidth="1"/>
    <col min="3090" max="3090" width="20.90625" style="76" customWidth="1"/>
    <col min="3091" max="3091" width="16.1796875" style="76" customWidth="1"/>
    <col min="3092" max="3092" width="16.81640625" style="76" customWidth="1"/>
    <col min="3093" max="3093" width="15.81640625" style="76" customWidth="1"/>
    <col min="3094" max="3094" width="18.453125" style="76" customWidth="1"/>
    <col min="3095" max="3095" width="19.90625" style="76" customWidth="1"/>
    <col min="3096" max="3096" width="23.453125" style="76" customWidth="1"/>
    <col min="3097" max="3097" width="19.90625" style="76" customWidth="1"/>
    <col min="3098" max="3098" width="17.1796875" style="76" customWidth="1"/>
    <col min="3099" max="3100" width="24.90625" style="76" customWidth="1"/>
    <col min="3101" max="3101" width="21.7265625" style="76" customWidth="1"/>
    <col min="3102" max="3102" width="0" style="76" hidden="1" customWidth="1"/>
    <col min="3103" max="3103" width="24.26953125" style="76" customWidth="1"/>
    <col min="3104" max="3104" width="21.26953125" style="76" customWidth="1"/>
    <col min="3105" max="3105" width="23.90625" style="76" customWidth="1"/>
    <col min="3106" max="3106" width="21.6328125" style="76" customWidth="1"/>
    <col min="3107" max="3107" width="15.453125" style="76" customWidth="1"/>
    <col min="3108" max="3111" width="0" style="76" hidden="1" customWidth="1"/>
    <col min="3112" max="3112" width="2.08984375" style="76" customWidth="1"/>
    <col min="3113" max="3113" width="18.453125" style="76" customWidth="1"/>
    <col min="3114" max="3114" width="20.453125" style="76" customWidth="1"/>
    <col min="3115" max="3115" width="22.453125" style="76" customWidth="1"/>
    <col min="3116" max="3116" width="23.90625" style="76" customWidth="1"/>
    <col min="3117" max="3117" width="20.90625" style="76" customWidth="1"/>
    <col min="3118" max="3118" width="9.453125" style="76" customWidth="1"/>
    <col min="3119" max="3119" width="27.08984375" style="76" customWidth="1"/>
    <col min="3120" max="3120" width="16.1796875" style="76" customWidth="1"/>
    <col min="3121" max="3329" width="7.90625" style="76"/>
    <col min="3330" max="3330" width="2.6328125" style="76" customWidth="1"/>
    <col min="3331" max="3331" width="5.90625" style="76" customWidth="1"/>
    <col min="3332" max="3332" width="5.6328125" style="76" customWidth="1"/>
    <col min="3333" max="3336" width="2.6328125" style="76" customWidth="1"/>
    <col min="3337" max="3337" width="8.54296875" style="76" customWidth="1"/>
    <col min="3338" max="3338" width="2.6328125" style="76" customWidth="1"/>
    <col min="3339" max="3339" width="31.453125" style="76" customWidth="1"/>
    <col min="3340" max="3342" width="0" style="76" hidden="1" customWidth="1"/>
    <col min="3343" max="3343" width="24.36328125" style="76" customWidth="1"/>
    <col min="3344" max="3344" width="17.7265625" style="76" customWidth="1"/>
    <col min="3345" max="3345" width="19.81640625" style="76" customWidth="1"/>
    <col min="3346" max="3346" width="20.90625" style="76" customWidth="1"/>
    <col min="3347" max="3347" width="16.1796875" style="76" customWidth="1"/>
    <col min="3348" max="3348" width="16.81640625" style="76" customWidth="1"/>
    <col min="3349" max="3349" width="15.81640625" style="76" customWidth="1"/>
    <col min="3350" max="3350" width="18.453125" style="76" customWidth="1"/>
    <col min="3351" max="3351" width="19.90625" style="76" customWidth="1"/>
    <col min="3352" max="3352" width="23.453125" style="76" customWidth="1"/>
    <col min="3353" max="3353" width="19.90625" style="76" customWidth="1"/>
    <col min="3354" max="3354" width="17.1796875" style="76" customWidth="1"/>
    <col min="3355" max="3356" width="24.90625" style="76" customWidth="1"/>
    <col min="3357" max="3357" width="21.7265625" style="76" customWidth="1"/>
    <col min="3358" max="3358" width="0" style="76" hidden="1" customWidth="1"/>
    <col min="3359" max="3359" width="24.26953125" style="76" customWidth="1"/>
    <col min="3360" max="3360" width="21.26953125" style="76" customWidth="1"/>
    <col min="3361" max="3361" width="23.90625" style="76" customWidth="1"/>
    <col min="3362" max="3362" width="21.6328125" style="76" customWidth="1"/>
    <col min="3363" max="3363" width="15.453125" style="76" customWidth="1"/>
    <col min="3364" max="3367" width="0" style="76" hidden="1" customWidth="1"/>
    <col min="3368" max="3368" width="2.08984375" style="76" customWidth="1"/>
    <col min="3369" max="3369" width="18.453125" style="76" customWidth="1"/>
    <col min="3370" max="3370" width="20.453125" style="76" customWidth="1"/>
    <col min="3371" max="3371" width="22.453125" style="76" customWidth="1"/>
    <col min="3372" max="3372" width="23.90625" style="76" customWidth="1"/>
    <col min="3373" max="3373" width="20.90625" style="76" customWidth="1"/>
    <col min="3374" max="3374" width="9.453125" style="76" customWidth="1"/>
    <col min="3375" max="3375" width="27.08984375" style="76" customWidth="1"/>
    <col min="3376" max="3376" width="16.1796875" style="76" customWidth="1"/>
    <col min="3377" max="3585" width="7.90625" style="76"/>
    <col min="3586" max="3586" width="2.6328125" style="76" customWidth="1"/>
    <col min="3587" max="3587" width="5.90625" style="76" customWidth="1"/>
    <col min="3588" max="3588" width="5.6328125" style="76" customWidth="1"/>
    <col min="3589" max="3592" width="2.6328125" style="76" customWidth="1"/>
    <col min="3593" max="3593" width="8.54296875" style="76" customWidth="1"/>
    <col min="3594" max="3594" width="2.6328125" style="76" customWidth="1"/>
    <col min="3595" max="3595" width="31.453125" style="76" customWidth="1"/>
    <col min="3596" max="3598" width="0" style="76" hidden="1" customWidth="1"/>
    <col min="3599" max="3599" width="24.36328125" style="76" customWidth="1"/>
    <col min="3600" max="3600" width="17.7265625" style="76" customWidth="1"/>
    <col min="3601" max="3601" width="19.81640625" style="76" customWidth="1"/>
    <col min="3602" max="3602" width="20.90625" style="76" customWidth="1"/>
    <col min="3603" max="3603" width="16.1796875" style="76" customWidth="1"/>
    <col min="3604" max="3604" width="16.81640625" style="76" customWidth="1"/>
    <col min="3605" max="3605" width="15.81640625" style="76" customWidth="1"/>
    <col min="3606" max="3606" width="18.453125" style="76" customWidth="1"/>
    <col min="3607" max="3607" width="19.90625" style="76" customWidth="1"/>
    <col min="3608" max="3608" width="23.453125" style="76" customWidth="1"/>
    <col min="3609" max="3609" width="19.90625" style="76" customWidth="1"/>
    <col min="3610" max="3610" width="17.1796875" style="76" customWidth="1"/>
    <col min="3611" max="3612" width="24.90625" style="76" customWidth="1"/>
    <col min="3613" max="3613" width="21.7265625" style="76" customWidth="1"/>
    <col min="3614" max="3614" width="0" style="76" hidden="1" customWidth="1"/>
    <col min="3615" max="3615" width="24.26953125" style="76" customWidth="1"/>
    <col min="3616" max="3616" width="21.26953125" style="76" customWidth="1"/>
    <col min="3617" max="3617" width="23.90625" style="76" customWidth="1"/>
    <col min="3618" max="3618" width="21.6328125" style="76" customWidth="1"/>
    <col min="3619" max="3619" width="15.453125" style="76" customWidth="1"/>
    <col min="3620" max="3623" width="0" style="76" hidden="1" customWidth="1"/>
    <col min="3624" max="3624" width="2.08984375" style="76" customWidth="1"/>
    <col min="3625" max="3625" width="18.453125" style="76" customWidth="1"/>
    <col min="3626" max="3626" width="20.453125" style="76" customWidth="1"/>
    <col min="3627" max="3627" width="22.453125" style="76" customWidth="1"/>
    <col min="3628" max="3628" width="23.90625" style="76" customWidth="1"/>
    <col min="3629" max="3629" width="20.90625" style="76" customWidth="1"/>
    <col min="3630" max="3630" width="9.453125" style="76" customWidth="1"/>
    <col min="3631" max="3631" width="27.08984375" style="76" customWidth="1"/>
    <col min="3632" max="3632" width="16.1796875" style="76" customWidth="1"/>
    <col min="3633" max="3841" width="7.90625" style="76"/>
    <col min="3842" max="3842" width="2.6328125" style="76" customWidth="1"/>
    <col min="3843" max="3843" width="5.90625" style="76" customWidth="1"/>
    <col min="3844" max="3844" width="5.6328125" style="76" customWidth="1"/>
    <col min="3845" max="3848" width="2.6328125" style="76" customWidth="1"/>
    <col min="3849" max="3849" width="8.54296875" style="76" customWidth="1"/>
    <col min="3850" max="3850" width="2.6328125" style="76" customWidth="1"/>
    <col min="3851" max="3851" width="31.453125" style="76" customWidth="1"/>
    <col min="3852" max="3854" width="0" style="76" hidden="1" customWidth="1"/>
    <col min="3855" max="3855" width="24.36328125" style="76" customWidth="1"/>
    <col min="3856" max="3856" width="17.7265625" style="76" customWidth="1"/>
    <col min="3857" max="3857" width="19.81640625" style="76" customWidth="1"/>
    <col min="3858" max="3858" width="20.90625" style="76" customWidth="1"/>
    <col min="3859" max="3859" width="16.1796875" style="76" customWidth="1"/>
    <col min="3860" max="3860" width="16.81640625" style="76" customWidth="1"/>
    <col min="3861" max="3861" width="15.81640625" style="76" customWidth="1"/>
    <col min="3862" max="3862" width="18.453125" style="76" customWidth="1"/>
    <col min="3863" max="3863" width="19.90625" style="76" customWidth="1"/>
    <col min="3864" max="3864" width="23.453125" style="76" customWidth="1"/>
    <col min="3865" max="3865" width="19.90625" style="76" customWidth="1"/>
    <col min="3866" max="3866" width="17.1796875" style="76" customWidth="1"/>
    <col min="3867" max="3868" width="24.90625" style="76" customWidth="1"/>
    <col min="3869" max="3869" width="21.7265625" style="76" customWidth="1"/>
    <col min="3870" max="3870" width="0" style="76" hidden="1" customWidth="1"/>
    <col min="3871" max="3871" width="24.26953125" style="76" customWidth="1"/>
    <col min="3872" max="3872" width="21.26953125" style="76" customWidth="1"/>
    <col min="3873" max="3873" width="23.90625" style="76" customWidth="1"/>
    <col min="3874" max="3874" width="21.6328125" style="76" customWidth="1"/>
    <col min="3875" max="3875" width="15.453125" style="76" customWidth="1"/>
    <col min="3876" max="3879" width="0" style="76" hidden="1" customWidth="1"/>
    <col min="3880" max="3880" width="2.08984375" style="76" customWidth="1"/>
    <col min="3881" max="3881" width="18.453125" style="76" customWidth="1"/>
    <col min="3882" max="3882" width="20.453125" style="76" customWidth="1"/>
    <col min="3883" max="3883" width="22.453125" style="76" customWidth="1"/>
    <col min="3884" max="3884" width="23.90625" style="76" customWidth="1"/>
    <col min="3885" max="3885" width="20.90625" style="76" customWidth="1"/>
    <col min="3886" max="3886" width="9.453125" style="76" customWidth="1"/>
    <col min="3887" max="3887" width="27.08984375" style="76" customWidth="1"/>
    <col min="3888" max="3888" width="16.1796875" style="76" customWidth="1"/>
    <col min="3889" max="4097" width="7.90625" style="76"/>
    <col min="4098" max="4098" width="2.6328125" style="76" customWidth="1"/>
    <col min="4099" max="4099" width="5.90625" style="76" customWidth="1"/>
    <col min="4100" max="4100" width="5.6328125" style="76" customWidth="1"/>
    <col min="4101" max="4104" width="2.6328125" style="76" customWidth="1"/>
    <col min="4105" max="4105" width="8.54296875" style="76" customWidth="1"/>
    <col min="4106" max="4106" width="2.6328125" style="76" customWidth="1"/>
    <col min="4107" max="4107" width="31.453125" style="76" customWidth="1"/>
    <col min="4108" max="4110" width="0" style="76" hidden="1" customWidth="1"/>
    <col min="4111" max="4111" width="24.36328125" style="76" customWidth="1"/>
    <col min="4112" max="4112" width="17.7265625" style="76" customWidth="1"/>
    <col min="4113" max="4113" width="19.81640625" style="76" customWidth="1"/>
    <col min="4114" max="4114" width="20.90625" style="76" customWidth="1"/>
    <col min="4115" max="4115" width="16.1796875" style="76" customWidth="1"/>
    <col min="4116" max="4116" width="16.81640625" style="76" customWidth="1"/>
    <col min="4117" max="4117" width="15.81640625" style="76" customWidth="1"/>
    <col min="4118" max="4118" width="18.453125" style="76" customWidth="1"/>
    <col min="4119" max="4119" width="19.90625" style="76" customWidth="1"/>
    <col min="4120" max="4120" width="23.453125" style="76" customWidth="1"/>
    <col min="4121" max="4121" width="19.90625" style="76" customWidth="1"/>
    <col min="4122" max="4122" width="17.1796875" style="76" customWidth="1"/>
    <col min="4123" max="4124" width="24.90625" style="76" customWidth="1"/>
    <col min="4125" max="4125" width="21.7265625" style="76" customWidth="1"/>
    <col min="4126" max="4126" width="0" style="76" hidden="1" customWidth="1"/>
    <col min="4127" max="4127" width="24.26953125" style="76" customWidth="1"/>
    <col min="4128" max="4128" width="21.26953125" style="76" customWidth="1"/>
    <col min="4129" max="4129" width="23.90625" style="76" customWidth="1"/>
    <col min="4130" max="4130" width="21.6328125" style="76" customWidth="1"/>
    <col min="4131" max="4131" width="15.453125" style="76" customWidth="1"/>
    <col min="4132" max="4135" width="0" style="76" hidden="1" customWidth="1"/>
    <col min="4136" max="4136" width="2.08984375" style="76" customWidth="1"/>
    <col min="4137" max="4137" width="18.453125" style="76" customWidth="1"/>
    <col min="4138" max="4138" width="20.453125" style="76" customWidth="1"/>
    <col min="4139" max="4139" width="22.453125" style="76" customWidth="1"/>
    <col min="4140" max="4140" width="23.90625" style="76" customWidth="1"/>
    <col min="4141" max="4141" width="20.90625" style="76" customWidth="1"/>
    <col min="4142" max="4142" width="9.453125" style="76" customWidth="1"/>
    <col min="4143" max="4143" width="27.08984375" style="76" customWidth="1"/>
    <col min="4144" max="4144" width="16.1796875" style="76" customWidth="1"/>
    <col min="4145" max="4353" width="7.90625" style="76"/>
    <col min="4354" max="4354" width="2.6328125" style="76" customWidth="1"/>
    <col min="4355" max="4355" width="5.90625" style="76" customWidth="1"/>
    <col min="4356" max="4356" width="5.6328125" style="76" customWidth="1"/>
    <col min="4357" max="4360" width="2.6328125" style="76" customWidth="1"/>
    <col min="4361" max="4361" width="8.54296875" style="76" customWidth="1"/>
    <col min="4362" max="4362" width="2.6328125" style="76" customWidth="1"/>
    <col min="4363" max="4363" width="31.453125" style="76" customWidth="1"/>
    <col min="4364" max="4366" width="0" style="76" hidden="1" customWidth="1"/>
    <col min="4367" max="4367" width="24.36328125" style="76" customWidth="1"/>
    <col min="4368" max="4368" width="17.7265625" style="76" customWidth="1"/>
    <col min="4369" max="4369" width="19.81640625" style="76" customWidth="1"/>
    <col min="4370" max="4370" width="20.90625" style="76" customWidth="1"/>
    <col min="4371" max="4371" width="16.1796875" style="76" customWidth="1"/>
    <col min="4372" max="4372" width="16.81640625" style="76" customWidth="1"/>
    <col min="4373" max="4373" width="15.81640625" style="76" customWidth="1"/>
    <col min="4374" max="4374" width="18.453125" style="76" customWidth="1"/>
    <col min="4375" max="4375" width="19.90625" style="76" customWidth="1"/>
    <col min="4376" max="4376" width="23.453125" style="76" customWidth="1"/>
    <col min="4377" max="4377" width="19.90625" style="76" customWidth="1"/>
    <col min="4378" max="4378" width="17.1796875" style="76" customWidth="1"/>
    <col min="4379" max="4380" width="24.90625" style="76" customWidth="1"/>
    <col min="4381" max="4381" width="21.7265625" style="76" customWidth="1"/>
    <col min="4382" max="4382" width="0" style="76" hidden="1" customWidth="1"/>
    <col min="4383" max="4383" width="24.26953125" style="76" customWidth="1"/>
    <col min="4384" max="4384" width="21.26953125" style="76" customWidth="1"/>
    <col min="4385" max="4385" width="23.90625" style="76" customWidth="1"/>
    <col min="4386" max="4386" width="21.6328125" style="76" customWidth="1"/>
    <col min="4387" max="4387" width="15.453125" style="76" customWidth="1"/>
    <col min="4388" max="4391" width="0" style="76" hidden="1" customWidth="1"/>
    <col min="4392" max="4392" width="2.08984375" style="76" customWidth="1"/>
    <col min="4393" max="4393" width="18.453125" style="76" customWidth="1"/>
    <col min="4394" max="4394" width="20.453125" style="76" customWidth="1"/>
    <col min="4395" max="4395" width="22.453125" style="76" customWidth="1"/>
    <col min="4396" max="4396" width="23.90625" style="76" customWidth="1"/>
    <col min="4397" max="4397" width="20.90625" style="76" customWidth="1"/>
    <col min="4398" max="4398" width="9.453125" style="76" customWidth="1"/>
    <col min="4399" max="4399" width="27.08984375" style="76" customWidth="1"/>
    <col min="4400" max="4400" width="16.1796875" style="76" customWidth="1"/>
    <col min="4401" max="4609" width="7.90625" style="76"/>
    <col min="4610" max="4610" width="2.6328125" style="76" customWidth="1"/>
    <col min="4611" max="4611" width="5.90625" style="76" customWidth="1"/>
    <col min="4612" max="4612" width="5.6328125" style="76" customWidth="1"/>
    <col min="4613" max="4616" width="2.6328125" style="76" customWidth="1"/>
    <col min="4617" max="4617" width="8.54296875" style="76" customWidth="1"/>
    <col min="4618" max="4618" width="2.6328125" style="76" customWidth="1"/>
    <col min="4619" max="4619" width="31.453125" style="76" customWidth="1"/>
    <col min="4620" max="4622" width="0" style="76" hidden="1" customWidth="1"/>
    <col min="4623" max="4623" width="24.36328125" style="76" customWidth="1"/>
    <col min="4624" max="4624" width="17.7265625" style="76" customWidth="1"/>
    <col min="4625" max="4625" width="19.81640625" style="76" customWidth="1"/>
    <col min="4626" max="4626" width="20.90625" style="76" customWidth="1"/>
    <col min="4627" max="4627" width="16.1796875" style="76" customWidth="1"/>
    <col min="4628" max="4628" width="16.81640625" style="76" customWidth="1"/>
    <col min="4629" max="4629" width="15.81640625" style="76" customWidth="1"/>
    <col min="4630" max="4630" width="18.453125" style="76" customWidth="1"/>
    <col min="4631" max="4631" width="19.90625" style="76" customWidth="1"/>
    <col min="4632" max="4632" width="23.453125" style="76" customWidth="1"/>
    <col min="4633" max="4633" width="19.90625" style="76" customWidth="1"/>
    <col min="4634" max="4634" width="17.1796875" style="76" customWidth="1"/>
    <col min="4635" max="4636" width="24.90625" style="76" customWidth="1"/>
    <col min="4637" max="4637" width="21.7265625" style="76" customWidth="1"/>
    <col min="4638" max="4638" width="0" style="76" hidden="1" customWidth="1"/>
    <col min="4639" max="4639" width="24.26953125" style="76" customWidth="1"/>
    <col min="4640" max="4640" width="21.26953125" style="76" customWidth="1"/>
    <col min="4641" max="4641" width="23.90625" style="76" customWidth="1"/>
    <col min="4642" max="4642" width="21.6328125" style="76" customWidth="1"/>
    <col min="4643" max="4643" width="15.453125" style="76" customWidth="1"/>
    <col min="4644" max="4647" width="0" style="76" hidden="1" customWidth="1"/>
    <col min="4648" max="4648" width="2.08984375" style="76" customWidth="1"/>
    <col min="4649" max="4649" width="18.453125" style="76" customWidth="1"/>
    <col min="4650" max="4650" width="20.453125" style="76" customWidth="1"/>
    <col min="4651" max="4651" width="22.453125" style="76" customWidth="1"/>
    <col min="4652" max="4652" width="23.90625" style="76" customWidth="1"/>
    <col min="4653" max="4653" width="20.90625" style="76" customWidth="1"/>
    <col min="4654" max="4654" width="9.453125" style="76" customWidth="1"/>
    <col min="4655" max="4655" width="27.08984375" style="76" customWidth="1"/>
    <col min="4656" max="4656" width="16.1796875" style="76" customWidth="1"/>
    <col min="4657" max="4865" width="7.90625" style="76"/>
    <col min="4866" max="4866" width="2.6328125" style="76" customWidth="1"/>
    <col min="4867" max="4867" width="5.90625" style="76" customWidth="1"/>
    <col min="4868" max="4868" width="5.6328125" style="76" customWidth="1"/>
    <col min="4869" max="4872" width="2.6328125" style="76" customWidth="1"/>
    <col min="4873" max="4873" width="8.54296875" style="76" customWidth="1"/>
    <col min="4874" max="4874" width="2.6328125" style="76" customWidth="1"/>
    <col min="4875" max="4875" width="31.453125" style="76" customWidth="1"/>
    <col min="4876" max="4878" width="0" style="76" hidden="1" customWidth="1"/>
    <col min="4879" max="4879" width="24.36328125" style="76" customWidth="1"/>
    <col min="4880" max="4880" width="17.7265625" style="76" customWidth="1"/>
    <col min="4881" max="4881" width="19.81640625" style="76" customWidth="1"/>
    <col min="4882" max="4882" width="20.90625" style="76" customWidth="1"/>
    <col min="4883" max="4883" width="16.1796875" style="76" customWidth="1"/>
    <col min="4884" max="4884" width="16.81640625" style="76" customWidth="1"/>
    <col min="4885" max="4885" width="15.81640625" style="76" customWidth="1"/>
    <col min="4886" max="4886" width="18.453125" style="76" customWidth="1"/>
    <col min="4887" max="4887" width="19.90625" style="76" customWidth="1"/>
    <col min="4888" max="4888" width="23.453125" style="76" customWidth="1"/>
    <col min="4889" max="4889" width="19.90625" style="76" customWidth="1"/>
    <col min="4890" max="4890" width="17.1796875" style="76" customWidth="1"/>
    <col min="4891" max="4892" width="24.90625" style="76" customWidth="1"/>
    <col min="4893" max="4893" width="21.7265625" style="76" customWidth="1"/>
    <col min="4894" max="4894" width="0" style="76" hidden="1" customWidth="1"/>
    <col min="4895" max="4895" width="24.26953125" style="76" customWidth="1"/>
    <col min="4896" max="4896" width="21.26953125" style="76" customWidth="1"/>
    <col min="4897" max="4897" width="23.90625" style="76" customWidth="1"/>
    <col min="4898" max="4898" width="21.6328125" style="76" customWidth="1"/>
    <col min="4899" max="4899" width="15.453125" style="76" customWidth="1"/>
    <col min="4900" max="4903" width="0" style="76" hidden="1" customWidth="1"/>
    <col min="4904" max="4904" width="2.08984375" style="76" customWidth="1"/>
    <col min="4905" max="4905" width="18.453125" style="76" customWidth="1"/>
    <col min="4906" max="4906" width="20.453125" style="76" customWidth="1"/>
    <col min="4907" max="4907" width="22.453125" style="76" customWidth="1"/>
    <col min="4908" max="4908" width="23.90625" style="76" customWidth="1"/>
    <col min="4909" max="4909" width="20.90625" style="76" customWidth="1"/>
    <col min="4910" max="4910" width="9.453125" style="76" customWidth="1"/>
    <col min="4911" max="4911" width="27.08984375" style="76" customWidth="1"/>
    <col min="4912" max="4912" width="16.1796875" style="76" customWidth="1"/>
    <col min="4913" max="5121" width="7.90625" style="76"/>
    <col min="5122" max="5122" width="2.6328125" style="76" customWidth="1"/>
    <col min="5123" max="5123" width="5.90625" style="76" customWidth="1"/>
    <col min="5124" max="5124" width="5.6328125" style="76" customWidth="1"/>
    <col min="5125" max="5128" width="2.6328125" style="76" customWidth="1"/>
    <col min="5129" max="5129" width="8.54296875" style="76" customWidth="1"/>
    <col min="5130" max="5130" width="2.6328125" style="76" customWidth="1"/>
    <col min="5131" max="5131" width="31.453125" style="76" customWidth="1"/>
    <col min="5132" max="5134" width="0" style="76" hidden="1" customWidth="1"/>
    <col min="5135" max="5135" width="24.36328125" style="76" customWidth="1"/>
    <col min="5136" max="5136" width="17.7265625" style="76" customWidth="1"/>
    <col min="5137" max="5137" width="19.81640625" style="76" customWidth="1"/>
    <col min="5138" max="5138" width="20.90625" style="76" customWidth="1"/>
    <col min="5139" max="5139" width="16.1796875" style="76" customWidth="1"/>
    <col min="5140" max="5140" width="16.81640625" style="76" customWidth="1"/>
    <col min="5141" max="5141" width="15.81640625" style="76" customWidth="1"/>
    <col min="5142" max="5142" width="18.453125" style="76" customWidth="1"/>
    <col min="5143" max="5143" width="19.90625" style="76" customWidth="1"/>
    <col min="5144" max="5144" width="23.453125" style="76" customWidth="1"/>
    <col min="5145" max="5145" width="19.90625" style="76" customWidth="1"/>
    <col min="5146" max="5146" width="17.1796875" style="76" customWidth="1"/>
    <col min="5147" max="5148" width="24.90625" style="76" customWidth="1"/>
    <col min="5149" max="5149" width="21.7265625" style="76" customWidth="1"/>
    <col min="5150" max="5150" width="0" style="76" hidden="1" customWidth="1"/>
    <col min="5151" max="5151" width="24.26953125" style="76" customWidth="1"/>
    <col min="5152" max="5152" width="21.26953125" style="76" customWidth="1"/>
    <col min="5153" max="5153" width="23.90625" style="76" customWidth="1"/>
    <col min="5154" max="5154" width="21.6328125" style="76" customWidth="1"/>
    <col min="5155" max="5155" width="15.453125" style="76" customWidth="1"/>
    <col min="5156" max="5159" width="0" style="76" hidden="1" customWidth="1"/>
    <col min="5160" max="5160" width="2.08984375" style="76" customWidth="1"/>
    <col min="5161" max="5161" width="18.453125" style="76" customWidth="1"/>
    <col min="5162" max="5162" width="20.453125" style="76" customWidth="1"/>
    <col min="5163" max="5163" width="22.453125" style="76" customWidth="1"/>
    <col min="5164" max="5164" width="23.90625" style="76" customWidth="1"/>
    <col min="5165" max="5165" width="20.90625" style="76" customWidth="1"/>
    <col min="5166" max="5166" width="9.453125" style="76" customWidth="1"/>
    <col min="5167" max="5167" width="27.08984375" style="76" customWidth="1"/>
    <col min="5168" max="5168" width="16.1796875" style="76" customWidth="1"/>
    <col min="5169" max="5377" width="7.90625" style="76"/>
    <col min="5378" max="5378" width="2.6328125" style="76" customWidth="1"/>
    <col min="5379" max="5379" width="5.90625" style="76" customWidth="1"/>
    <col min="5380" max="5380" width="5.6328125" style="76" customWidth="1"/>
    <col min="5381" max="5384" width="2.6328125" style="76" customWidth="1"/>
    <col min="5385" max="5385" width="8.54296875" style="76" customWidth="1"/>
    <col min="5386" max="5386" width="2.6328125" style="76" customWidth="1"/>
    <col min="5387" max="5387" width="31.453125" style="76" customWidth="1"/>
    <col min="5388" max="5390" width="0" style="76" hidden="1" customWidth="1"/>
    <col min="5391" max="5391" width="24.36328125" style="76" customWidth="1"/>
    <col min="5392" max="5392" width="17.7265625" style="76" customWidth="1"/>
    <col min="5393" max="5393" width="19.81640625" style="76" customWidth="1"/>
    <col min="5394" max="5394" width="20.90625" style="76" customWidth="1"/>
    <col min="5395" max="5395" width="16.1796875" style="76" customWidth="1"/>
    <col min="5396" max="5396" width="16.81640625" style="76" customWidth="1"/>
    <col min="5397" max="5397" width="15.81640625" style="76" customWidth="1"/>
    <col min="5398" max="5398" width="18.453125" style="76" customWidth="1"/>
    <col min="5399" max="5399" width="19.90625" style="76" customWidth="1"/>
    <col min="5400" max="5400" width="23.453125" style="76" customWidth="1"/>
    <col min="5401" max="5401" width="19.90625" style="76" customWidth="1"/>
    <col min="5402" max="5402" width="17.1796875" style="76" customWidth="1"/>
    <col min="5403" max="5404" width="24.90625" style="76" customWidth="1"/>
    <col min="5405" max="5405" width="21.7265625" style="76" customWidth="1"/>
    <col min="5406" max="5406" width="0" style="76" hidden="1" customWidth="1"/>
    <col min="5407" max="5407" width="24.26953125" style="76" customWidth="1"/>
    <col min="5408" max="5408" width="21.26953125" style="76" customWidth="1"/>
    <col min="5409" max="5409" width="23.90625" style="76" customWidth="1"/>
    <col min="5410" max="5410" width="21.6328125" style="76" customWidth="1"/>
    <col min="5411" max="5411" width="15.453125" style="76" customWidth="1"/>
    <col min="5412" max="5415" width="0" style="76" hidden="1" customWidth="1"/>
    <col min="5416" max="5416" width="2.08984375" style="76" customWidth="1"/>
    <col min="5417" max="5417" width="18.453125" style="76" customWidth="1"/>
    <col min="5418" max="5418" width="20.453125" style="76" customWidth="1"/>
    <col min="5419" max="5419" width="22.453125" style="76" customWidth="1"/>
    <col min="5420" max="5420" width="23.90625" style="76" customWidth="1"/>
    <col min="5421" max="5421" width="20.90625" style="76" customWidth="1"/>
    <col min="5422" max="5422" width="9.453125" style="76" customWidth="1"/>
    <col min="5423" max="5423" width="27.08984375" style="76" customWidth="1"/>
    <col min="5424" max="5424" width="16.1796875" style="76" customWidth="1"/>
    <col min="5425" max="5633" width="7.90625" style="76"/>
    <col min="5634" max="5634" width="2.6328125" style="76" customWidth="1"/>
    <col min="5635" max="5635" width="5.90625" style="76" customWidth="1"/>
    <col min="5636" max="5636" width="5.6328125" style="76" customWidth="1"/>
    <col min="5637" max="5640" width="2.6328125" style="76" customWidth="1"/>
    <col min="5641" max="5641" width="8.54296875" style="76" customWidth="1"/>
    <col min="5642" max="5642" width="2.6328125" style="76" customWidth="1"/>
    <col min="5643" max="5643" width="31.453125" style="76" customWidth="1"/>
    <col min="5644" max="5646" width="0" style="76" hidden="1" customWidth="1"/>
    <col min="5647" max="5647" width="24.36328125" style="76" customWidth="1"/>
    <col min="5648" max="5648" width="17.7265625" style="76" customWidth="1"/>
    <col min="5649" max="5649" width="19.81640625" style="76" customWidth="1"/>
    <col min="5650" max="5650" width="20.90625" style="76" customWidth="1"/>
    <col min="5651" max="5651" width="16.1796875" style="76" customWidth="1"/>
    <col min="5652" max="5652" width="16.81640625" style="76" customWidth="1"/>
    <col min="5653" max="5653" width="15.81640625" style="76" customWidth="1"/>
    <col min="5654" max="5654" width="18.453125" style="76" customWidth="1"/>
    <col min="5655" max="5655" width="19.90625" style="76" customWidth="1"/>
    <col min="5656" max="5656" width="23.453125" style="76" customWidth="1"/>
    <col min="5657" max="5657" width="19.90625" style="76" customWidth="1"/>
    <col min="5658" max="5658" width="17.1796875" style="76" customWidth="1"/>
    <col min="5659" max="5660" width="24.90625" style="76" customWidth="1"/>
    <col min="5661" max="5661" width="21.7265625" style="76" customWidth="1"/>
    <col min="5662" max="5662" width="0" style="76" hidden="1" customWidth="1"/>
    <col min="5663" max="5663" width="24.26953125" style="76" customWidth="1"/>
    <col min="5664" max="5664" width="21.26953125" style="76" customWidth="1"/>
    <col min="5665" max="5665" width="23.90625" style="76" customWidth="1"/>
    <col min="5666" max="5666" width="21.6328125" style="76" customWidth="1"/>
    <col min="5667" max="5667" width="15.453125" style="76" customWidth="1"/>
    <col min="5668" max="5671" width="0" style="76" hidden="1" customWidth="1"/>
    <col min="5672" max="5672" width="2.08984375" style="76" customWidth="1"/>
    <col min="5673" max="5673" width="18.453125" style="76" customWidth="1"/>
    <col min="5674" max="5674" width="20.453125" style="76" customWidth="1"/>
    <col min="5675" max="5675" width="22.453125" style="76" customWidth="1"/>
    <col min="5676" max="5676" width="23.90625" style="76" customWidth="1"/>
    <col min="5677" max="5677" width="20.90625" style="76" customWidth="1"/>
    <col min="5678" max="5678" width="9.453125" style="76" customWidth="1"/>
    <col min="5679" max="5679" width="27.08984375" style="76" customWidth="1"/>
    <col min="5680" max="5680" width="16.1796875" style="76" customWidth="1"/>
    <col min="5681" max="5889" width="7.90625" style="76"/>
    <col min="5890" max="5890" width="2.6328125" style="76" customWidth="1"/>
    <col min="5891" max="5891" width="5.90625" style="76" customWidth="1"/>
    <col min="5892" max="5892" width="5.6328125" style="76" customWidth="1"/>
    <col min="5893" max="5896" width="2.6328125" style="76" customWidth="1"/>
    <col min="5897" max="5897" width="8.54296875" style="76" customWidth="1"/>
    <col min="5898" max="5898" width="2.6328125" style="76" customWidth="1"/>
    <col min="5899" max="5899" width="31.453125" style="76" customWidth="1"/>
    <col min="5900" max="5902" width="0" style="76" hidden="1" customWidth="1"/>
    <col min="5903" max="5903" width="24.36328125" style="76" customWidth="1"/>
    <col min="5904" max="5904" width="17.7265625" style="76" customWidth="1"/>
    <col min="5905" max="5905" width="19.81640625" style="76" customWidth="1"/>
    <col min="5906" max="5906" width="20.90625" style="76" customWidth="1"/>
    <col min="5907" max="5907" width="16.1796875" style="76" customWidth="1"/>
    <col min="5908" max="5908" width="16.81640625" style="76" customWidth="1"/>
    <col min="5909" max="5909" width="15.81640625" style="76" customWidth="1"/>
    <col min="5910" max="5910" width="18.453125" style="76" customWidth="1"/>
    <col min="5911" max="5911" width="19.90625" style="76" customWidth="1"/>
    <col min="5912" max="5912" width="23.453125" style="76" customWidth="1"/>
    <col min="5913" max="5913" width="19.90625" style="76" customWidth="1"/>
    <col min="5914" max="5914" width="17.1796875" style="76" customWidth="1"/>
    <col min="5915" max="5916" width="24.90625" style="76" customWidth="1"/>
    <col min="5917" max="5917" width="21.7265625" style="76" customWidth="1"/>
    <col min="5918" max="5918" width="0" style="76" hidden="1" customWidth="1"/>
    <col min="5919" max="5919" width="24.26953125" style="76" customWidth="1"/>
    <col min="5920" max="5920" width="21.26953125" style="76" customWidth="1"/>
    <col min="5921" max="5921" width="23.90625" style="76" customWidth="1"/>
    <col min="5922" max="5922" width="21.6328125" style="76" customWidth="1"/>
    <col min="5923" max="5923" width="15.453125" style="76" customWidth="1"/>
    <col min="5924" max="5927" width="0" style="76" hidden="1" customWidth="1"/>
    <col min="5928" max="5928" width="2.08984375" style="76" customWidth="1"/>
    <col min="5929" max="5929" width="18.453125" style="76" customWidth="1"/>
    <col min="5930" max="5930" width="20.453125" style="76" customWidth="1"/>
    <col min="5931" max="5931" width="22.453125" style="76" customWidth="1"/>
    <col min="5932" max="5932" width="23.90625" style="76" customWidth="1"/>
    <col min="5933" max="5933" width="20.90625" style="76" customWidth="1"/>
    <col min="5934" max="5934" width="9.453125" style="76" customWidth="1"/>
    <col min="5935" max="5935" width="27.08984375" style="76" customWidth="1"/>
    <col min="5936" max="5936" width="16.1796875" style="76" customWidth="1"/>
    <col min="5937" max="6145" width="7.90625" style="76"/>
    <col min="6146" max="6146" width="2.6328125" style="76" customWidth="1"/>
    <col min="6147" max="6147" width="5.90625" style="76" customWidth="1"/>
    <col min="6148" max="6148" width="5.6328125" style="76" customWidth="1"/>
    <col min="6149" max="6152" width="2.6328125" style="76" customWidth="1"/>
    <col min="6153" max="6153" width="8.54296875" style="76" customWidth="1"/>
    <col min="6154" max="6154" width="2.6328125" style="76" customWidth="1"/>
    <col min="6155" max="6155" width="31.453125" style="76" customWidth="1"/>
    <col min="6156" max="6158" width="0" style="76" hidden="1" customWidth="1"/>
    <col min="6159" max="6159" width="24.36328125" style="76" customWidth="1"/>
    <col min="6160" max="6160" width="17.7265625" style="76" customWidth="1"/>
    <col min="6161" max="6161" width="19.81640625" style="76" customWidth="1"/>
    <col min="6162" max="6162" width="20.90625" style="76" customWidth="1"/>
    <col min="6163" max="6163" width="16.1796875" style="76" customWidth="1"/>
    <col min="6164" max="6164" width="16.81640625" style="76" customWidth="1"/>
    <col min="6165" max="6165" width="15.81640625" style="76" customWidth="1"/>
    <col min="6166" max="6166" width="18.453125" style="76" customWidth="1"/>
    <col min="6167" max="6167" width="19.90625" style="76" customWidth="1"/>
    <col min="6168" max="6168" width="23.453125" style="76" customWidth="1"/>
    <col min="6169" max="6169" width="19.90625" style="76" customWidth="1"/>
    <col min="6170" max="6170" width="17.1796875" style="76" customWidth="1"/>
    <col min="6171" max="6172" width="24.90625" style="76" customWidth="1"/>
    <col min="6173" max="6173" width="21.7265625" style="76" customWidth="1"/>
    <col min="6174" max="6174" width="0" style="76" hidden="1" customWidth="1"/>
    <col min="6175" max="6175" width="24.26953125" style="76" customWidth="1"/>
    <col min="6176" max="6176" width="21.26953125" style="76" customWidth="1"/>
    <col min="6177" max="6177" width="23.90625" style="76" customWidth="1"/>
    <col min="6178" max="6178" width="21.6328125" style="76" customWidth="1"/>
    <col min="6179" max="6179" width="15.453125" style="76" customWidth="1"/>
    <col min="6180" max="6183" width="0" style="76" hidden="1" customWidth="1"/>
    <col min="6184" max="6184" width="2.08984375" style="76" customWidth="1"/>
    <col min="6185" max="6185" width="18.453125" style="76" customWidth="1"/>
    <col min="6186" max="6186" width="20.453125" style="76" customWidth="1"/>
    <col min="6187" max="6187" width="22.453125" style="76" customWidth="1"/>
    <col min="6188" max="6188" width="23.90625" style="76" customWidth="1"/>
    <col min="6189" max="6189" width="20.90625" style="76" customWidth="1"/>
    <col min="6190" max="6190" width="9.453125" style="76" customWidth="1"/>
    <col min="6191" max="6191" width="27.08984375" style="76" customWidth="1"/>
    <col min="6192" max="6192" width="16.1796875" style="76" customWidth="1"/>
    <col min="6193" max="6401" width="7.90625" style="76"/>
    <col min="6402" max="6402" width="2.6328125" style="76" customWidth="1"/>
    <col min="6403" max="6403" width="5.90625" style="76" customWidth="1"/>
    <col min="6404" max="6404" width="5.6328125" style="76" customWidth="1"/>
    <col min="6405" max="6408" width="2.6328125" style="76" customWidth="1"/>
    <col min="6409" max="6409" width="8.54296875" style="76" customWidth="1"/>
    <col min="6410" max="6410" width="2.6328125" style="76" customWidth="1"/>
    <col min="6411" max="6411" width="31.453125" style="76" customWidth="1"/>
    <col min="6412" max="6414" width="0" style="76" hidden="1" customWidth="1"/>
    <col min="6415" max="6415" width="24.36328125" style="76" customWidth="1"/>
    <col min="6416" max="6416" width="17.7265625" style="76" customWidth="1"/>
    <col min="6417" max="6417" width="19.81640625" style="76" customWidth="1"/>
    <col min="6418" max="6418" width="20.90625" style="76" customWidth="1"/>
    <col min="6419" max="6419" width="16.1796875" style="76" customWidth="1"/>
    <col min="6420" max="6420" width="16.81640625" style="76" customWidth="1"/>
    <col min="6421" max="6421" width="15.81640625" style="76" customWidth="1"/>
    <col min="6422" max="6422" width="18.453125" style="76" customWidth="1"/>
    <col min="6423" max="6423" width="19.90625" style="76" customWidth="1"/>
    <col min="6424" max="6424" width="23.453125" style="76" customWidth="1"/>
    <col min="6425" max="6425" width="19.90625" style="76" customWidth="1"/>
    <col min="6426" max="6426" width="17.1796875" style="76" customWidth="1"/>
    <col min="6427" max="6428" width="24.90625" style="76" customWidth="1"/>
    <col min="6429" max="6429" width="21.7265625" style="76" customWidth="1"/>
    <col min="6430" max="6430" width="0" style="76" hidden="1" customWidth="1"/>
    <col min="6431" max="6431" width="24.26953125" style="76" customWidth="1"/>
    <col min="6432" max="6432" width="21.26953125" style="76" customWidth="1"/>
    <col min="6433" max="6433" width="23.90625" style="76" customWidth="1"/>
    <col min="6434" max="6434" width="21.6328125" style="76" customWidth="1"/>
    <col min="6435" max="6435" width="15.453125" style="76" customWidth="1"/>
    <col min="6436" max="6439" width="0" style="76" hidden="1" customWidth="1"/>
    <col min="6440" max="6440" width="2.08984375" style="76" customWidth="1"/>
    <col min="6441" max="6441" width="18.453125" style="76" customWidth="1"/>
    <col min="6442" max="6442" width="20.453125" style="76" customWidth="1"/>
    <col min="6443" max="6443" width="22.453125" style="76" customWidth="1"/>
    <col min="6444" max="6444" width="23.90625" style="76" customWidth="1"/>
    <col min="6445" max="6445" width="20.90625" style="76" customWidth="1"/>
    <col min="6446" max="6446" width="9.453125" style="76" customWidth="1"/>
    <col min="6447" max="6447" width="27.08984375" style="76" customWidth="1"/>
    <col min="6448" max="6448" width="16.1796875" style="76" customWidth="1"/>
    <col min="6449" max="6657" width="7.90625" style="76"/>
    <col min="6658" max="6658" width="2.6328125" style="76" customWidth="1"/>
    <col min="6659" max="6659" width="5.90625" style="76" customWidth="1"/>
    <col min="6660" max="6660" width="5.6328125" style="76" customWidth="1"/>
    <col min="6661" max="6664" width="2.6328125" style="76" customWidth="1"/>
    <col min="6665" max="6665" width="8.54296875" style="76" customWidth="1"/>
    <col min="6666" max="6666" width="2.6328125" style="76" customWidth="1"/>
    <col min="6667" max="6667" width="31.453125" style="76" customWidth="1"/>
    <col min="6668" max="6670" width="0" style="76" hidden="1" customWidth="1"/>
    <col min="6671" max="6671" width="24.36328125" style="76" customWidth="1"/>
    <col min="6672" max="6672" width="17.7265625" style="76" customWidth="1"/>
    <col min="6673" max="6673" width="19.81640625" style="76" customWidth="1"/>
    <col min="6674" max="6674" width="20.90625" style="76" customWidth="1"/>
    <col min="6675" max="6675" width="16.1796875" style="76" customWidth="1"/>
    <col min="6676" max="6676" width="16.81640625" style="76" customWidth="1"/>
    <col min="6677" max="6677" width="15.81640625" style="76" customWidth="1"/>
    <col min="6678" max="6678" width="18.453125" style="76" customWidth="1"/>
    <col min="6679" max="6679" width="19.90625" style="76" customWidth="1"/>
    <col min="6680" max="6680" width="23.453125" style="76" customWidth="1"/>
    <col min="6681" max="6681" width="19.90625" style="76" customWidth="1"/>
    <col min="6682" max="6682" width="17.1796875" style="76" customWidth="1"/>
    <col min="6683" max="6684" width="24.90625" style="76" customWidth="1"/>
    <col min="6685" max="6685" width="21.7265625" style="76" customWidth="1"/>
    <col min="6686" max="6686" width="0" style="76" hidden="1" customWidth="1"/>
    <col min="6687" max="6687" width="24.26953125" style="76" customWidth="1"/>
    <col min="6688" max="6688" width="21.26953125" style="76" customWidth="1"/>
    <col min="6689" max="6689" width="23.90625" style="76" customWidth="1"/>
    <col min="6690" max="6690" width="21.6328125" style="76" customWidth="1"/>
    <col min="6691" max="6691" width="15.453125" style="76" customWidth="1"/>
    <col min="6692" max="6695" width="0" style="76" hidden="1" customWidth="1"/>
    <col min="6696" max="6696" width="2.08984375" style="76" customWidth="1"/>
    <col min="6697" max="6697" width="18.453125" style="76" customWidth="1"/>
    <col min="6698" max="6698" width="20.453125" style="76" customWidth="1"/>
    <col min="6699" max="6699" width="22.453125" style="76" customWidth="1"/>
    <col min="6700" max="6700" width="23.90625" style="76" customWidth="1"/>
    <col min="6701" max="6701" width="20.90625" style="76" customWidth="1"/>
    <col min="6702" max="6702" width="9.453125" style="76" customWidth="1"/>
    <col min="6703" max="6703" width="27.08984375" style="76" customWidth="1"/>
    <col min="6704" max="6704" width="16.1796875" style="76" customWidth="1"/>
    <col min="6705" max="6913" width="7.90625" style="76"/>
    <col min="6914" max="6914" width="2.6328125" style="76" customWidth="1"/>
    <col min="6915" max="6915" width="5.90625" style="76" customWidth="1"/>
    <col min="6916" max="6916" width="5.6328125" style="76" customWidth="1"/>
    <col min="6917" max="6920" width="2.6328125" style="76" customWidth="1"/>
    <col min="6921" max="6921" width="8.54296875" style="76" customWidth="1"/>
    <col min="6922" max="6922" width="2.6328125" style="76" customWidth="1"/>
    <col min="6923" max="6923" width="31.453125" style="76" customWidth="1"/>
    <col min="6924" max="6926" width="0" style="76" hidden="1" customWidth="1"/>
    <col min="6927" max="6927" width="24.36328125" style="76" customWidth="1"/>
    <col min="6928" max="6928" width="17.7265625" style="76" customWidth="1"/>
    <col min="6929" max="6929" width="19.81640625" style="76" customWidth="1"/>
    <col min="6930" max="6930" width="20.90625" style="76" customWidth="1"/>
    <col min="6931" max="6931" width="16.1796875" style="76" customWidth="1"/>
    <col min="6932" max="6932" width="16.81640625" style="76" customWidth="1"/>
    <col min="6933" max="6933" width="15.81640625" style="76" customWidth="1"/>
    <col min="6934" max="6934" width="18.453125" style="76" customWidth="1"/>
    <col min="6935" max="6935" width="19.90625" style="76" customWidth="1"/>
    <col min="6936" max="6936" width="23.453125" style="76" customWidth="1"/>
    <col min="6937" max="6937" width="19.90625" style="76" customWidth="1"/>
    <col min="6938" max="6938" width="17.1796875" style="76" customWidth="1"/>
    <col min="6939" max="6940" width="24.90625" style="76" customWidth="1"/>
    <col min="6941" max="6941" width="21.7265625" style="76" customWidth="1"/>
    <col min="6942" max="6942" width="0" style="76" hidden="1" customWidth="1"/>
    <col min="6943" max="6943" width="24.26953125" style="76" customWidth="1"/>
    <col min="6944" max="6944" width="21.26953125" style="76" customWidth="1"/>
    <col min="6945" max="6945" width="23.90625" style="76" customWidth="1"/>
    <col min="6946" max="6946" width="21.6328125" style="76" customWidth="1"/>
    <col min="6947" max="6947" width="15.453125" style="76" customWidth="1"/>
    <col min="6948" max="6951" width="0" style="76" hidden="1" customWidth="1"/>
    <col min="6952" max="6952" width="2.08984375" style="76" customWidth="1"/>
    <col min="6953" max="6953" width="18.453125" style="76" customWidth="1"/>
    <col min="6954" max="6954" width="20.453125" style="76" customWidth="1"/>
    <col min="6955" max="6955" width="22.453125" style="76" customWidth="1"/>
    <col min="6956" max="6956" width="23.90625" style="76" customWidth="1"/>
    <col min="6957" max="6957" width="20.90625" style="76" customWidth="1"/>
    <col min="6958" max="6958" width="9.453125" style="76" customWidth="1"/>
    <col min="6959" max="6959" width="27.08984375" style="76" customWidth="1"/>
    <col min="6960" max="6960" width="16.1796875" style="76" customWidth="1"/>
    <col min="6961" max="7169" width="7.90625" style="76"/>
    <col min="7170" max="7170" width="2.6328125" style="76" customWidth="1"/>
    <col min="7171" max="7171" width="5.90625" style="76" customWidth="1"/>
    <col min="7172" max="7172" width="5.6328125" style="76" customWidth="1"/>
    <col min="7173" max="7176" width="2.6328125" style="76" customWidth="1"/>
    <col min="7177" max="7177" width="8.54296875" style="76" customWidth="1"/>
    <col min="7178" max="7178" width="2.6328125" style="76" customWidth="1"/>
    <col min="7179" max="7179" width="31.453125" style="76" customWidth="1"/>
    <col min="7180" max="7182" width="0" style="76" hidden="1" customWidth="1"/>
    <col min="7183" max="7183" width="24.36328125" style="76" customWidth="1"/>
    <col min="7184" max="7184" width="17.7265625" style="76" customWidth="1"/>
    <col min="7185" max="7185" width="19.81640625" style="76" customWidth="1"/>
    <col min="7186" max="7186" width="20.90625" style="76" customWidth="1"/>
    <col min="7187" max="7187" width="16.1796875" style="76" customWidth="1"/>
    <col min="7188" max="7188" width="16.81640625" style="76" customWidth="1"/>
    <col min="7189" max="7189" width="15.81640625" style="76" customWidth="1"/>
    <col min="7190" max="7190" width="18.453125" style="76" customWidth="1"/>
    <col min="7191" max="7191" width="19.90625" style="76" customWidth="1"/>
    <col min="7192" max="7192" width="23.453125" style="76" customWidth="1"/>
    <col min="7193" max="7193" width="19.90625" style="76" customWidth="1"/>
    <col min="7194" max="7194" width="17.1796875" style="76" customWidth="1"/>
    <col min="7195" max="7196" width="24.90625" style="76" customWidth="1"/>
    <col min="7197" max="7197" width="21.7265625" style="76" customWidth="1"/>
    <col min="7198" max="7198" width="0" style="76" hidden="1" customWidth="1"/>
    <col min="7199" max="7199" width="24.26953125" style="76" customWidth="1"/>
    <col min="7200" max="7200" width="21.26953125" style="76" customWidth="1"/>
    <col min="7201" max="7201" width="23.90625" style="76" customWidth="1"/>
    <col min="7202" max="7202" width="21.6328125" style="76" customWidth="1"/>
    <col min="7203" max="7203" width="15.453125" style="76" customWidth="1"/>
    <col min="7204" max="7207" width="0" style="76" hidden="1" customWidth="1"/>
    <col min="7208" max="7208" width="2.08984375" style="76" customWidth="1"/>
    <col min="7209" max="7209" width="18.453125" style="76" customWidth="1"/>
    <col min="7210" max="7210" width="20.453125" style="76" customWidth="1"/>
    <col min="7211" max="7211" width="22.453125" style="76" customWidth="1"/>
    <col min="7212" max="7212" width="23.90625" style="76" customWidth="1"/>
    <col min="7213" max="7213" width="20.90625" style="76" customWidth="1"/>
    <col min="7214" max="7214" width="9.453125" style="76" customWidth="1"/>
    <col min="7215" max="7215" width="27.08984375" style="76" customWidth="1"/>
    <col min="7216" max="7216" width="16.1796875" style="76" customWidth="1"/>
    <col min="7217" max="7425" width="7.90625" style="76"/>
    <col min="7426" max="7426" width="2.6328125" style="76" customWidth="1"/>
    <col min="7427" max="7427" width="5.90625" style="76" customWidth="1"/>
    <col min="7428" max="7428" width="5.6328125" style="76" customWidth="1"/>
    <col min="7429" max="7432" width="2.6328125" style="76" customWidth="1"/>
    <col min="7433" max="7433" width="8.54296875" style="76" customWidth="1"/>
    <col min="7434" max="7434" width="2.6328125" style="76" customWidth="1"/>
    <col min="7435" max="7435" width="31.453125" style="76" customWidth="1"/>
    <col min="7436" max="7438" width="0" style="76" hidden="1" customWidth="1"/>
    <col min="7439" max="7439" width="24.36328125" style="76" customWidth="1"/>
    <col min="7440" max="7440" width="17.7265625" style="76" customWidth="1"/>
    <col min="7441" max="7441" width="19.81640625" style="76" customWidth="1"/>
    <col min="7442" max="7442" width="20.90625" style="76" customWidth="1"/>
    <col min="7443" max="7443" width="16.1796875" style="76" customWidth="1"/>
    <col min="7444" max="7444" width="16.81640625" style="76" customWidth="1"/>
    <col min="7445" max="7445" width="15.81640625" style="76" customWidth="1"/>
    <col min="7446" max="7446" width="18.453125" style="76" customWidth="1"/>
    <col min="7447" max="7447" width="19.90625" style="76" customWidth="1"/>
    <col min="7448" max="7448" width="23.453125" style="76" customWidth="1"/>
    <col min="7449" max="7449" width="19.90625" style="76" customWidth="1"/>
    <col min="7450" max="7450" width="17.1796875" style="76" customWidth="1"/>
    <col min="7451" max="7452" width="24.90625" style="76" customWidth="1"/>
    <col min="7453" max="7453" width="21.7265625" style="76" customWidth="1"/>
    <col min="7454" max="7454" width="0" style="76" hidden="1" customWidth="1"/>
    <col min="7455" max="7455" width="24.26953125" style="76" customWidth="1"/>
    <col min="7456" max="7456" width="21.26953125" style="76" customWidth="1"/>
    <col min="7457" max="7457" width="23.90625" style="76" customWidth="1"/>
    <col min="7458" max="7458" width="21.6328125" style="76" customWidth="1"/>
    <col min="7459" max="7459" width="15.453125" style="76" customWidth="1"/>
    <col min="7460" max="7463" width="0" style="76" hidden="1" customWidth="1"/>
    <col min="7464" max="7464" width="2.08984375" style="76" customWidth="1"/>
    <col min="7465" max="7465" width="18.453125" style="76" customWidth="1"/>
    <col min="7466" max="7466" width="20.453125" style="76" customWidth="1"/>
    <col min="7467" max="7467" width="22.453125" style="76" customWidth="1"/>
    <col min="7468" max="7468" width="23.90625" style="76" customWidth="1"/>
    <col min="7469" max="7469" width="20.90625" style="76" customWidth="1"/>
    <col min="7470" max="7470" width="9.453125" style="76" customWidth="1"/>
    <col min="7471" max="7471" width="27.08984375" style="76" customWidth="1"/>
    <col min="7472" max="7472" width="16.1796875" style="76" customWidth="1"/>
    <col min="7473" max="7681" width="7.90625" style="76"/>
    <col min="7682" max="7682" width="2.6328125" style="76" customWidth="1"/>
    <col min="7683" max="7683" width="5.90625" style="76" customWidth="1"/>
    <col min="7684" max="7684" width="5.6328125" style="76" customWidth="1"/>
    <col min="7685" max="7688" width="2.6328125" style="76" customWidth="1"/>
    <col min="7689" max="7689" width="8.54296875" style="76" customWidth="1"/>
    <col min="7690" max="7690" width="2.6328125" style="76" customWidth="1"/>
    <col min="7691" max="7691" width="31.453125" style="76" customWidth="1"/>
    <col min="7692" max="7694" width="0" style="76" hidden="1" customWidth="1"/>
    <col min="7695" max="7695" width="24.36328125" style="76" customWidth="1"/>
    <col min="7696" max="7696" width="17.7265625" style="76" customWidth="1"/>
    <col min="7697" max="7697" width="19.81640625" style="76" customWidth="1"/>
    <col min="7698" max="7698" width="20.90625" style="76" customWidth="1"/>
    <col min="7699" max="7699" width="16.1796875" style="76" customWidth="1"/>
    <col min="7700" max="7700" width="16.81640625" style="76" customWidth="1"/>
    <col min="7701" max="7701" width="15.81640625" style="76" customWidth="1"/>
    <col min="7702" max="7702" width="18.453125" style="76" customWidth="1"/>
    <col min="7703" max="7703" width="19.90625" style="76" customWidth="1"/>
    <col min="7704" max="7704" width="23.453125" style="76" customWidth="1"/>
    <col min="7705" max="7705" width="19.90625" style="76" customWidth="1"/>
    <col min="7706" max="7706" width="17.1796875" style="76" customWidth="1"/>
    <col min="7707" max="7708" width="24.90625" style="76" customWidth="1"/>
    <col min="7709" max="7709" width="21.7265625" style="76" customWidth="1"/>
    <col min="7710" max="7710" width="0" style="76" hidden="1" customWidth="1"/>
    <col min="7711" max="7711" width="24.26953125" style="76" customWidth="1"/>
    <col min="7712" max="7712" width="21.26953125" style="76" customWidth="1"/>
    <col min="7713" max="7713" width="23.90625" style="76" customWidth="1"/>
    <col min="7714" max="7714" width="21.6328125" style="76" customWidth="1"/>
    <col min="7715" max="7715" width="15.453125" style="76" customWidth="1"/>
    <col min="7716" max="7719" width="0" style="76" hidden="1" customWidth="1"/>
    <col min="7720" max="7720" width="2.08984375" style="76" customWidth="1"/>
    <col min="7721" max="7721" width="18.453125" style="76" customWidth="1"/>
    <col min="7722" max="7722" width="20.453125" style="76" customWidth="1"/>
    <col min="7723" max="7723" width="22.453125" style="76" customWidth="1"/>
    <col min="7724" max="7724" width="23.90625" style="76" customWidth="1"/>
    <col min="7725" max="7725" width="20.90625" style="76" customWidth="1"/>
    <col min="7726" max="7726" width="9.453125" style="76" customWidth="1"/>
    <col min="7727" max="7727" width="27.08984375" style="76" customWidth="1"/>
    <col min="7728" max="7728" width="16.1796875" style="76" customWidth="1"/>
    <col min="7729" max="7937" width="7.90625" style="76"/>
    <col min="7938" max="7938" width="2.6328125" style="76" customWidth="1"/>
    <col min="7939" max="7939" width="5.90625" style="76" customWidth="1"/>
    <col min="7940" max="7940" width="5.6328125" style="76" customWidth="1"/>
    <col min="7941" max="7944" width="2.6328125" style="76" customWidth="1"/>
    <col min="7945" max="7945" width="8.54296875" style="76" customWidth="1"/>
    <col min="7946" max="7946" width="2.6328125" style="76" customWidth="1"/>
    <col min="7947" max="7947" width="31.453125" style="76" customWidth="1"/>
    <col min="7948" max="7950" width="0" style="76" hidden="1" customWidth="1"/>
    <col min="7951" max="7951" width="24.36328125" style="76" customWidth="1"/>
    <col min="7952" max="7952" width="17.7265625" style="76" customWidth="1"/>
    <col min="7953" max="7953" width="19.81640625" style="76" customWidth="1"/>
    <col min="7954" max="7954" width="20.90625" style="76" customWidth="1"/>
    <col min="7955" max="7955" width="16.1796875" style="76" customWidth="1"/>
    <col min="7956" max="7956" width="16.81640625" style="76" customWidth="1"/>
    <col min="7957" max="7957" width="15.81640625" style="76" customWidth="1"/>
    <col min="7958" max="7958" width="18.453125" style="76" customWidth="1"/>
    <col min="7959" max="7959" width="19.90625" style="76" customWidth="1"/>
    <col min="7960" max="7960" width="23.453125" style="76" customWidth="1"/>
    <col min="7961" max="7961" width="19.90625" style="76" customWidth="1"/>
    <col min="7962" max="7962" width="17.1796875" style="76" customWidth="1"/>
    <col min="7963" max="7964" width="24.90625" style="76" customWidth="1"/>
    <col min="7965" max="7965" width="21.7265625" style="76" customWidth="1"/>
    <col min="7966" max="7966" width="0" style="76" hidden="1" customWidth="1"/>
    <col min="7967" max="7967" width="24.26953125" style="76" customWidth="1"/>
    <col min="7968" max="7968" width="21.26953125" style="76" customWidth="1"/>
    <col min="7969" max="7969" width="23.90625" style="76" customWidth="1"/>
    <col min="7970" max="7970" width="21.6328125" style="76" customWidth="1"/>
    <col min="7971" max="7971" width="15.453125" style="76" customWidth="1"/>
    <col min="7972" max="7975" width="0" style="76" hidden="1" customWidth="1"/>
    <col min="7976" max="7976" width="2.08984375" style="76" customWidth="1"/>
    <col min="7977" max="7977" width="18.453125" style="76" customWidth="1"/>
    <col min="7978" max="7978" width="20.453125" style="76" customWidth="1"/>
    <col min="7979" max="7979" width="22.453125" style="76" customWidth="1"/>
    <col min="7980" max="7980" width="23.90625" style="76" customWidth="1"/>
    <col min="7981" max="7981" width="20.90625" style="76" customWidth="1"/>
    <col min="7982" max="7982" width="9.453125" style="76" customWidth="1"/>
    <col min="7983" max="7983" width="27.08984375" style="76" customWidth="1"/>
    <col min="7984" max="7984" width="16.1796875" style="76" customWidth="1"/>
    <col min="7985" max="8193" width="7.90625" style="76"/>
    <col min="8194" max="8194" width="2.6328125" style="76" customWidth="1"/>
    <col min="8195" max="8195" width="5.90625" style="76" customWidth="1"/>
    <col min="8196" max="8196" width="5.6328125" style="76" customWidth="1"/>
    <col min="8197" max="8200" width="2.6328125" style="76" customWidth="1"/>
    <col min="8201" max="8201" width="8.54296875" style="76" customWidth="1"/>
    <col min="8202" max="8202" width="2.6328125" style="76" customWidth="1"/>
    <col min="8203" max="8203" width="31.453125" style="76" customWidth="1"/>
    <col min="8204" max="8206" width="0" style="76" hidden="1" customWidth="1"/>
    <col min="8207" max="8207" width="24.36328125" style="76" customWidth="1"/>
    <col min="8208" max="8208" width="17.7265625" style="76" customWidth="1"/>
    <col min="8209" max="8209" width="19.81640625" style="76" customWidth="1"/>
    <col min="8210" max="8210" width="20.90625" style="76" customWidth="1"/>
    <col min="8211" max="8211" width="16.1796875" style="76" customWidth="1"/>
    <col min="8212" max="8212" width="16.81640625" style="76" customWidth="1"/>
    <col min="8213" max="8213" width="15.81640625" style="76" customWidth="1"/>
    <col min="8214" max="8214" width="18.453125" style="76" customWidth="1"/>
    <col min="8215" max="8215" width="19.90625" style="76" customWidth="1"/>
    <col min="8216" max="8216" width="23.453125" style="76" customWidth="1"/>
    <col min="8217" max="8217" width="19.90625" style="76" customWidth="1"/>
    <col min="8218" max="8218" width="17.1796875" style="76" customWidth="1"/>
    <col min="8219" max="8220" width="24.90625" style="76" customWidth="1"/>
    <col min="8221" max="8221" width="21.7265625" style="76" customWidth="1"/>
    <col min="8222" max="8222" width="0" style="76" hidden="1" customWidth="1"/>
    <col min="8223" max="8223" width="24.26953125" style="76" customWidth="1"/>
    <col min="8224" max="8224" width="21.26953125" style="76" customWidth="1"/>
    <col min="8225" max="8225" width="23.90625" style="76" customWidth="1"/>
    <col min="8226" max="8226" width="21.6328125" style="76" customWidth="1"/>
    <col min="8227" max="8227" width="15.453125" style="76" customWidth="1"/>
    <col min="8228" max="8231" width="0" style="76" hidden="1" customWidth="1"/>
    <col min="8232" max="8232" width="2.08984375" style="76" customWidth="1"/>
    <col min="8233" max="8233" width="18.453125" style="76" customWidth="1"/>
    <col min="8234" max="8234" width="20.453125" style="76" customWidth="1"/>
    <col min="8235" max="8235" width="22.453125" style="76" customWidth="1"/>
    <col min="8236" max="8236" width="23.90625" style="76" customWidth="1"/>
    <col min="8237" max="8237" width="20.90625" style="76" customWidth="1"/>
    <col min="8238" max="8238" width="9.453125" style="76" customWidth="1"/>
    <col min="8239" max="8239" width="27.08984375" style="76" customWidth="1"/>
    <col min="8240" max="8240" width="16.1796875" style="76" customWidth="1"/>
    <col min="8241" max="8449" width="7.90625" style="76"/>
    <col min="8450" max="8450" width="2.6328125" style="76" customWidth="1"/>
    <col min="8451" max="8451" width="5.90625" style="76" customWidth="1"/>
    <col min="8452" max="8452" width="5.6328125" style="76" customWidth="1"/>
    <col min="8453" max="8456" width="2.6328125" style="76" customWidth="1"/>
    <col min="8457" max="8457" width="8.54296875" style="76" customWidth="1"/>
    <col min="8458" max="8458" width="2.6328125" style="76" customWidth="1"/>
    <col min="8459" max="8459" width="31.453125" style="76" customWidth="1"/>
    <col min="8460" max="8462" width="0" style="76" hidden="1" customWidth="1"/>
    <col min="8463" max="8463" width="24.36328125" style="76" customWidth="1"/>
    <col min="8464" max="8464" width="17.7265625" style="76" customWidth="1"/>
    <col min="8465" max="8465" width="19.81640625" style="76" customWidth="1"/>
    <col min="8466" max="8466" width="20.90625" style="76" customWidth="1"/>
    <col min="8467" max="8467" width="16.1796875" style="76" customWidth="1"/>
    <col min="8468" max="8468" width="16.81640625" style="76" customWidth="1"/>
    <col min="8469" max="8469" width="15.81640625" style="76" customWidth="1"/>
    <col min="8470" max="8470" width="18.453125" style="76" customWidth="1"/>
    <col min="8471" max="8471" width="19.90625" style="76" customWidth="1"/>
    <col min="8472" max="8472" width="23.453125" style="76" customWidth="1"/>
    <col min="8473" max="8473" width="19.90625" style="76" customWidth="1"/>
    <col min="8474" max="8474" width="17.1796875" style="76" customWidth="1"/>
    <col min="8475" max="8476" width="24.90625" style="76" customWidth="1"/>
    <col min="8477" max="8477" width="21.7265625" style="76" customWidth="1"/>
    <col min="8478" max="8478" width="0" style="76" hidden="1" customWidth="1"/>
    <col min="8479" max="8479" width="24.26953125" style="76" customWidth="1"/>
    <col min="8480" max="8480" width="21.26953125" style="76" customWidth="1"/>
    <col min="8481" max="8481" width="23.90625" style="76" customWidth="1"/>
    <col min="8482" max="8482" width="21.6328125" style="76" customWidth="1"/>
    <col min="8483" max="8483" width="15.453125" style="76" customWidth="1"/>
    <col min="8484" max="8487" width="0" style="76" hidden="1" customWidth="1"/>
    <col min="8488" max="8488" width="2.08984375" style="76" customWidth="1"/>
    <col min="8489" max="8489" width="18.453125" style="76" customWidth="1"/>
    <col min="8490" max="8490" width="20.453125" style="76" customWidth="1"/>
    <col min="8491" max="8491" width="22.453125" style="76" customWidth="1"/>
    <col min="8492" max="8492" width="23.90625" style="76" customWidth="1"/>
    <col min="8493" max="8493" width="20.90625" style="76" customWidth="1"/>
    <col min="8494" max="8494" width="9.453125" style="76" customWidth="1"/>
    <col min="8495" max="8495" width="27.08984375" style="76" customWidth="1"/>
    <col min="8496" max="8496" width="16.1796875" style="76" customWidth="1"/>
    <col min="8497" max="8705" width="7.90625" style="76"/>
    <col min="8706" max="8706" width="2.6328125" style="76" customWidth="1"/>
    <col min="8707" max="8707" width="5.90625" style="76" customWidth="1"/>
    <col min="8708" max="8708" width="5.6328125" style="76" customWidth="1"/>
    <col min="8709" max="8712" width="2.6328125" style="76" customWidth="1"/>
    <col min="8713" max="8713" width="8.54296875" style="76" customWidth="1"/>
    <col min="8714" max="8714" width="2.6328125" style="76" customWidth="1"/>
    <col min="8715" max="8715" width="31.453125" style="76" customWidth="1"/>
    <col min="8716" max="8718" width="0" style="76" hidden="1" customWidth="1"/>
    <col min="8719" max="8719" width="24.36328125" style="76" customWidth="1"/>
    <col min="8720" max="8720" width="17.7265625" style="76" customWidth="1"/>
    <col min="8721" max="8721" width="19.81640625" style="76" customWidth="1"/>
    <col min="8722" max="8722" width="20.90625" style="76" customWidth="1"/>
    <col min="8723" max="8723" width="16.1796875" style="76" customWidth="1"/>
    <col min="8724" max="8724" width="16.81640625" style="76" customWidth="1"/>
    <col min="8725" max="8725" width="15.81640625" style="76" customWidth="1"/>
    <col min="8726" max="8726" width="18.453125" style="76" customWidth="1"/>
    <col min="8727" max="8727" width="19.90625" style="76" customWidth="1"/>
    <col min="8728" max="8728" width="23.453125" style="76" customWidth="1"/>
    <col min="8729" max="8729" width="19.90625" style="76" customWidth="1"/>
    <col min="8730" max="8730" width="17.1796875" style="76" customWidth="1"/>
    <col min="8731" max="8732" width="24.90625" style="76" customWidth="1"/>
    <col min="8733" max="8733" width="21.7265625" style="76" customWidth="1"/>
    <col min="8734" max="8734" width="0" style="76" hidden="1" customWidth="1"/>
    <col min="8735" max="8735" width="24.26953125" style="76" customWidth="1"/>
    <col min="8736" max="8736" width="21.26953125" style="76" customWidth="1"/>
    <col min="8737" max="8737" width="23.90625" style="76" customWidth="1"/>
    <col min="8738" max="8738" width="21.6328125" style="76" customWidth="1"/>
    <col min="8739" max="8739" width="15.453125" style="76" customWidth="1"/>
    <col min="8740" max="8743" width="0" style="76" hidden="1" customWidth="1"/>
    <col min="8744" max="8744" width="2.08984375" style="76" customWidth="1"/>
    <col min="8745" max="8745" width="18.453125" style="76" customWidth="1"/>
    <col min="8746" max="8746" width="20.453125" style="76" customWidth="1"/>
    <col min="8747" max="8747" width="22.453125" style="76" customWidth="1"/>
    <col min="8748" max="8748" width="23.90625" style="76" customWidth="1"/>
    <col min="8749" max="8749" width="20.90625" style="76" customWidth="1"/>
    <col min="8750" max="8750" width="9.453125" style="76" customWidth="1"/>
    <col min="8751" max="8751" width="27.08984375" style="76" customWidth="1"/>
    <col min="8752" max="8752" width="16.1796875" style="76" customWidth="1"/>
    <col min="8753" max="8961" width="7.90625" style="76"/>
    <col min="8962" max="8962" width="2.6328125" style="76" customWidth="1"/>
    <col min="8963" max="8963" width="5.90625" style="76" customWidth="1"/>
    <col min="8964" max="8964" width="5.6328125" style="76" customWidth="1"/>
    <col min="8965" max="8968" width="2.6328125" style="76" customWidth="1"/>
    <col min="8969" max="8969" width="8.54296875" style="76" customWidth="1"/>
    <col min="8970" max="8970" width="2.6328125" style="76" customWidth="1"/>
    <col min="8971" max="8971" width="31.453125" style="76" customWidth="1"/>
    <col min="8972" max="8974" width="0" style="76" hidden="1" customWidth="1"/>
    <col min="8975" max="8975" width="24.36328125" style="76" customWidth="1"/>
    <col min="8976" max="8976" width="17.7265625" style="76" customWidth="1"/>
    <col min="8977" max="8977" width="19.81640625" style="76" customWidth="1"/>
    <col min="8978" max="8978" width="20.90625" style="76" customWidth="1"/>
    <col min="8979" max="8979" width="16.1796875" style="76" customWidth="1"/>
    <col min="8980" max="8980" width="16.81640625" style="76" customWidth="1"/>
    <col min="8981" max="8981" width="15.81640625" style="76" customWidth="1"/>
    <col min="8982" max="8982" width="18.453125" style="76" customWidth="1"/>
    <col min="8983" max="8983" width="19.90625" style="76" customWidth="1"/>
    <col min="8984" max="8984" width="23.453125" style="76" customWidth="1"/>
    <col min="8985" max="8985" width="19.90625" style="76" customWidth="1"/>
    <col min="8986" max="8986" width="17.1796875" style="76" customWidth="1"/>
    <col min="8987" max="8988" width="24.90625" style="76" customWidth="1"/>
    <col min="8989" max="8989" width="21.7265625" style="76" customWidth="1"/>
    <col min="8990" max="8990" width="0" style="76" hidden="1" customWidth="1"/>
    <col min="8991" max="8991" width="24.26953125" style="76" customWidth="1"/>
    <col min="8992" max="8992" width="21.26953125" style="76" customWidth="1"/>
    <col min="8993" max="8993" width="23.90625" style="76" customWidth="1"/>
    <col min="8994" max="8994" width="21.6328125" style="76" customWidth="1"/>
    <col min="8995" max="8995" width="15.453125" style="76" customWidth="1"/>
    <col min="8996" max="8999" width="0" style="76" hidden="1" customWidth="1"/>
    <col min="9000" max="9000" width="2.08984375" style="76" customWidth="1"/>
    <col min="9001" max="9001" width="18.453125" style="76" customWidth="1"/>
    <col min="9002" max="9002" width="20.453125" style="76" customWidth="1"/>
    <col min="9003" max="9003" width="22.453125" style="76" customWidth="1"/>
    <col min="9004" max="9004" width="23.90625" style="76" customWidth="1"/>
    <col min="9005" max="9005" width="20.90625" style="76" customWidth="1"/>
    <col min="9006" max="9006" width="9.453125" style="76" customWidth="1"/>
    <col min="9007" max="9007" width="27.08984375" style="76" customWidth="1"/>
    <col min="9008" max="9008" width="16.1796875" style="76" customWidth="1"/>
    <col min="9009" max="9217" width="7.90625" style="76"/>
    <col min="9218" max="9218" width="2.6328125" style="76" customWidth="1"/>
    <col min="9219" max="9219" width="5.90625" style="76" customWidth="1"/>
    <col min="9220" max="9220" width="5.6328125" style="76" customWidth="1"/>
    <col min="9221" max="9224" width="2.6328125" style="76" customWidth="1"/>
    <col min="9225" max="9225" width="8.54296875" style="76" customWidth="1"/>
    <col min="9226" max="9226" width="2.6328125" style="76" customWidth="1"/>
    <col min="9227" max="9227" width="31.453125" style="76" customWidth="1"/>
    <col min="9228" max="9230" width="0" style="76" hidden="1" customWidth="1"/>
    <col min="9231" max="9231" width="24.36328125" style="76" customWidth="1"/>
    <col min="9232" max="9232" width="17.7265625" style="76" customWidth="1"/>
    <col min="9233" max="9233" width="19.81640625" style="76" customWidth="1"/>
    <col min="9234" max="9234" width="20.90625" style="76" customWidth="1"/>
    <col min="9235" max="9235" width="16.1796875" style="76" customWidth="1"/>
    <col min="9236" max="9236" width="16.81640625" style="76" customWidth="1"/>
    <col min="9237" max="9237" width="15.81640625" style="76" customWidth="1"/>
    <col min="9238" max="9238" width="18.453125" style="76" customWidth="1"/>
    <col min="9239" max="9239" width="19.90625" style="76" customWidth="1"/>
    <col min="9240" max="9240" width="23.453125" style="76" customWidth="1"/>
    <col min="9241" max="9241" width="19.90625" style="76" customWidth="1"/>
    <col min="9242" max="9242" width="17.1796875" style="76" customWidth="1"/>
    <col min="9243" max="9244" width="24.90625" style="76" customWidth="1"/>
    <col min="9245" max="9245" width="21.7265625" style="76" customWidth="1"/>
    <col min="9246" max="9246" width="0" style="76" hidden="1" customWidth="1"/>
    <col min="9247" max="9247" width="24.26953125" style="76" customWidth="1"/>
    <col min="9248" max="9248" width="21.26953125" style="76" customWidth="1"/>
    <col min="9249" max="9249" width="23.90625" style="76" customWidth="1"/>
    <col min="9250" max="9250" width="21.6328125" style="76" customWidth="1"/>
    <col min="9251" max="9251" width="15.453125" style="76" customWidth="1"/>
    <col min="9252" max="9255" width="0" style="76" hidden="1" customWidth="1"/>
    <col min="9256" max="9256" width="2.08984375" style="76" customWidth="1"/>
    <col min="9257" max="9257" width="18.453125" style="76" customWidth="1"/>
    <col min="9258" max="9258" width="20.453125" style="76" customWidth="1"/>
    <col min="9259" max="9259" width="22.453125" style="76" customWidth="1"/>
    <col min="9260" max="9260" width="23.90625" style="76" customWidth="1"/>
    <col min="9261" max="9261" width="20.90625" style="76" customWidth="1"/>
    <col min="9262" max="9262" width="9.453125" style="76" customWidth="1"/>
    <col min="9263" max="9263" width="27.08984375" style="76" customWidth="1"/>
    <col min="9264" max="9264" width="16.1796875" style="76" customWidth="1"/>
    <col min="9265" max="9473" width="7.90625" style="76"/>
    <col min="9474" max="9474" width="2.6328125" style="76" customWidth="1"/>
    <col min="9475" max="9475" width="5.90625" style="76" customWidth="1"/>
    <col min="9476" max="9476" width="5.6328125" style="76" customWidth="1"/>
    <col min="9477" max="9480" width="2.6328125" style="76" customWidth="1"/>
    <col min="9481" max="9481" width="8.54296875" style="76" customWidth="1"/>
    <col min="9482" max="9482" width="2.6328125" style="76" customWidth="1"/>
    <col min="9483" max="9483" width="31.453125" style="76" customWidth="1"/>
    <col min="9484" max="9486" width="0" style="76" hidden="1" customWidth="1"/>
    <col min="9487" max="9487" width="24.36328125" style="76" customWidth="1"/>
    <col min="9488" max="9488" width="17.7265625" style="76" customWidth="1"/>
    <col min="9489" max="9489" width="19.81640625" style="76" customWidth="1"/>
    <col min="9490" max="9490" width="20.90625" style="76" customWidth="1"/>
    <col min="9491" max="9491" width="16.1796875" style="76" customWidth="1"/>
    <col min="9492" max="9492" width="16.81640625" style="76" customWidth="1"/>
    <col min="9493" max="9493" width="15.81640625" style="76" customWidth="1"/>
    <col min="9494" max="9494" width="18.453125" style="76" customWidth="1"/>
    <col min="9495" max="9495" width="19.90625" style="76" customWidth="1"/>
    <col min="9496" max="9496" width="23.453125" style="76" customWidth="1"/>
    <col min="9497" max="9497" width="19.90625" style="76" customWidth="1"/>
    <col min="9498" max="9498" width="17.1796875" style="76" customWidth="1"/>
    <col min="9499" max="9500" width="24.90625" style="76" customWidth="1"/>
    <col min="9501" max="9501" width="21.7265625" style="76" customWidth="1"/>
    <col min="9502" max="9502" width="0" style="76" hidden="1" customWidth="1"/>
    <col min="9503" max="9503" width="24.26953125" style="76" customWidth="1"/>
    <col min="9504" max="9504" width="21.26953125" style="76" customWidth="1"/>
    <col min="9505" max="9505" width="23.90625" style="76" customWidth="1"/>
    <col min="9506" max="9506" width="21.6328125" style="76" customWidth="1"/>
    <col min="9507" max="9507" width="15.453125" style="76" customWidth="1"/>
    <col min="9508" max="9511" width="0" style="76" hidden="1" customWidth="1"/>
    <col min="9512" max="9512" width="2.08984375" style="76" customWidth="1"/>
    <col min="9513" max="9513" width="18.453125" style="76" customWidth="1"/>
    <col min="9514" max="9514" width="20.453125" style="76" customWidth="1"/>
    <col min="9515" max="9515" width="22.453125" style="76" customWidth="1"/>
    <col min="9516" max="9516" width="23.90625" style="76" customWidth="1"/>
    <col min="9517" max="9517" width="20.90625" style="76" customWidth="1"/>
    <col min="9518" max="9518" width="9.453125" style="76" customWidth="1"/>
    <col min="9519" max="9519" width="27.08984375" style="76" customWidth="1"/>
    <col min="9520" max="9520" width="16.1796875" style="76" customWidth="1"/>
    <col min="9521" max="9729" width="7.90625" style="76"/>
    <col min="9730" max="9730" width="2.6328125" style="76" customWidth="1"/>
    <col min="9731" max="9731" width="5.90625" style="76" customWidth="1"/>
    <col min="9732" max="9732" width="5.6328125" style="76" customWidth="1"/>
    <col min="9733" max="9736" width="2.6328125" style="76" customWidth="1"/>
    <col min="9737" max="9737" width="8.54296875" style="76" customWidth="1"/>
    <col min="9738" max="9738" width="2.6328125" style="76" customWidth="1"/>
    <col min="9739" max="9739" width="31.453125" style="76" customWidth="1"/>
    <col min="9740" max="9742" width="0" style="76" hidden="1" customWidth="1"/>
    <col min="9743" max="9743" width="24.36328125" style="76" customWidth="1"/>
    <col min="9744" max="9744" width="17.7265625" style="76" customWidth="1"/>
    <col min="9745" max="9745" width="19.81640625" style="76" customWidth="1"/>
    <col min="9746" max="9746" width="20.90625" style="76" customWidth="1"/>
    <col min="9747" max="9747" width="16.1796875" style="76" customWidth="1"/>
    <col min="9748" max="9748" width="16.81640625" style="76" customWidth="1"/>
    <col min="9749" max="9749" width="15.81640625" style="76" customWidth="1"/>
    <col min="9750" max="9750" width="18.453125" style="76" customWidth="1"/>
    <col min="9751" max="9751" width="19.90625" style="76" customWidth="1"/>
    <col min="9752" max="9752" width="23.453125" style="76" customWidth="1"/>
    <col min="9753" max="9753" width="19.90625" style="76" customWidth="1"/>
    <col min="9754" max="9754" width="17.1796875" style="76" customWidth="1"/>
    <col min="9755" max="9756" width="24.90625" style="76" customWidth="1"/>
    <col min="9757" max="9757" width="21.7265625" style="76" customWidth="1"/>
    <col min="9758" max="9758" width="0" style="76" hidden="1" customWidth="1"/>
    <col min="9759" max="9759" width="24.26953125" style="76" customWidth="1"/>
    <col min="9760" max="9760" width="21.26953125" style="76" customWidth="1"/>
    <col min="9761" max="9761" width="23.90625" style="76" customWidth="1"/>
    <col min="9762" max="9762" width="21.6328125" style="76" customWidth="1"/>
    <col min="9763" max="9763" width="15.453125" style="76" customWidth="1"/>
    <col min="9764" max="9767" width="0" style="76" hidden="1" customWidth="1"/>
    <col min="9768" max="9768" width="2.08984375" style="76" customWidth="1"/>
    <col min="9769" max="9769" width="18.453125" style="76" customWidth="1"/>
    <col min="9770" max="9770" width="20.453125" style="76" customWidth="1"/>
    <col min="9771" max="9771" width="22.453125" style="76" customWidth="1"/>
    <col min="9772" max="9772" width="23.90625" style="76" customWidth="1"/>
    <col min="9773" max="9773" width="20.90625" style="76" customWidth="1"/>
    <col min="9774" max="9774" width="9.453125" style="76" customWidth="1"/>
    <col min="9775" max="9775" width="27.08984375" style="76" customWidth="1"/>
    <col min="9776" max="9776" width="16.1796875" style="76" customWidth="1"/>
    <col min="9777" max="9985" width="7.90625" style="76"/>
    <col min="9986" max="9986" width="2.6328125" style="76" customWidth="1"/>
    <col min="9987" max="9987" width="5.90625" style="76" customWidth="1"/>
    <col min="9988" max="9988" width="5.6328125" style="76" customWidth="1"/>
    <col min="9989" max="9992" width="2.6328125" style="76" customWidth="1"/>
    <col min="9993" max="9993" width="8.54296875" style="76" customWidth="1"/>
    <col min="9994" max="9994" width="2.6328125" style="76" customWidth="1"/>
    <col min="9995" max="9995" width="31.453125" style="76" customWidth="1"/>
    <col min="9996" max="9998" width="0" style="76" hidden="1" customWidth="1"/>
    <col min="9999" max="9999" width="24.36328125" style="76" customWidth="1"/>
    <col min="10000" max="10000" width="17.7265625" style="76" customWidth="1"/>
    <col min="10001" max="10001" width="19.81640625" style="76" customWidth="1"/>
    <col min="10002" max="10002" width="20.90625" style="76" customWidth="1"/>
    <col min="10003" max="10003" width="16.1796875" style="76" customWidth="1"/>
    <col min="10004" max="10004" width="16.81640625" style="76" customWidth="1"/>
    <col min="10005" max="10005" width="15.81640625" style="76" customWidth="1"/>
    <col min="10006" max="10006" width="18.453125" style="76" customWidth="1"/>
    <col min="10007" max="10007" width="19.90625" style="76" customWidth="1"/>
    <col min="10008" max="10008" width="23.453125" style="76" customWidth="1"/>
    <col min="10009" max="10009" width="19.90625" style="76" customWidth="1"/>
    <col min="10010" max="10010" width="17.1796875" style="76" customWidth="1"/>
    <col min="10011" max="10012" width="24.90625" style="76" customWidth="1"/>
    <col min="10013" max="10013" width="21.7265625" style="76" customWidth="1"/>
    <col min="10014" max="10014" width="0" style="76" hidden="1" customWidth="1"/>
    <col min="10015" max="10015" width="24.26953125" style="76" customWidth="1"/>
    <col min="10016" max="10016" width="21.26953125" style="76" customWidth="1"/>
    <col min="10017" max="10017" width="23.90625" style="76" customWidth="1"/>
    <col min="10018" max="10018" width="21.6328125" style="76" customWidth="1"/>
    <col min="10019" max="10019" width="15.453125" style="76" customWidth="1"/>
    <col min="10020" max="10023" width="0" style="76" hidden="1" customWidth="1"/>
    <col min="10024" max="10024" width="2.08984375" style="76" customWidth="1"/>
    <col min="10025" max="10025" width="18.453125" style="76" customWidth="1"/>
    <col min="10026" max="10026" width="20.453125" style="76" customWidth="1"/>
    <col min="10027" max="10027" width="22.453125" style="76" customWidth="1"/>
    <col min="10028" max="10028" width="23.90625" style="76" customWidth="1"/>
    <col min="10029" max="10029" width="20.90625" style="76" customWidth="1"/>
    <col min="10030" max="10030" width="9.453125" style="76" customWidth="1"/>
    <col min="10031" max="10031" width="27.08984375" style="76" customWidth="1"/>
    <col min="10032" max="10032" width="16.1796875" style="76" customWidth="1"/>
    <col min="10033" max="10241" width="7.90625" style="76"/>
    <col min="10242" max="10242" width="2.6328125" style="76" customWidth="1"/>
    <col min="10243" max="10243" width="5.90625" style="76" customWidth="1"/>
    <col min="10244" max="10244" width="5.6328125" style="76" customWidth="1"/>
    <col min="10245" max="10248" width="2.6328125" style="76" customWidth="1"/>
    <col min="10249" max="10249" width="8.54296875" style="76" customWidth="1"/>
    <col min="10250" max="10250" width="2.6328125" style="76" customWidth="1"/>
    <col min="10251" max="10251" width="31.453125" style="76" customWidth="1"/>
    <col min="10252" max="10254" width="0" style="76" hidden="1" customWidth="1"/>
    <col min="10255" max="10255" width="24.36328125" style="76" customWidth="1"/>
    <col min="10256" max="10256" width="17.7265625" style="76" customWidth="1"/>
    <col min="10257" max="10257" width="19.81640625" style="76" customWidth="1"/>
    <col min="10258" max="10258" width="20.90625" style="76" customWidth="1"/>
    <col min="10259" max="10259" width="16.1796875" style="76" customWidth="1"/>
    <col min="10260" max="10260" width="16.81640625" style="76" customWidth="1"/>
    <col min="10261" max="10261" width="15.81640625" style="76" customWidth="1"/>
    <col min="10262" max="10262" width="18.453125" style="76" customWidth="1"/>
    <col min="10263" max="10263" width="19.90625" style="76" customWidth="1"/>
    <col min="10264" max="10264" width="23.453125" style="76" customWidth="1"/>
    <col min="10265" max="10265" width="19.90625" style="76" customWidth="1"/>
    <col min="10266" max="10266" width="17.1796875" style="76" customWidth="1"/>
    <col min="10267" max="10268" width="24.90625" style="76" customWidth="1"/>
    <col min="10269" max="10269" width="21.7265625" style="76" customWidth="1"/>
    <col min="10270" max="10270" width="0" style="76" hidden="1" customWidth="1"/>
    <col min="10271" max="10271" width="24.26953125" style="76" customWidth="1"/>
    <col min="10272" max="10272" width="21.26953125" style="76" customWidth="1"/>
    <col min="10273" max="10273" width="23.90625" style="76" customWidth="1"/>
    <col min="10274" max="10274" width="21.6328125" style="76" customWidth="1"/>
    <col min="10275" max="10275" width="15.453125" style="76" customWidth="1"/>
    <col min="10276" max="10279" width="0" style="76" hidden="1" customWidth="1"/>
    <col min="10280" max="10280" width="2.08984375" style="76" customWidth="1"/>
    <col min="10281" max="10281" width="18.453125" style="76" customWidth="1"/>
    <col min="10282" max="10282" width="20.453125" style="76" customWidth="1"/>
    <col min="10283" max="10283" width="22.453125" style="76" customWidth="1"/>
    <col min="10284" max="10284" width="23.90625" style="76" customWidth="1"/>
    <col min="10285" max="10285" width="20.90625" style="76" customWidth="1"/>
    <col min="10286" max="10286" width="9.453125" style="76" customWidth="1"/>
    <col min="10287" max="10287" width="27.08984375" style="76" customWidth="1"/>
    <col min="10288" max="10288" width="16.1796875" style="76" customWidth="1"/>
    <col min="10289" max="10497" width="7.90625" style="76"/>
    <col min="10498" max="10498" width="2.6328125" style="76" customWidth="1"/>
    <col min="10499" max="10499" width="5.90625" style="76" customWidth="1"/>
    <col min="10500" max="10500" width="5.6328125" style="76" customWidth="1"/>
    <col min="10501" max="10504" width="2.6328125" style="76" customWidth="1"/>
    <col min="10505" max="10505" width="8.54296875" style="76" customWidth="1"/>
    <col min="10506" max="10506" width="2.6328125" style="76" customWidth="1"/>
    <col min="10507" max="10507" width="31.453125" style="76" customWidth="1"/>
    <col min="10508" max="10510" width="0" style="76" hidden="1" customWidth="1"/>
    <col min="10511" max="10511" width="24.36328125" style="76" customWidth="1"/>
    <col min="10512" max="10512" width="17.7265625" style="76" customWidth="1"/>
    <col min="10513" max="10513" width="19.81640625" style="76" customWidth="1"/>
    <col min="10514" max="10514" width="20.90625" style="76" customWidth="1"/>
    <col min="10515" max="10515" width="16.1796875" style="76" customWidth="1"/>
    <col min="10516" max="10516" width="16.81640625" style="76" customWidth="1"/>
    <col min="10517" max="10517" width="15.81640625" style="76" customWidth="1"/>
    <col min="10518" max="10518" width="18.453125" style="76" customWidth="1"/>
    <col min="10519" max="10519" width="19.90625" style="76" customWidth="1"/>
    <col min="10520" max="10520" width="23.453125" style="76" customWidth="1"/>
    <col min="10521" max="10521" width="19.90625" style="76" customWidth="1"/>
    <col min="10522" max="10522" width="17.1796875" style="76" customWidth="1"/>
    <col min="10523" max="10524" width="24.90625" style="76" customWidth="1"/>
    <col min="10525" max="10525" width="21.7265625" style="76" customWidth="1"/>
    <col min="10526" max="10526" width="0" style="76" hidden="1" customWidth="1"/>
    <col min="10527" max="10527" width="24.26953125" style="76" customWidth="1"/>
    <col min="10528" max="10528" width="21.26953125" style="76" customWidth="1"/>
    <col min="10529" max="10529" width="23.90625" style="76" customWidth="1"/>
    <col min="10530" max="10530" width="21.6328125" style="76" customWidth="1"/>
    <col min="10531" max="10531" width="15.453125" style="76" customWidth="1"/>
    <col min="10532" max="10535" width="0" style="76" hidden="1" customWidth="1"/>
    <col min="10536" max="10536" width="2.08984375" style="76" customWidth="1"/>
    <col min="10537" max="10537" width="18.453125" style="76" customWidth="1"/>
    <col min="10538" max="10538" width="20.453125" style="76" customWidth="1"/>
    <col min="10539" max="10539" width="22.453125" style="76" customWidth="1"/>
    <col min="10540" max="10540" width="23.90625" style="76" customWidth="1"/>
    <col min="10541" max="10541" width="20.90625" style="76" customWidth="1"/>
    <col min="10542" max="10542" width="9.453125" style="76" customWidth="1"/>
    <col min="10543" max="10543" width="27.08984375" style="76" customWidth="1"/>
    <col min="10544" max="10544" width="16.1796875" style="76" customWidth="1"/>
    <col min="10545" max="10753" width="7.90625" style="76"/>
    <col min="10754" max="10754" width="2.6328125" style="76" customWidth="1"/>
    <col min="10755" max="10755" width="5.90625" style="76" customWidth="1"/>
    <col min="10756" max="10756" width="5.6328125" style="76" customWidth="1"/>
    <col min="10757" max="10760" width="2.6328125" style="76" customWidth="1"/>
    <col min="10761" max="10761" width="8.54296875" style="76" customWidth="1"/>
    <col min="10762" max="10762" width="2.6328125" style="76" customWidth="1"/>
    <col min="10763" max="10763" width="31.453125" style="76" customWidth="1"/>
    <col min="10764" max="10766" width="0" style="76" hidden="1" customWidth="1"/>
    <col min="10767" max="10767" width="24.36328125" style="76" customWidth="1"/>
    <col min="10768" max="10768" width="17.7265625" style="76" customWidth="1"/>
    <col min="10769" max="10769" width="19.81640625" style="76" customWidth="1"/>
    <col min="10770" max="10770" width="20.90625" style="76" customWidth="1"/>
    <col min="10771" max="10771" width="16.1796875" style="76" customWidth="1"/>
    <col min="10772" max="10772" width="16.81640625" style="76" customWidth="1"/>
    <col min="10773" max="10773" width="15.81640625" style="76" customWidth="1"/>
    <col min="10774" max="10774" width="18.453125" style="76" customWidth="1"/>
    <col min="10775" max="10775" width="19.90625" style="76" customWidth="1"/>
    <col min="10776" max="10776" width="23.453125" style="76" customWidth="1"/>
    <col min="10777" max="10777" width="19.90625" style="76" customWidth="1"/>
    <col min="10778" max="10778" width="17.1796875" style="76" customWidth="1"/>
    <col min="10779" max="10780" width="24.90625" style="76" customWidth="1"/>
    <col min="10781" max="10781" width="21.7265625" style="76" customWidth="1"/>
    <col min="10782" max="10782" width="0" style="76" hidden="1" customWidth="1"/>
    <col min="10783" max="10783" width="24.26953125" style="76" customWidth="1"/>
    <col min="10784" max="10784" width="21.26953125" style="76" customWidth="1"/>
    <col min="10785" max="10785" width="23.90625" style="76" customWidth="1"/>
    <col min="10786" max="10786" width="21.6328125" style="76" customWidth="1"/>
    <col min="10787" max="10787" width="15.453125" style="76" customWidth="1"/>
    <col min="10788" max="10791" width="0" style="76" hidden="1" customWidth="1"/>
    <col min="10792" max="10792" width="2.08984375" style="76" customWidth="1"/>
    <col min="10793" max="10793" width="18.453125" style="76" customWidth="1"/>
    <col min="10794" max="10794" width="20.453125" style="76" customWidth="1"/>
    <col min="10795" max="10795" width="22.453125" style="76" customWidth="1"/>
    <col min="10796" max="10796" width="23.90625" style="76" customWidth="1"/>
    <col min="10797" max="10797" width="20.90625" style="76" customWidth="1"/>
    <col min="10798" max="10798" width="9.453125" style="76" customWidth="1"/>
    <col min="10799" max="10799" width="27.08984375" style="76" customWidth="1"/>
    <col min="10800" max="10800" width="16.1796875" style="76" customWidth="1"/>
    <col min="10801" max="11009" width="7.90625" style="76"/>
    <col min="11010" max="11010" width="2.6328125" style="76" customWidth="1"/>
    <col min="11011" max="11011" width="5.90625" style="76" customWidth="1"/>
    <col min="11012" max="11012" width="5.6328125" style="76" customWidth="1"/>
    <col min="11013" max="11016" width="2.6328125" style="76" customWidth="1"/>
    <col min="11017" max="11017" width="8.54296875" style="76" customWidth="1"/>
    <col min="11018" max="11018" width="2.6328125" style="76" customWidth="1"/>
    <col min="11019" max="11019" width="31.453125" style="76" customWidth="1"/>
    <col min="11020" max="11022" width="0" style="76" hidden="1" customWidth="1"/>
    <col min="11023" max="11023" width="24.36328125" style="76" customWidth="1"/>
    <col min="11024" max="11024" width="17.7265625" style="76" customWidth="1"/>
    <col min="11025" max="11025" width="19.81640625" style="76" customWidth="1"/>
    <col min="11026" max="11026" width="20.90625" style="76" customWidth="1"/>
    <col min="11027" max="11027" width="16.1796875" style="76" customWidth="1"/>
    <col min="11028" max="11028" width="16.81640625" style="76" customWidth="1"/>
    <col min="11029" max="11029" width="15.81640625" style="76" customWidth="1"/>
    <col min="11030" max="11030" width="18.453125" style="76" customWidth="1"/>
    <col min="11031" max="11031" width="19.90625" style="76" customWidth="1"/>
    <col min="11032" max="11032" width="23.453125" style="76" customWidth="1"/>
    <col min="11033" max="11033" width="19.90625" style="76" customWidth="1"/>
    <col min="11034" max="11034" width="17.1796875" style="76" customWidth="1"/>
    <col min="11035" max="11036" width="24.90625" style="76" customWidth="1"/>
    <col min="11037" max="11037" width="21.7265625" style="76" customWidth="1"/>
    <col min="11038" max="11038" width="0" style="76" hidden="1" customWidth="1"/>
    <col min="11039" max="11039" width="24.26953125" style="76" customWidth="1"/>
    <col min="11040" max="11040" width="21.26953125" style="76" customWidth="1"/>
    <col min="11041" max="11041" width="23.90625" style="76" customWidth="1"/>
    <col min="11042" max="11042" width="21.6328125" style="76" customWidth="1"/>
    <col min="11043" max="11043" width="15.453125" style="76" customWidth="1"/>
    <col min="11044" max="11047" width="0" style="76" hidden="1" customWidth="1"/>
    <col min="11048" max="11048" width="2.08984375" style="76" customWidth="1"/>
    <col min="11049" max="11049" width="18.453125" style="76" customWidth="1"/>
    <col min="11050" max="11050" width="20.453125" style="76" customWidth="1"/>
    <col min="11051" max="11051" width="22.453125" style="76" customWidth="1"/>
    <col min="11052" max="11052" width="23.90625" style="76" customWidth="1"/>
    <col min="11053" max="11053" width="20.90625" style="76" customWidth="1"/>
    <col min="11054" max="11054" width="9.453125" style="76" customWidth="1"/>
    <col min="11055" max="11055" width="27.08984375" style="76" customWidth="1"/>
    <col min="11056" max="11056" width="16.1796875" style="76" customWidth="1"/>
    <col min="11057" max="11265" width="7.90625" style="76"/>
    <col min="11266" max="11266" width="2.6328125" style="76" customWidth="1"/>
    <col min="11267" max="11267" width="5.90625" style="76" customWidth="1"/>
    <col min="11268" max="11268" width="5.6328125" style="76" customWidth="1"/>
    <col min="11269" max="11272" width="2.6328125" style="76" customWidth="1"/>
    <col min="11273" max="11273" width="8.54296875" style="76" customWidth="1"/>
    <col min="11274" max="11274" width="2.6328125" style="76" customWidth="1"/>
    <col min="11275" max="11275" width="31.453125" style="76" customWidth="1"/>
    <col min="11276" max="11278" width="0" style="76" hidden="1" customWidth="1"/>
    <col min="11279" max="11279" width="24.36328125" style="76" customWidth="1"/>
    <col min="11280" max="11280" width="17.7265625" style="76" customWidth="1"/>
    <col min="11281" max="11281" width="19.81640625" style="76" customWidth="1"/>
    <col min="11282" max="11282" width="20.90625" style="76" customWidth="1"/>
    <col min="11283" max="11283" width="16.1796875" style="76" customWidth="1"/>
    <col min="11284" max="11284" width="16.81640625" style="76" customWidth="1"/>
    <col min="11285" max="11285" width="15.81640625" style="76" customWidth="1"/>
    <col min="11286" max="11286" width="18.453125" style="76" customWidth="1"/>
    <col min="11287" max="11287" width="19.90625" style="76" customWidth="1"/>
    <col min="11288" max="11288" width="23.453125" style="76" customWidth="1"/>
    <col min="11289" max="11289" width="19.90625" style="76" customWidth="1"/>
    <col min="11290" max="11290" width="17.1796875" style="76" customWidth="1"/>
    <col min="11291" max="11292" width="24.90625" style="76" customWidth="1"/>
    <col min="11293" max="11293" width="21.7265625" style="76" customWidth="1"/>
    <col min="11294" max="11294" width="0" style="76" hidden="1" customWidth="1"/>
    <col min="11295" max="11295" width="24.26953125" style="76" customWidth="1"/>
    <col min="11296" max="11296" width="21.26953125" style="76" customWidth="1"/>
    <col min="11297" max="11297" width="23.90625" style="76" customWidth="1"/>
    <col min="11298" max="11298" width="21.6328125" style="76" customWidth="1"/>
    <col min="11299" max="11299" width="15.453125" style="76" customWidth="1"/>
    <col min="11300" max="11303" width="0" style="76" hidden="1" customWidth="1"/>
    <col min="11304" max="11304" width="2.08984375" style="76" customWidth="1"/>
    <col min="11305" max="11305" width="18.453125" style="76" customWidth="1"/>
    <col min="11306" max="11306" width="20.453125" style="76" customWidth="1"/>
    <col min="11307" max="11307" width="22.453125" style="76" customWidth="1"/>
    <col min="11308" max="11308" width="23.90625" style="76" customWidth="1"/>
    <col min="11309" max="11309" width="20.90625" style="76" customWidth="1"/>
    <col min="11310" max="11310" width="9.453125" style="76" customWidth="1"/>
    <col min="11311" max="11311" width="27.08984375" style="76" customWidth="1"/>
    <col min="11312" max="11312" width="16.1796875" style="76" customWidth="1"/>
    <col min="11313" max="11521" width="7.90625" style="76"/>
    <col min="11522" max="11522" width="2.6328125" style="76" customWidth="1"/>
    <col min="11523" max="11523" width="5.90625" style="76" customWidth="1"/>
    <col min="11524" max="11524" width="5.6328125" style="76" customWidth="1"/>
    <col min="11525" max="11528" width="2.6328125" style="76" customWidth="1"/>
    <col min="11529" max="11529" width="8.54296875" style="76" customWidth="1"/>
    <col min="11530" max="11530" width="2.6328125" style="76" customWidth="1"/>
    <col min="11531" max="11531" width="31.453125" style="76" customWidth="1"/>
    <col min="11532" max="11534" width="0" style="76" hidden="1" customWidth="1"/>
    <col min="11535" max="11535" width="24.36328125" style="76" customWidth="1"/>
    <col min="11536" max="11536" width="17.7265625" style="76" customWidth="1"/>
    <col min="11537" max="11537" width="19.81640625" style="76" customWidth="1"/>
    <col min="11538" max="11538" width="20.90625" style="76" customWidth="1"/>
    <col min="11539" max="11539" width="16.1796875" style="76" customWidth="1"/>
    <col min="11540" max="11540" width="16.81640625" style="76" customWidth="1"/>
    <col min="11541" max="11541" width="15.81640625" style="76" customWidth="1"/>
    <col min="11542" max="11542" width="18.453125" style="76" customWidth="1"/>
    <col min="11543" max="11543" width="19.90625" style="76" customWidth="1"/>
    <col min="11544" max="11544" width="23.453125" style="76" customWidth="1"/>
    <col min="11545" max="11545" width="19.90625" style="76" customWidth="1"/>
    <col min="11546" max="11546" width="17.1796875" style="76" customWidth="1"/>
    <col min="11547" max="11548" width="24.90625" style="76" customWidth="1"/>
    <col min="11549" max="11549" width="21.7265625" style="76" customWidth="1"/>
    <col min="11550" max="11550" width="0" style="76" hidden="1" customWidth="1"/>
    <col min="11551" max="11551" width="24.26953125" style="76" customWidth="1"/>
    <col min="11552" max="11552" width="21.26953125" style="76" customWidth="1"/>
    <col min="11553" max="11553" width="23.90625" style="76" customWidth="1"/>
    <col min="11554" max="11554" width="21.6328125" style="76" customWidth="1"/>
    <col min="11555" max="11555" width="15.453125" style="76" customWidth="1"/>
    <col min="11556" max="11559" width="0" style="76" hidden="1" customWidth="1"/>
    <col min="11560" max="11560" width="2.08984375" style="76" customWidth="1"/>
    <col min="11561" max="11561" width="18.453125" style="76" customWidth="1"/>
    <col min="11562" max="11562" width="20.453125" style="76" customWidth="1"/>
    <col min="11563" max="11563" width="22.453125" style="76" customWidth="1"/>
    <col min="11564" max="11564" width="23.90625" style="76" customWidth="1"/>
    <col min="11565" max="11565" width="20.90625" style="76" customWidth="1"/>
    <col min="11566" max="11566" width="9.453125" style="76" customWidth="1"/>
    <col min="11567" max="11567" width="27.08984375" style="76" customWidth="1"/>
    <col min="11568" max="11568" width="16.1796875" style="76" customWidth="1"/>
    <col min="11569" max="11777" width="7.90625" style="76"/>
    <col min="11778" max="11778" width="2.6328125" style="76" customWidth="1"/>
    <col min="11779" max="11779" width="5.90625" style="76" customWidth="1"/>
    <col min="11780" max="11780" width="5.6328125" style="76" customWidth="1"/>
    <col min="11781" max="11784" width="2.6328125" style="76" customWidth="1"/>
    <col min="11785" max="11785" width="8.54296875" style="76" customWidth="1"/>
    <col min="11786" max="11786" width="2.6328125" style="76" customWidth="1"/>
    <col min="11787" max="11787" width="31.453125" style="76" customWidth="1"/>
    <col min="11788" max="11790" width="0" style="76" hidden="1" customWidth="1"/>
    <col min="11791" max="11791" width="24.36328125" style="76" customWidth="1"/>
    <col min="11792" max="11792" width="17.7265625" style="76" customWidth="1"/>
    <col min="11793" max="11793" width="19.81640625" style="76" customWidth="1"/>
    <col min="11794" max="11794" width="20.90625" style="76" customWidth="1"/>
    <col min="11795" max="11795" width="16.1796875" style="76" customWidth="1"/>
    <col min="11796" max="11796" width="16.81640625" style="76" customWidth="1"/>
    <col min="11797" max="11797" width="15.81640625" style="76" customWidth="1"/>
    <col min="11798" max="11798" width="18.453125" style="76" customWidth="1"/>
    <col min="11799" max="11799" width="19.90625" style="76" customWidth="1"/>
    <col min="11800" max="11800" width="23.453125" style="76" customWidth="1"/>
    <col min="11801" max="11801" width="19.90625" style="76" customWidth="1"/>
    <col min="11802" max="11802" width="17.1796875" style="76" customWidth="1"/>
    <col min="11803" max="11804" width="24.90625" style="76" customWidth="1"/>
    <col min="11805" max="11805" width="21.7265625" style="76" customWidth="1"/>
    <col min="11806" max="11806" width="0" style="76" hidden="1" customWidth="1"/>
    <col min="11807" max="11807" width="24.26953125" style="76" customWidth="1"/>
    <col min="11808" max="11808" width="21.26953125" style="76" customWidth="1"/>
    <col min="11809" max="11809" width="23.90625" style="76" customWidth="1"/>
    <col min="11810" max="11810" width="21.6328125" style="76" customWidth="1"/>
    <col min="11811" max="11811" width="15.453125" style="76" customWidth="1"/>
    <col min="11812" max="11815" width="0" style="76" hidden="1" customWidth="1"/>
    <col min="11816" max="11816" width="2.08984375" style="76" customWidth="1"/>
    <col min="11817" max="11817" width="18.453125" style="76" customWidth="1"/>
    <col min="11818" max="11818" width="20.453125" style="76" customWidth="1"/>
    <col min="11819" max="11819" width="22.453125" style="76" customWidth="1"/>
    <col min="11820" max="11820" width="23.90625" style="76" customWidth="1"/>
    <col min="11821" max="11821" width="20.90625" style="76" customWidth="1"/>
    <col min="11822" max="11822" width="9.453125" style="76" customWidth="1"/>
    <col min="11823" max="11823" width="27.08984375" style="76" customWidth="1"/>
    <col min="11824" max="11824" width="16.1796875" style="76" customWidth="1"/>
    <col min="11825" max="12033" width="7.90625" style="76"/>
    <col min="12034" max="12034" width="2.6328125" style="76" customWidth="1"/>
    <col min="12035" max="12035" width="5.90625" style="76" customWidth="1"/>
    <col min="12036" max="12036" width="5.6328125" style="76" customWidth="1"/>
    <col min="12037" max="12040" width="2.6328125" style="76" customWidth="1"/>
    <col min="12041" max="12041" width="8.54296875" style="76" customWidth="1"/>
    <col min="12042" max="12042" width="2.6328125" style="76" customWidth="1"/>
    <col min="12043" max="12043" width="31.453125" style="76" customWidth="1"/>
    <col min="12044" max="12046" width="0" style="76" hidden="1" customWidth="1"/>
    <col min="12047" max="12047" width="24.36328125" style="76" customWidth="1"/>
    <col min="12048" max="12048" width="17.7265625" style="76" customWidth="1"/>
    <col min="12049" max="12049" width="19.81640625" style="76" customWidth="1"/>
    <col min="12050" max="12050" width="20.90625" style="76" customWidth="1"/>
    <col min="12051" max="12051" width="16.1796875" style="76" customWidth="1"/>
    <col min="12052" max="12052" width="16.81640625" style="76" customWidth="1"/>
    <col min="12053" max="12053" width="15.81640625" style="76" customWidth="1"/>
    <col min="12054" max="12054" width="18.453125" style="76" customWidth="1"/>
    <col min="12055" max="12055" width="19.90625" style="76" customWidth="1"/>
    <col min="12056" max="12056" width="23.453125" style="76" customWidth="1"/>
    <col min="12057" max="12057" width="19.90625" style="76" customWidth="1"/>
    <col min="12058" max="12058" width="17.1796875" style="76" customWidth="1"/>
    <col min="12059" max="12060" width="24.90625" style="76" customWidth="1"/>
    <col min="12061" max="12061" width="21.7265625" style="76" customWidth="1"/>
    <col min="12062" max="12062" width="0" style="76" hidden="1" customWidth="1"/>
    <col min="12063" max="12063" width="24.26953125" style="76" customWidth="1"/>
    <col min="12064" max="12064" width="21.26953125" style="76" customWidth="1"/>
    <col min="12065" max="12065" width="23.90625" style="76" customWidth="1"/>
    <col min="12066" max="12066" width="21.6328125" style="76" customWidth="1"/>
    <col min="12067" max="12067" width="15.453125" style="76" customWidth="1"/>
    <col min="12068" max="12071" width="0" style="76" hidden="1" customWidth="1"/>
    <col min="12072" max="12072" width="2.08984375" style="76" customWidth="1"/>
    <col min="12073" max="12073" width="18.453125" style="76" customWidth="1"/>
    <col min="12074" max="12074" width="20.453125" style="76" customWidth="1"/>
    <col min="12075" max="12075" width="22.453125" style="76" customWidth="1"/>
    <col min="12076" max="12076" width="23.90625" style="76" customWidth="1"/>
    <col min="12077" max="12077" width="20.90625" style="76" customWidth="1"/>
    <col min="12078" max="12078" width="9.453125" style="76" customWidth="1"/>
    <col min="12079" max="12079" width="27.08984375" style="76" customWidth="1"/>
    <col min="12080" max="12080" width="16.1796875" style="76" customWidth="1"/>
    <col min="12081" max="12289" width="7.90625" style="76"/>
    <col min="12290" max="12290" width="2.6328125" style="76" customWidth="1"/>
    <col min="12291" max="12291" width="5.90625" style="76" customWidth="1"/>
    <col min="12292" max="12292" width="5.6328125" style="76" customWidth="1"/>
    <col min="12293" max="12296" width="2.6328125" style="76" customWidth="1"/>
    <col min="12297" max="12297" width="8.54296875" style="76" customWidth="1"/>
    <col min="12298" max="12298" width="2.6328125" style="76" customWidth="1"/>
    <col min="12299" max="12299" width="31.453125" style="76" customWidth="1"/>
    <col min="12300" max="12302" width="0" style="76" hidden="1" customWidth="1"/>
    <col min="12303" max="12303" width="24.36328125" style="76" customWidth="1"/>
    <col min="12304" max="12304" width="17.7265625" style="76" customWidth="1"/>
    <col min="12305" max="12305" width="19.81640625" style="76" customWidth="1"/>
    <col min="12306" max="12306" width="20.90625" style="76" customWidth="1"/>
    <col min="12307" max="12307" width="16.1796875" style="76" customWidth="1"/>
    <col min="12308" max="12308" width="16.81640625" style="76" customWidth="1"/>
    <col min="12309" max="12309" width="15.81640625" style="76" customWidth="1"/>
    <col min="12310" max="12310" width="18.453125" style="76" customWidth="1"/>
    <col min="12311" max="12311" width="19.90625" style="76" customWidth="1"/>
    <col min="12312" max="12312" width="23.453125" style="76" customWidth="1"/>
    <col min="12313" max="12313" width="19.90625" style="76" customWidth="1"/>
    <col min="12314" max="12314" width="17.1796875" style="76" customWidth="1"/>
    <col min="12315" max="12316" width="24.90625" style="76" customWidth="1"/>
    <col min="12317" max="12317" width="21.7265625" style="76" customWidth="1"/>
    <col min="12318" max="12318" width="0" style="76" hidden="1" customWidth="1"/>
    <col min="12319" max="12319" width="24.26953125" style="76" customWidth="1"/>
    <col min="12320" max="12320" width="21.26953125" style="76" customWidth="1"/>
    <col min="12321" max="12321" width="23.90625" style="76" customWidth="1"/>
    <col min="12322" max="12322" width="21.6328125" style="76" customWidth="1"/>
    <col min="12323" max="12323" width="15.453125" style="76" customWidth="1"/>
    <col min="12324" max="12327" width="0" style="76" hidden="1" customWidth="1"/>
    <col min="12328" max="12328" width="2.08984375" style="76" customWidth="1"/>
    <col min="12329" max="12329" width="18.453125" style="76" customWidth="1"/>
    <col min="12330" max="12330" width="20.453125" style="76" customWidth="1"/>
    <col min="12331" max="12331" width="22.453125" style="76" customWidth="1"/>
    <col min="12332" max="12332" width="23.90625" style="76" customWidth="1"/>
    <col min="12333" max="12333" width="20.90625" style="76" customWidth="1"/>
    <col min="12334" max="12334" width="9.453125" style="76" customWidth="1"/>
    <col min="12335" max="12335" width="27.08984375" style="76" customWidth="1"/>
    <col min="12336" max="12336" width="16.1796875" style="76" customWidth="1"/>
    <col min="12337" max="12545" width="7.90625" style="76"/>
    <col min="12546" max="12546" width="2.6328125" style="76" customWidth="1"/>
    <col min="12547" max="12547" width="5.90625" style="76" customWidth="1"/>
    <col min="12548" max="12548" width="5.6328125" style="76" customWidth="1"/>
    <col min="12549" max="12552" width="2.6328125" style="76" customWidth="1"/>
    <col min="12553" max="12553" width="8.54296875" style="76" customWidth="1"/>
    <col min="12554" max="12554" width="2.6328125" style="76" customWidth="1"/>
    <col min="12555" max="12555" width="31.453125" style="76" customWidth="1"/>
    <col min="12556" max="12558" width="0" style="76" hidden="1" customWidth="1"/>
    <col min="12559" max="12559" width="24.36328125" style="76" customWidth="1"/>
    <col min="12560" max="12560" width="17.7265625" style="76" customWidth="1"/>
    <col min="12561" max="12561" width="19.81640625" style="76" customWidth="1"/>
    <col min="12562" max="12562" width="20.90625" style="76" customWidth="1"/>
    <col min="12563" max="12563" width="16.1796875" style="76" customWidth="1"/>
    <col min="12564" max="12564" width="16.81640625" style="76" customWidth="1"/>
    <col min="12565" max="12565" width="15.81640625" style="76" customWidth="1"/>
    <col min="12566" max="12566" width="18.453125" style="76" customWidth="1"/>
    <col min="12567" max="12567" width="19.90625" style="76" customWidth="1"/>
    <col min="12568" max="12568" width="23.453125" style="76" customWidth="1"/>
    <col min="12569" max="12569" width="19.90625" style="76" customWidth="1"/>
    <col min="12570" max="12570" width="17.1796875" style="76" customWidth="1"/>
    <col min="12571" max="12572" width="24.90625" style="76" customWidth="1"/>
    <col min="12573" max="12573" width="21.7265625" style="76" customWidth="1"/>
    <col min="12574" max="12574" width="0" style="76" hidden="1" customWidth="1"/>
    <col min="12575" max="12575" width="24.26953125" style="76" customWidth="1"/>
    <col min="12576" max="12576" width="21.26953125" style="76" customWidth="1"/>
    <col min="12577" max="12577" width="23.90625" style="76" customWidth="1"/>
    <col min="12578" max="12578" width="21.6328125" style="76" customWidth="1"/>
    <col min="12579" max="12579" width="15.453125" style="76" customWidth="1"/>
    <col min="12580" max="12583" width="0" style="76" hidden="1" customWidth="1"/>
    <col min="12584" max="12584" width="2.08984375" style="76" customWidth="1"/>
    <col min="12585" max="12585" width="18.453125" style="76" customWidth="1"/>
    <col min="12586" max="12586" width="20.453125" style="76" customWidth="1"/>
    <col min="12587" max="12587" width="22.453125" style="76" customWidth="1"/>
    <col min="12588" max="12588" width="23.90625" style="76" customWidth="1"/>
    <col min="12589" max="12589" width="20.90625" style="76" customWidth="1"/>
    <col min="12590" max="12590" width="9.453125" style="76" customWidth="1"/>
    <col min="12591" max="12591" width="27.08984375" style="76" customWidth="1"/>
    <col min="12592" max="12592" width="16.1796875" style="76" customWidth="1"/>
    <col min="12593" max="12801" width="7.90625" style="76"/>
    <col min="12802" max="12802" width="2.6328125" style="76" customWidth="1"/>
    <col min="12803" max="12803" width="5.90625" style="76" customWidth="1"/>
    <col min="12804" max="12804" width="5.6328125" style="76" customWidth="1"/>
    <col min="12805" max="12808" width="2.6328125" style="76" customWidth="1"/>
    <col min="12809" max="12809" width="8.54296875" style="76" customWidth="1"/>
    <col min="12810" max="12810" width="2.6328125" style="76" customWidth="1"/>
    <col min="12811" max="12811" width="31.453125" style="76" customWidth="1"/>
    <col min="12812" max="12814" width="0" style="76" hidden="1" customWidth="1"/>
    <col min="12815" max="12815" width="24.36328125" style="76" customWidth="1"/>
    <col min="12816" max="12816" width="17.7265625" style="76" customWidth="1"/>
    <col min="12817" max="12817" width="19.81640625" style="76" customWidth="1"/>
    <col min="12818" max="12818" width="20.90625" style="76" customWidth="1"/>
    <col min="12819" max="12819" width="16.1796875" style="76" customWidth="1"/>
    <col min="12820" max="12820" width="16.81640625" style="76" customWidth="1"/>
    <col min="12821" max="12821" width="15.81640625" style="76" customWidth="1"/>
    <col min="12822" max="12822" width="18.453125" style="76" customWidth="1"/>
    <col min="12823" max="12823" width="19.90625" style="76" customWidth="1"/>
    <col min="12824" max="12824" width="23.453125" style="76" customWidth="1"/>
    <col min="12825" max="12825" width="19.90625" style="76" customWidth="1"/>
    <col min="12826" max="12826" width="17.1796875" style="76" customWidth="1"/>
    <col min="12827" max="12828" width="24.90625" style="76" customWidth="1"/>
    <col min="12829" max="12829" width="21.7265625" style="76" customWidth="1"/>
    <col min="12830" max="12830" width="0" style="76" hidden="1" customWidth="1"/>
    <col min="12831" max="12831" width="24.26953125" style="76" customWidth="1"/>
    <col min="12832" max="12832" width="21.26953125" style="76" customWidth="1"/>
    <col min="12833" max="12833" width="23.90625" style="76" customWidth="1"/>
    <col min="12834" max="12834" width="21.6328125" style="76" customWidth="1"/>
    <col min="12835" max="12835" width="15.453125" style="76" customWidth="1"/>
    <col min="12836" max="12839" width="0" style="76" hidden="1" customWidth="1"/>
    <col min="12840" max="12840" width="2.08984375" style="76" customWidth="1"/>
    <col min="12841" max="12841" width="18.453125" style="76" customWidth="1"/>
    <col min="12842" max="12842" width="20.453125" style="76" customWidth="1"/>
    <col min="12843" max="12843" width="22.453125" style="76" customWidth="1"/>
    <col min="12844" max="12844" width="23.90625" style="76" customWidth="1"/>
    <col min="12845" max="12845" width="20.90625" style="76" customWidth="1"/>
    <col min="12846" max="12846" width="9.453125" style="76" customWidth="1"/>
    <col min="12847" max="12847" width="27.08984375" style="76" customWidth="1"/>
    <col min="12848" max="12848" width="16.1796875" style="76" customWidth="1"/>
    <col min="12849" max="13057" width="7.90625" style="76"/>
    <col min="13058" max="13058" width="2.6328125" style="76" customWidth="1"/>
    <col min="13059" max="13059" width="5.90625" style="76" customWidth="1"/>
    <col min="13060" max="13060" width="5.6328125" style="76" customWidth="1"/>
    <col min="13061" max="13064" width="2.6328125" style="76" customWidth="1"/>
    <col min="13065" max="13065" width="8.54296875" style="76" customWidth="1"/>
    <col min="13066" max="13066" width="2.6328125" style="76" customWidth="1"/>
    <col min="13067" max="13067" width="31.453125" style="76" customWidth="1"/>
    <col min="13068" max="13070" width="0" style="76" hidden="1" customWidth="1"/>
    <col min="13071" max="13071" width="24.36328125" style="76" customWidth="1"/>
    <col min="13072" max="13072" width="17.7265625" style="76" customWidth="1"/>
    <col min="13073" max="13073" width="19.81640625" style="76" customWidth="1"/>
    <col min="13074" max="13074" width="20.90625" style="76" customWidth="1"/>
    <col min="13075" max="13075" width="16.1796875" style="76" customWidth="1"/>
    <col min="13076" max="13076" width="16.81640625" style="76" customWidth="1"/>
    <col min="13077" max="13077" width="15.81640625" style="76" customWidth="1"/>
    <col min="13078" max="13078" width="18.453125" style="76" customWidth="1"/>
    <col min="13079" max="13079" width="19.90625" style="76" customWidth="1"/>
    <col min="13080" max="13080" width="23.453125" style="76" customWidth="1"/>
    <col min="13081" max="13081" width="19.90625" style="76" customWidth="1"/>
    <col min="13082" max="13082" width="17.1796875" style="76" customWidth="1"/>
    <col min="13083" max="13084" width="24.90625" style="76" customWidth="1"/>
    <col min="13085" max="13085" width="21.7265625" style="76" customWidth="1"/>
    <col min="13086" max="13086" width="0" style="76" hidden="1" customWidth="1"/>
    <col min="13087" max="13087" width="24.26953125" style="76" customWidth="1"/>
    <col min="13088" max="13088" width="21.26953125" style="76" customWidth="1"/>
    <col min="13089" max="13089" width="23.90625" style="76" customWidth="1"/>
    <col min="13090" max="13090" width="21.6328125" style="76" customWidth="1"/>
    <col min="13091" max="13091" width="15.453125" style="76" customWidth="1"/>
    <col min="13092" max="13095" width="0" style="76" hidden="1" customWidth="1"/>
    <col min="13096" max="13096" width="2.08984375" style="76" customWidth="1"/>
    <col min="13097" max="13097" width="18.453125" style="76" customWidth="1"/>
    <col min="13098" max="13098" width="20.453125" style="76" customWidth="1"/>
    <col min="13099" max="13099" width="22.453125" style="76" customWidth="1"/>
    <col min="13100" max="13100" width="23.90625" style="76" customWidth="1"/>
    <col min="13101" max="13101" width="20.90625" style="76" customWidth="1"/>
    <col min="13102" max="13102" width="9.453125" style="76" customWidth="1"/>
    <col min="13103" max="13103" width="27.08984375" style="76" customWidth="1"/>
    <col min="13104" max="13104" width="16.1796875" style="76" customWidth="1"/>
    <col min="13105" max="13313" width="7.90625" style="76"/>
    <col min="13314" max="13314" width="2.6328125" style="76" customWidth="1"/>
    <col min="13315" max="13315" width="5.90625" style="76" customWidth="1"/>
    <col min="13316" max="13316" width="5.6328125" style="76" customWidth="1"/>
    <col min="13317" max="13320" width="2.6328125" style="76" customWidth="1"/>
    <col min="13321" max="13321" width="8.54296875" style="76" customWidth="1"/>
    <col min="13322" max="13322" width="2.6328125" style="76" customWidth="1"/>
    <col min="13323" max="13323" width="31.453125" style="76" customWidth="1"/>
    <col min="13324" max="13326" width="0" style="76" hidden="1" customWidth="1"/>
    <col min="13327" max="13327" width="24.36328125" style="76" customWidth="1"/>
    <col min="13328" max="13328" width="17.7265625" style="76" customWidth="1"/>
    <col min="13329" max="13329" width="19.81640625" style="76" customWidth="1"/>
    <col min="13330" max="13330" width="20.90625" style="76" customWidth="1"/>
    <col min="13331" max="13331" width="16.1796875" style="76" customWidth="1"/>
    <col min="13332" max="13332" width="16.81640625" style="76" customWidth="1"/>
    <col min="13333" max="13333" width="15.81640625" style="76" customWidth="1"/>
    <col min="13334" max="13334" width="18.453125" style="76" customWidth="1"/>
    <col min="13335" max="13335" width="19.90625" style="76" customWidth="1"/>
    <col min="13336" max="13336" width="23.453125" style="76" customWidth="1"/>
    <col min="13337" max="13337" width="19.90625" style="76" customWidth="1"/>
    <col min="13338" max="13338" width="17.1796875" style="76" customWidth="1"/>
    <col min="13339" max="13340" width="24.90625" style="76" customWidth="1"/>
    <col min="13341" max="13341" width="21.7265625" style="76" customWidth="1"/>
    <col min="13342" max="13342" width="0" style="76" hidden="1" customWidth="1"/>
    <col min="13343" max="13343" width="24.26953125" style="76" customWidth="1"/>
    <col min="13344" max="13344" width="21.26953125" style="76" customWidth="1"/>
    <col min="13345" max="13345" width="23.90625" style="76" customWidth="1"/>
    <col min="13346" max="13346" width="21.6328125" style="76" customWidth="1"/>
    <col min="13347" max="13347" width="15.453125" style="76" customWidth="1"/>
    <col min="13348" max="13351" width="0" style="76" hidden="1" customWidth="1"/>
    <col min="13352" max="13352" width="2.08984375" style="76" customWidth="1"/>
    <col min="13353" max="13353" width="18.453125" style="76" customWidth="1"/>
    <col min="13354" max="13354" width="20.453125" style="76" customWidth="1"/>
    <col min="13355" max="13355" width="22.453125" style="76" customWidth="1"/>
    <col min="13356" max="13356" width="23.90625" style="76" customWidth="1"/>
    <col min="13357" max="13357" width="20.90625" style="76" customWidth="1"/>
    <col min="13358" max="13358" width="9.453125" style="76" customWidth="1"/>
    <col min="13359" max="13359" width="27.08984375" style="76" customWidth="1"/>
    <col min="13360" max="13360" width="16.1796875" style="76" customWidth="1"/>
    <col min="13361" max="13569" width="7.90625" style="76"/>
    <col min="13570" max="13570" width="2.6328125" style="76" customWidth="1"/>
    <col min="13571" max="13571" width="5.90625" style="76" customWidth="1"/>
    <col min="13572" max="13572" width="5.6328125" style="76" customWidth="1"/>
    <col min="13573" max="13576" width="2.6328125" style="76" customWidth="1"/>
    <col min="13577" max="13577" width="8.54296875" style="76" customWidth="1"/>
    <col min="13578" max="13578" width="2.6328125" style="76" customWidth="1"/>
    <col min="13579" max="13579" width="31.453125" style="76" customWidth="1"/>
    <col min="13580" max="13582" width="0" style="76" hidden="1" customWidth="1"/>
    <col min="13583" max="13583" width="24.36328125" style="76" customWidth="1"/>
    <col min="13584" max="13584" width="17.7265625" style="76" customWidth="1"/>
    <col min="13585" max="13585" width="19.81640625" style="76" customWidth="1"/>
    <col min="13586" max="13586" width="20.90625" style="76" customWidth="1"/>
    <col min="13587" max="13587" width="16.1796875" style="76" customWidth="1"/>
    <col min="13588" max="13588" width="16.81640625" style="76" customWidth="1"/>
    <col min="13589" max="13589" width="15.81640625" style="76" customWidth="1"/>
    <col min="13590" max="13590" width="18.453125" style="76" customWidth="1"/>
    <col min="13591" max="13591" width="19.90625" style="76" customWidth="1"/>
    <col min="13592" max="13592" width="23.453125" style="76" customWidth="1"/>
    <col min="13593" max="13593" width="19.90625" style="76" customWidth="1"/>
    <col min="13594" max="13594" width="17.1796875" style="76" customWidth="1"/>
    <col min="13595" max="13596" width="24.90625" style="76" customWidth="1"/>
    <col min="13597" max="13597" width="21.7265625" style="76" customWidth="1"/>
    <col min="13598" max="13598" width="0" style="76" hidden="1" customWidth="1"/>
    <col min="13599" max="13599" width="24.26953125" style="76" customWidth="1"/>
    <col min="13600" max="13600" width="21.26953125" style="76" customWidth="1"/>
    <col min="13601" max="13601" width="23.90625" style="76" customWidth="1"/>
    <col min="13602" max="13602" width="21.6328125" style="76" customWidth="1"/>
    <col min="13603" max="13603" width="15.453125" style="76" customWidth="1"/>
    <col min="13604" max="13607" width="0" style="76" hidden="1" customWidth="1"/>
    <col min="13608" max="13608" width="2.08984375" style="76" customWidth="1"/>
    <col min="13609" max="13609" width="18.453125" style="76" customWidth="1"/>
    <col min="13610" max="13610" width="20.453125" style="76" customWidth="1"/>
    <col min="13611" max="13611" width="22.453125" style="76" customWidth="1"/>
    <col min="13612" max="13612" width="23.90625" style="76" customWidth="1"/>
    <col min="13613" max="13613" width="20.90625" style="76" customWidth="1"/>
    <col min="13614" max="13614" width="9.453125" style="76" customWidth="1"/>
    <col min="13615" max="13615" width="27.08984375" style="76" customWidth="1"/>
    <col min="13616" max="13616" width="16.1796875" style="76" customWidth="1"/>
    <col min="13617" max="13825" width="7.90625" style="76"/>
    <col min="13826" max="13826" width="2.6328125" style="76" customWidth="1"/>
    <col min="13827" max="13827" width="5.90625" style="76" customWidth="1"/>
    <col min="13828" max="13828" width="5.6328125" style="76" customWidth="1"/>
    <col min="13829" max="13832" width="2.6328125" style="76" customWidth="1"/>
    <col min="13833" max="13833" width="8.54296875" style="76" customWidth="1"/>
    <col min="13834" max="13834" width="2.6328125" style="76" customWidth="1"/>
    <col min="13835" max="13835" width="31.453125" style="76" customWidth="1"/>
    <col min="13836" max="13838" width="0" style="76" hidden="1" customWidth="1"/>
    <col min="13839" max="13839" width="24.36328125" style="76" customWidth="1"/>
    <col min="13840" max="13840" width="17.7265625" style="76" customWidth="1"/>
    <col min="13841" max="13841" width="19.81640625" style="76" customWidth="1"/>
    <col min="13842" max="13842" width="20.90625" style="76" customWidth="1"/>
    <col min="13843" max="13843" width="16.1796875" style="76" customWidth="1"/>
    <col min="13844" max="13844" width="16.81640625" style="76" customWidth="1"/>
    <col min="13845" max="13845" width="15.81640625" style="76" customWidth="1"/>
    <col min="13846" max="13846" width="18.453125" style="76" customWidth="1"/>
    <col min="13847" max="13847" width="19.90625" style="76" customWidth="1"/>
    <col min="13848" max="13848" width="23.453125" style="76" customWidth="1"/>
    <col min="13849" max="13849" width="19.90625" style="76" customWidth="1"/>
    <col min="13850" max="13850" width="17.1796875" style="76" customWidth="1"/>
    <col min="13851" max="13852" width="24.90625" style="76" customWidth="1"/>
    <col min="13853" max="13853" width="21.7265625" style="76" customWidth="1"/>
    <col min="13854" max="13854" width="0" style="76" hidden="1" customWidth="1"/>
    <col min="13855" max="13855" width="24.26953125" style="76" customWidth="1"/>
    <col min="13856" max="13856" width="21.26953125" style="76" customWidth="1"/>
    <col min="13857" max="13857" width="23.90625" style="76" customWidth="1"/>
    <col min="13858" max="13858" width="21.6328125" style="76" customWidth="1"/>
    <col min="13859" max="13859" width="15.453125" style="76" customWidth="1"/>
    <col min="13860" max="13863" width="0" style="76" hidden="1" customWidth="1"/>
    <col min="13864" max="13864" width="2.08984375" style="76" customWidth="1"/>
    <col min="13865" max="13865" width="18.453125" style="76" customWidth="1"/>
    <col min="13866" max="13866" width="20.453125" style="76" customWidth="1"/>
    <col min="13867" max="13867" width="22.453125" style="76" customWidth="1"/>
    <col min="13868" max="13868" width="23.90625" style="76" customWidth="1"/>
    <col min="13869" max="13869" width="20.90625" style="76" customWidth="1"/>
    <col min="13870" max="13870" width="9.453125" style="76" customWidth="1"/>
    <col min="13871" max="13871" width="27.08984375" style="76" customWidth="1"/>
    <col min="13872" max="13872" width="16.1796875" style="76" customWidth="1"/>
    <col min="13873" max="14081" width="7.90625" style="76"/>
    <col min="14082" max="14082" width="2.6328125" style="76" customWidth="1"/>
    <col min="14083" max="14083" width="5.90625" style="76" customWidth="1"/>
    <col min="14084" max="14084" width="5.6328125" style="76" customWidth="1"/>
    <col min="14085" max="14088" width="2.6328125" style="76" customWidth="1"/>
    <col min="14089" max="14089" width="8.54296875" style="76" customWidth="1"/>
    <col min="14090" max="14090" width="2.6328125" style="76" customWidth="1"/>
    <col min="14091" max="14091" width="31.453125" style="76" customWidth="1"/>
    <col min="14092" max="14094" width="0" style="76" hidden="1" customWidth="1"/>
    <col min="14095" max="14095" width="24.36328125" style="76" customWidth="1"/>
    <col min="14096" max="14096" width="17.7265625" style="76" customWidth="1"/>
    <col min="14097" max="14097" width="19.81640625" style="76" customWidth="1"/>
    <col min="14098" max="14098" width="20.90625" style="76" customWidth="1"/>
    <col min="14099" max="14099" width="16.1796875" style="76" customWidth="1"/>
    <col min="14100" max="14100" width="16.81640625" style="76" customWidth="1"/>
    <col min="14101" max="14101" width="15.81640625" style="76" customWidth="1"/>
    <col min="14102" max="14102" width="18.453125" style="76" customWidth="1"/>
    <col min="14103" max="14103" width="19.90625" style="76" customWidth="1"/>
    <col min="14104" max="14104" width="23.453125" style="76" customWidth="1"/>
    <col min="14105" max="14105" width="19.90625" style="76" customWidth="1"/>
    <col min="14106" max="14106" width="17.1796875" style="76" customWidth="1"/>
    <col min="14107" max="14108" width="24.90625" style="76" customWidth="1"/>
    <col min="14109" max="14109" width="21.7265625" style="76" customWidth="1"/>
    <col min="14110" max="14110" width="0" style="76" hidden="1" customWidth="1"/>
    <col min="14111" max="14111" width="24.26953125" style="76" customWidth="1"/>
    <col min="14112" max="14112" width="21.26953125" style="76" customWidth="1"/>
    <col min="14113" max="14113" width="23.90625" style="76" customWidth="1"/>
    <col min="14114" max="14114" width="21.6328125" style="76" customWidth="1"/>
    <col min="14115" max="14115" width="15.453125" style="76" customWidth="1"/>
    <col min="14116" max="14119" width="0" style="76" hidden="1" customWidth="1"/>
    <col min="14120" max="14120" width="2.08984375" style="76" customWidth="1"/>
    <col min="14121" max="14121" width="18.453125" style="76" customWidth="1"/>
    <col min="14122" max="14122" width="20.453125" style="76" customWidth="1"/>
    <col min="14123" max="14123" width="22.453125" style="76" customWidth="1"/>
    <col min="14124" max="14124" width="23.90625" style="76" customWidth="1"/>
    <col min="14125" max="14125" width="20.90625" style="76" customWidth="1"/>
    <col min="14126" max="14126" width="9.453125" style="76" customWidth="1"/>
    <col min="14127" max="14127" width="27.08984375" style="76" customWidth="1"/>
    <col min="14128" max="14128" width="16.1796875" style="76" customWidth="1"/>
    <col min="14129" max="14337" width="7.90625" style="76"/>
    <col min="14338" max="14338" width="2.6328125" style="76" customWidth="1"/>
    <col min="14339" max="14339" width="5.90625" style="76" customWidth="1"/>
    <col min="14340" max="14340" width="5.6328125" style="76" customWidth="1"/>
    <col min="14341" max="14344" width="2.6328125" style="76" customWidth="1"/>
    <col min="14345" max="14345" width="8.54296875" style="76" customWidth="1"/>
    <col min="14346" max="14346" width="2.6328125" style="76" customWidth="1"/>
    <col min="14347" max="14347" width="31.453125" style="76" customWidth="1"/>
    <col min="14348" max="14350" width="0" style="76" hidden="1" customWidth="1"/>
    <col min="14351" max="14351" width="24.36328125" style="76" customWidth="1"/>
    <col min="14352" max="14352" width="17.7265625" style="76" customWidth="1"/>
    <col min="14353" max="14353" width="19.81640625" style="76" customWidth="1"/>
    <col min="14354" max="14354" width="20.90625" style="76" customWidth="1"/>
    <col min="14355" max="14355" width="16.1796875" style="76" customWidth="1"/>
    <col min="14356" max="14356" width="16.81640625" style="76" customWidth="1"/>
    <col min="14357" max="14357" width="15.81640625" style="76" customWidth="1"/>
    <col min="14358" max="14358" width="18.453125" style="76" customWidth="1"/>
    <col min="14359" max="14359" width="19.90625" style="76" customWidth="1"/>
    <col min="14360" max="14360" width="23.453125" style="76" customWidth="1"/>
    <col min="14361" max="14361" width="19.90625" style="76" customWidth="1"/>
    <col min="14362" max="14362" width="17.1796875" style="76" customWidth="1"/>
    <col min="14363" max="14364" width="24.90625" style="76" customWidth="1"/>
    <col min="14365" max="14365" width="21.7265625" style="76" customWidth="1"/>
    <col min="14366" max="14366" width="0" style="76" hidden="1" customWidth="1"/>
    <col min="14367" max="14367" width="24.26953125" style="76" customWidth="1"/>
    <col min="14368" max="14368" width="21.26953125" style="76" customWidth="1"/>
    <col min="14369" max="14369" width="23.90625" style="76" customWidth="1"/>
    <col min="14370" max="14370" width="21.6328125" style="76" customWidth="1"/>
    <col min="14371" max="14371" width="15.453125" style="76" customWidth="1"/>
    <col min="14372" max="14375" width="0" style="76" hidden="1" customWidth="1"/>
    <col min="14376" max="14376" width="2.08984375" style="76" customWidth="1"/>
    <col min="14377" max="14377" width="18.453125" style="76" customWidth="1"/>
    <col min="14378" max="14378" width="20.453125" style="76" customWidth="1"/>
    <col min="14379" max="14379" width="22.453125" style="76" customWidth="1"/>
    <col min="14380" max="14380" width="23.90625" style="76" customWidth="1"/>
    <col min="14381" max="14381" width="20.90625" style="76" customWidth="1"/>
    <col min="14382" max="14382" width="9.453125" style="76" customWidth="1"/>
    <col min="14383" max="14383" width="27.08984375" style="76" customWidth="1"/>
    <col min="14384" max="14384" width="16.1796875" style="76" customWidth="1"/>
    <col min="14385" max="14593" width="7.90625" style="76"/>
    <col min="14594" max="14594" width="2.6328125" style="76" customWidth="1"/>
    <col min="14595" max="14595" width="5.90625" style="76" customWidth="1"/>
    <col min="14596" max="14596" width="5.6328125" style="76" customWidth="1"/>
    <col min="14597" max="14600" width="2.6328125" style="76" customWidth="1"/>
    <col min="14601" max="14601" width="8.54296875" style="76" customWidth="1"/>
    <col min="14602" max="14602" width="2.6328125" style="76" customWidth="1"/>
    <col min="14603" max="14603" width="31.453125" style="76" customWidth="1"/>
    <col min="14604" max="14606" width="0" style="76" hidden="1" customWidth="1"/>
    <col min="14607" max="14607" width="24.36328125" style="76" customWidth="1"/>
    <col min="14608" max="14608" width="17.7265625" style="76" customWidth="1"/>
    <col min="14609" max="14609" width="19.81640625" style="76" customWidth="1"/>
    <col min="14610" max="14610" width="20.90625" style="76" customWidth="1"/>
    <col min="14611" max="14611" width="16.1796875" style="76" customWidth="1"/>
    <col min="14612" max="14612" width="16.81640625" style="76" customWidth="1"/>
    <col min="14613" max="14613" width="15.81640625" style="76" customWidth="1"/>
    <col min="14614" max="14614" width="18.453125" style="76" customWidth="1"/>
    <col min="14615" max="14615" width="19.90625" style="76" customWidth="1"/>
    <col min="14616" max="14616" width="23.453125" style="76" customWidth="1"/>
    <col min="14617" max="14617" width="19.90625" style="76" customWidth="1"/>
    <col min="14618" max="14618" width="17.1796875" style="76" customWidth="1"/>
    <col min="14619" max="14620" width="24.90625" style="76" customWidth="1"/>
    <col min="14621" max="14621" width="21.7265625" style="76" customWidth="1"/>
    <col min="14622" max="14622" width="0" style="76" hidden="1" customWidth="1"/>
    <col min="14623" max="14623" width="24.26953125" style="76" customWidth="1"/>
    <col min="14624" max="14624" width="21.26953125" style="76" customWidth="1"/>
    <col min="14625" max="14625" width="23.90625" style="76" customWidth="1"/>
    <col min="14626" max="14626" width="21.6328125" style="76" customWidth="1"/>
    <col min="14627" max="14627" width="15.453125" style="76" customWidth="1"/>
    <col min="14628" max="14631" width="0" style="76" hidden="1" customWidth="1"/>
    <col min="14632" max="14632" width="2.08984375" style="76" customWidth="1"/>
    <col min="14633" max="14633" width="18.453125" style="76" customWidth="1"/>
    <col min="14634" max="14634" width="20.453125" style="76" customWidth="1"/>
    <col min="14635" max="14635" width="22.453125" style="76" customWidth="1"/>
    <col min="14636" max="14636" width="23.90625" style="76" customWidth="1"/>
    <col min="14637" max="14637" width="20.90625" style="76" customWidth="1"/>
    <col min="14638" max="14638" width="9.453125" style="76" customWidth="1"/>
    <col min="14639" max="14639" width="27.08984375" style="76" customWidth="1"/>
    <col min="14640" max="14640" width="16.1796875" style="76" customWidth="1"/>
    <col min="14641" max="14849" width="7.90625" style="76"/>
    <col min="14850" max="14850" width="2.6328125" style="76" customWidth="1"/>
    <col min="14851" max="14851" width="5.90625" style="76" customWidth="1"/>
    <col min="14852" max="14852" width="5.6328125" style="76" customWidth="1"/>
    <col min="14853" max="14856" width="2.6328125" style="76" customWidth="1"/>
    <col min="14857" max="14857" width="8.54296875" style="76" customWidth="1"/>
    <col min="14858" max="14858" width="2.6328125" style="76" customWidth="1"/>
    <col min="14859" max="14859" width="31.453125" style="76" customWidth="1"/>
    <col min="14860" max="14862" width="0" style="76" hidden="1" customWidth="1"/>
    <col min="14863" max="14863" width="24.36328125" style="76" customWidth="1"/>
    <col min="14864" max="14864" width="17.7265625" style="76" customWidth="1"/>
    <col min="14865" max="14865" width="19.81640625" style="76" customWidth="1"/>
    <col min="14866" max="14866" width="20.90625" style="76" customWidth="1"/>
    <col min="14867" max="14867" width="16.1796875" style="76" customWidth="1"/>
    <col min="14868" max="14868" width="16.81640625" style="76" customWidth="1"/>
    <col min="14869" max="14869" width="15.81640625" style="76" customWidth="1"/>
    <col min="14870" max="14870" width="18.453125" style="76" customWidth="1"/>
    <col min="14871" max="14871" width="19.90625" style="76" customWidth="1"/>
    <col min="14872" max="14872" width="23.453125" style="76" customWidth="1"/>
    <col min="14873" max="14873" width="19.90625" style="76" customWidth="1"/>
    <col min="14874" max="14874" width="17.1796875" style="76" customWidth="1"/>
    <col min="14875" max="14876" width="24.90625" style="76" customWidth="1"/>
    <col min="14877" max="14877" width="21.7265625" style="76" customWidth="1"/>
    <col min="14878" max="14878" width="0" style="76" hidden="1" customWidth="1"/>
    <col min="14879" max="14879" width="24.26953125" style="76" customWidth="1"/>
    <col min="14880" max="14880" width="21.26953125" style="76" customWidth="1"/>
    <col min="14881" max="14881" width="23.90625" style="76" customWidth="1"/>
    <col min="14882" max="14882" width="21.6328125" style="76" customWidth="1"/>
    <col min="14883" max="14883" width="15.453125" style="76" customWidth="1"/>
    <col min="14884" max="14887" width="0" style="76" hidden="1" customWidth="1"/>
    <col min="14888" max="14888" width="2.08984375" style="76" customWidth="1"/>
    <col min="14889" max="14889" width="18.453125" style="76" customWidth="1"/>
    <col min="14890" max="14890" width="20.453125" style="76" customWidth="1"/>
    <col min="14891" max="14891" width="22.453125" style="76" customWidth="1"/>
    <col min="14892" max="14892" width="23.90625" style="76" customWidth="1"/>
    <col min="14893" max="14893" width="20.90625" style="76" customWidth="1"/>
    <col min="14894" max="14894" width="9.453125" style="76" customWidth="1"/>
    <col min="14895" max="14895" width="27.08984375" style="76" customWidth="1"/>
    <col min="14896" max="14896" width="16.1796875" style="76" customWidth="1"/>
    <col min="14897" max="15105" width="7.90625" style="76"/>
    <col min="15106" max="15106" width="2.6328125" style="76" customWidth="1"/>
    <col min="15107" max="15107" width="5.90625" style="76" customWidth="1"/>
    <col min="15108" max="15108" width="5.6328125" style="76" customWidth="1"/>
    <col min="15109" max="15112" width="2.6328125" style="76" customWidth="1"/>
    <col min="15113" max="15113" width="8.54296875" style="76" customWidth="1"/>
    <col min="15114" max="15114" width="2.6328125" style="76" customWidth="1"/>
    <col min="15115" max="15115" width="31.453125" style="76" customWidth="1"/>
    <col min="15116" max="15118" width="0" style="76" hidden="1" customWidth="1"/>
    <col min="15119" max="15119" width="24.36328125" style="76" customWidth="1"/>
    <col min="15120" max="15120" width="17.7265625" style="76" customWidth="1"/>
    <col min="15121" max="15121" width="19.81640625" style="76" customWidth="1"/>
    <col min="15122" max="15122" width="20.90625" style="76" customWidth="1"/>
    <col min="15123" max="15123" width="16.1796875" style="76" customWidth="1"/>
    <col min="15124" max="15124" width="16.81640625" style="76" customWidth="1"/>
    <col min="15125" max="15125" width="15.81640625" style="76" customWidth="1"/>
    <col min="15126" max="15126" width="18.453125" style="76" customWidth="1"/>
    <col min="15127" max="15127" width="19.90625" style="76" customWidth="1"/>
    <col min="15128" max="15128" width="23.453125" style="76" customWidth="1"/>
    <col min="15129" max="15129" width="19.90625" style="76" customWidth="1"/>
    <col min="15130" max="15130" width="17.1796875" style="76" customWidth="1"/>
    <col min="15131" max="15132" width="24.90625" style="76" customWidth="1"/>
    <col min="15133" max="15133" width="21.7265625" style="76" customWidth="1"/>
    <col min="15134" max="15134" width="0" style="76" hidden="1" customWidth="1"/>
    <col min="15135" max="15135" width="24.26953125" style="76" customWidth="1"/>
    <col min="15136" max="15136" width="21.26953125" style="76" customWidth="1"/>
    <col min="15137" max="15137" width="23.90625" style="76" customWidth="1"/>
    <col min="15138" max="15138" width="21.6328125" style="76" customWidth="1"/>
    <col min="15139" max="15139" width="15.453125" style="76" customWidth="1"/>
    <col min="15140" max="15143" width="0" style="76" hidden="1" customWidth="1"/>
    <col min="15144" max="15144" width="2.08984375" style="76" customWidth="1"/>
    <col min="15145" max="15145" width="18.453125" style="76" customWidth="1"/>
    <col min="15146" max="15146" width="20.453125" style="76" customWidth="1"/>
    <col min="15147" max="15147" width="22.453125" style="76" customWidth="1"/>
    <col min="15148" max="15148" width="23.90625" style="76" customWidth="1"/>
    <col min="15149" max="15149" width="20.90625" style="76" customWidth="1"/>
    <col min="15150" max="15150" width="9.453125" style="76" customWidth="1"/>
    <col min="15151" max="15151" width="27.08984375" style="76" customWidth="1"/>
    <col min="15152" max="15152" width="16.1796875" style="76" customWidth="1"/>
    <col min="15153" max="15361" width="7.90625" style="76"/>
    <col min="15362" max="15362" width="2.6328125" style="76" customWidth="1"/>
    <col min="15363" max="15363" width="5.90625" style="76" customWidth="1"/>
    <col min="15364" max="15364" width="5.6328125" style="76" customWidth="1"/>
    <col min="15365" max="15368" width="2.6328125" style="76" customWidth="1"/>
    <col min="15369" max="15369" width="8.54296875" style="76" customWidth="1"/>
    <col min="15370" max="15370" width="2.6328125" style="76" customWidth="1"/>
    <col min="15371" max="15371" width="31.453125" style="76" customWidth="1"/>
    <col min="15372" max="15374" width="0" style="76" hidden="1" customWidth="1"/>
    <col min="15375" max="15375" width="24.36328125" style="76" customWidth="1"/>
    <col min="15376" max="15376" width="17.7265625" style="76" customWidth="1"/>
    <col min="15377" max="15377" width="19.81640625" style="76" customWidth="1"/>
    <col min="15378" max="15378" width="20.90625" style="76" customWidth="1"/>
    <col min="15379" max="15379" width="16.1796875" style="76" customWidth="1"/>
    <col min="15380" max="15380" width="16.81640625" style="76" customWidth="1"/>
    <col min="15381" max="15381" width="15.81640625" style="76" customWidth="1"/>
    <col min="15382" max="15382" width="18.453125" style="76" customWidth="1"/>
    <col min="15383" max="15383" width="19.90625" style="76" customWidth="1"/>
    <col min="15384" max="15384" width="23.453125" style="76" customWidth="1"/>
    <col min="15385" max="15385" width="19.90625" style="76" customWidth="1"/>
    <col min="15386" max="15386" width="17.1796875" style="76" customWidth="1"/>
    <col min="15387" max="15388" width="24.90625" style="76" customWidth="1"/>
    <col min="15389" max="15389" width="21.7265625" style="76" customWidth="1"/>
    <col min="15390" max="15390" width="0" style="76" hidden="1" customWidth="1"/>
    <col min="15391" max="15391" width="24.26953125" style="76" customWidth="1"/>
    <col min="15392" max="15392" width="21.26953125" style="76" customWidth="1"/>
    <col min="15393" max="15393" width="23.90625" style="76" customWidth="1"/>
    <col min="15394" max="15394" width="21.6328125" style="76" customWidth="1"/>
    <col min="15395" max="15395" width="15.453125" style="76" customWidth="1"/>
    <col min="15396" max="15399" width="0" style="76" hidden="1" customWidth="1"/>
    <col min="15400" max="15400" width="2.08984375" style="76" customWidth="1"/>
    <col min="15401" max="15401" width="18.453125" style="76" customWidth="1"/>
    <col min="15402" max="15402" width="20.453125" style="76" customWidth="1"/>
    <col min="15403" max="15403" width="22.453125" style="76" customWidth="1"/>
    <col min="15404" max="15404" width="23.90625" style="76" customWidth="1"/>
    <col min="15405" max="15405" width="20.90625" style="76" customWidth="1"/>
    <col min="15406" max="15406" width="9.453125" style="76" customWidth="1"/>
    <col min="15407" max="15407" width="27.08984375" style="76" customWidth="1"/>
    <col min="15408" max="15408" width="16.1796875" style="76" customWidth="1"/>
    <col min="15409" max="15617" width="7.90625" style="76"/>
    <col min="15618" max="15618" width="2.6328125" style="76" customWidth="1"/>
    <col min="15619" max="15619" width="5.90625" style="76" customWidth="1"/>
    <col min="15620" max="15620" width="5.6328125" style="76" customWidth="1"/>
    <col min="15621" max="15624" width="2.6328125" style="76" customWidth="1"/>
    <col min="15625" max="15625" width="8.54296875" style="76" customWidth="1"/>
    <col min="15626" max="15626" width="2.6328125" style="76" customWidth="1"/>
    <col min="15627" max="15627" width="31.453125" style="76" customWidth="1"/>
    <col min="15628" max="15630" width="0" style="76" hidden="1" customWidth="1"/>
    <col min="15631" max="15631" width="24.36328125" style="76" customWidth="1"/>
    <col min="15632" max="15632" width="17.7265625" style="76" customWidth="1"/>
    <col min="15633" max="15633" width="19.81640625" style="76" customWidth="1"/>
    <col min="15634" max="15634" width="20.90625" style="76" customWidth="1"/>
    <col min="15635" max="15635" width="16.1796875" style="76" customWidth="1"/>
    <col min="15636" max="15636" width="16.81640625" style="76" customWidth="1"/>
    <col min="15637" max="15637" width="15.81640625" style="76" customWidth="1"/>
    <col min="15638" max="15638" width="18.453125" style="76" customWidth="1"/>
    <col min="15639" max="15639" width="19.90625" style="76" customWidth="1"/>
    <col min="15640" max="15640" width="23.453125" style="76" customWidth="1"/>
    <col min="15641" max="15641" width="19.90625" style="76" customWidth="1"/>
    <col min="15642" max="15642" width="17.1796875" style="76" customWidth="1"/>
    <col min="15643" max="15644" width="24.90625" style="76" customWidth="1"/>
    <col min="15645" max="15645" width="21.7265625" style="76" customWidth="1"/>
    <col min="15646" max="15646" width="0" style="76" hidden="1" customWidth="1"/>
    <col min="15647" max="15647" width="24.26953125" style="76" customWidth="1"/>
    <col min="15648" max="15648" width="21.26953125" style="76" customWidth="1"/>
    <col min="15649" max="15649" width="23.90625" style="76" customWidth="1"/>
    <col min="15650" max="15650" width="21.6328125" style="76" customWidth="1"/>
    <col min="15651" max="15651" width="15.453125" style="76" customWidth="1"/>
    <col min="15652" max="15655" width="0" style="76" hidden="1" customWidth="1"/>
    <col min="15656" max="15656" width="2.08984375" style="76" customWidth="1"/>
    <col min="15657" max="15657" width="18.453125" style="76" customWidth="1"/>
    <col min="15658" max="15658" width="20.453125" style="76" customWidth="1"/>
    <col min="15659" max="15659" width="22.453125" style="76" customWidth="1"/>
    <col min="15660" max="15660" width="23.90625" style="76" customWidth="1"/>
    <col min="15661" max="15661" width="20.90625" style="76" customWidth="1"/>
    <col min="15662" max="15662" width="9.453125" style="76" customWidth="1"/>
    <col min="15663" max="15663" width="27.08984375" style="76" customWidth="1"/>
    <col min="15664" max="15664" width="16.1796875" style="76" customWidth="1"/>
    <col min="15665" max="15873" width="7.90625" style="76"/>
    <col min="15874" max="15874" width="2.6328125" style="76" customWidth="1"/>
    <col min="15875" max="15875" width="5.90625" style="76" customWidth="1"/>
    <col min="15876" max="15876" width="5.6328125" style="76" customWidth="1"/>
    <col min="15877" max="15880" width="2.6328125" style="76" customWidth="1"/>
    <col min="15881" max="15881" width="8.54296875" style="76" customWidth="1"/>
    <col min="15882" max="15882" width="2.6328125" style="76" customWidth="1"/>
    <col min="15883" max="15883" width="31.453125" style="76" customWidth="1"/>
    <col min="15884" max="15886" width="0" style="76" hidden="1" customWidth="1"/>
    <col min="15887" max="15887" width="24.36328125" style="76" customWidth="1"/>
    <col min="15888" max="15888" width="17.7265625" style="76" customWidth="1"/>
    <col min="15889" max="15889" width="19.81640625" style="76" customWidth="1"/>
    <col min="15890" max="15890" width="20.90625" style="76" customWidth="1"/>
    <col min="15891" max="15891" width="16.1796875" style="76" customWidth="1"/>
    <col min="15892" max="15892" width="16.81640625" style="76" customWidth="1"/>
    <col min="15893" max="15893" width="15.81640625" style="76" customWidth="1"/>
    <col min="15894" max="15894" width="18.453125" style="76" customWidth="1"/>
    <col min="15895" max="15895" width="19.90625" style="76" customWidth="1"/>
    <col min="15896" max="15896" width="23.453125" style="76" customWidth="1"/>
    <col min="15897" max="15897" width="19.90625" style="76" customWidth="1"/>
    <col min="15898" max="15898" width="17.1796875" style="76" customWidth="1"/>
    <col min="15899" max="15900" width="24.90625" style="76" customWidth="1"/>
    <col min="15901" max="15901" width="21.7265625" style="76" customWidth="1"/>
    <col min="15902" max="15902" width="0" style="76" hidden="1" customWidth="1"/>
    <col min="15903" max="15903" width="24.26953125" style="76" customWidth="1"/>
    <col min="15904" max="15904" width="21.26953125" style="76" customWidth="1"/>
    <col min="15905" max="15905" width="23.90625" style="76" customWidth="1"/>
    <col min="15906" max="15906" width="21.6328125" style="76" customWidth="1"/>
    <col min="15907" max="15907" width="15.453125" style="76" customWidth="1"/>
    <col min="15908" max="15911" width="0" style="76" hidden="1" customWidth="1"/>
    <col min="15912" max="15912" width="2.08984375" style="76" customWidth="1"/>
    <col min="15913" max="15913" width="18.453125" style="76" customWidth="1"/>
    <col min="15914" max="15914" width="20.453125" style="76" customWidth="1"/>
    <col min="15915" max="15915" width="22.453125" style="76" customWidth="1"/>
    <col min="15916" max="15916" width="23.90625" style="76" customWidth="1"/>
    <col min="15917" max="15917" width="20.90625" style="76" customWidth="1"/>
    <col min="15918" max="15918" width="9.453125" style="76" customWidth="1"/>
    <col min="15919" max="15919" width="27.08984375" style="76" customWidth="1"/>
    <col min="15920" max="15920" width="16.1796875" style="76" customWidth="1"/>
    <col min="15921" max="16129" width="7.90625" style="76"/>
    <col min="16130" max="16130" width="2.6328125" style="76" customWidth="1"/>
    <col min="16131" max="16131" width="5.90625" style="76" customWidth="1"/>
    <col min="16132" max="16132" width="5.6328125" style="76" customWidth="1"/>
    <col min="16133" max="16136" width="2.6328125" style="76" customWidth="1"/>
    <col min="16137" max="16137" width="8.54296875" style="76" customWidth="1"/>
    <col min="16138" max="16138" width="2.6328125" style="76" customWidth="1"/>
    <col min="16139" max="16139" width="31.453125" style="76" customWidth="1"/>
    <col min="16140" max="16142" width="0" style="76" hidden="1" customWidth="1"/>
    <col min="16143" max="16143" width="24.36328125" style="76" customWidth="1"/>
    <col min="16144" max="16144" width="17.7265625" style="76" customWidth="1"/>
    <col min="16145" max="16145" width="19.81640625" style="76" customWidth="1"/>
    <col min="16146" max="16146" width="20.90625" style="76" customWidth="1"/>
    <col min="16147" max="16147" width="16.1796875" style="76" customWidth="1"/>
    <col min="16148" max="16148" width="16.81640625" style="76" customWidth="1"/>
    <col min="16149" max="16149" width="15.81640625" style="76" customWidth="1"/>
    <col min="16150" max="16150" width="18.453125" style="76" customWidth="1"/>
    <col min="16151" max="16151" width="19.90625" style="76" customWidth="1"/>
    <col min="16152" max="16152" width="23.453125" style="76" customWidth="1"/>
    <col min="16153" max="16153" width="19.90625" style="76" customWidth="1"/>
    <col min="16154" max="16154" width="17.1796875" style="76" customWidth="1"/>
    <col min="16155" max="16156" width="24.90625" style="76" customWidth="1"/>
    <col min="16157" max="16157" width="21.7265625" style="76" customWidth="1"/>
    <col min="16158" max="16158" width="0" style="76" hidden="1" customWidth="1"/>
    <col min="16159" max="16159" width="24.26953125" style="76" customWidth="1"/>
    <col min="16160" max="16160" width="21.26953125" style="76" customWidth="1"/>
    <col min="16161" max="16161" width="23.90625" style="76" customWidth="1"/>
    <col min="16162" max="16162" width="21.6328125" style="76" customWidth="1"/>
    <col min="16163" max="16163" width="15.453125" style="76" customWidth="1"/>
    <col min="16164" max="16167" width="0" style="76" hidden="1" customWidth="1"/>
    <col min="16168" max="16168" width="2.08984375" style="76" customWidth="1"/>
    <col min="16169" max="16169" width="18.453125" style="76" customWidth="1"/>
    <col min="16170" max="16170" width="20.453125" style="76" customWidth="1"/>
    <col min="16171" max="16171" width="22.453125" style="76" customWidth="1"/>
    <col min="16172" max="16172" width="23.90625" style="76" customWidth="1"/>
    <col min="16173" max="16173" width="20.90625" style="76" customWidth="1"/>
    <col min="16174" max="16174" width="9.453125" style="76" customWidth="1"/>
    <col min="16175" max="16175" width="27.08984375" style="76" customWidth="1"/>
    <col min="16176" max="16176" width="16.1796875" style="76" customWidth="1"/>
    <col min="16177" max="16384" width="7.90625" style="76"/>
  </cols>
  <sheetData>
    <row r="1" spans="1:48" ht="18" customHeight="1" x14ac:dyDescent="0.35">
      <c r="A1" s="795" t="s">
        <v>353</v>
      </c>
      <c r="B1" s="795"/>
      <c r="C1" s="795"/>
      <c r="D1" s="795"/>
      <c r="E1" s="795"/>
      <c r="F1" s="795"/>
      <c r="G1" s="795"/>
      <c r="H1" s="795"/>
      <c r="I1" s="795"/>
      <c r="J1" s="795"/>
      <c r="K1" s="795"/>
      <c r="L1" s="795"/>
      <c r="M1" s="795"/>
      <c r="N1" s="795"/>
      <c r="O1" s="795"/>
      <c r="P1" s="795"/>
      <c r="Q1" s="795"/>
      <c r="R1" s="795"/>
      <c r="S1" s="795"/>
      <c r="T1" s="795"/>
      <c r="U1" s="795"/>
      <c r="V1" s="795"/>
      <c r="W1" s="795"/>
      <c r="X1" s="795"/>
      <c r="Y1" s="795"/>
      <c r="Z1" s="795"/>
      <c r="AA1" s="795"/>
      <c r="AB1" s="795"/>
      <c r="AC1" s="744"/>
      <c r="AD1" s="744"/>
      <c r="AF1" s="77"/>
    </row>
    <row r="2" spans="1:48" ht="25.5" customHeight="1" x14ac:dyDescent="0.35">
      <c r="A2" s="796" t="s">
        <v>354</v>
      </c>
      <c r="B2" s="796"/>
      <c r="C2" s="796"/>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44"/>
      <c r="AD2" s="744"/>
      <c r="AE2" s="77"/>
      <c r="AF2" s="77"/>
      <c r="AG2" s="77"/>
      <c r="AH2" s="85"/>
      <c r="AR2" s="82">
        <f>SUM(AR4-AQ4)</f>
        <v>0</v>
      </c>
    </row>
    <row r="3" spans="1:48" ht="36.75" customHeight="1" x14ac:dyDescent="0.4">
      <c r="A3" s="86"/>
      <c r="B3" s="797">
        <v>2540000</v>
      </c>
      <c r="C3" s="797"/>
      <c r="D3" s="797"/>
      <c r="E3" s="797"/>
      <c r="F3" s="797"/>
      <c r="G3" s="797"/>
      <c r="H3" s="797"/>
      <c r="I3" s="797"/>
      <c r="J3" s="87">
        <f>SUM(O107)</f>
        <v>2532800000</v>
      </c>
      <c r="K3" s="86"/>
      <c r="L3" s="86"/>
      <c r="M3" s="86"/>
      <c r="N3" s="86"/>
      <c r="O3" s="88"/>
      <c r="P3" s="89"/>
      <c r="Q3" s="86"/>
      <c r="R3" s="86"/>
      <c r="S3" s="86"/>
      <c r="T3" s="86"/>
      <c r="U3" s="86"/>
      <c r="V3" s="86"/>
      <c r="W3" s="86"/>
      <c r="X3" s="86"/>
      <c r="Y3" s="90"/>
      <c r="Z3" s="86"/>
      <c r="AA3" s="86"/>
      <c r="AB3" s="86"/>
      <c r="AC3" s="91"/>
      <c r="AD3" s="91"/>
      <c r="AG3" s="76" t="s">
        <v>355</v>
      </c>
      <c r="AN3" s="92"/>
    </row>
    <row r="4" spans="1:48" ht="27.75" customHeight="1" x14ac:dyDescent="0.4">
      <c r="A4" s="93" t="s">
        <v>356</v>
      </c>
      <c r="B4" s="671" t="s">
        <v>356</v>
      </c>
      <c r="C4" s="671" t="s">
        <v>356</v>
      </c>
      <c r="D4" s="671" t="s">
        <v>356</v>
      </c>
      <c r="E4" s="671" t="s">
        <v>356</v>
      </c>
      <c r="F4" s="671" t="s">
        <v>356</v>
      </c>
      <c r="G4" s="671" t="s">
        <v>356</v>
      </c>
      <c r="H4" s="671" t="s">
        <v>356</v>
      </c>
      <c r="I4" s="671" t="s">
        <v>356</v>
      </c>
      <c r="J4" s="564">
        <f>SUM(O12-O107)</f>
        <v>-2532800000</v>
      </c>
      <c r="K4" s="798" t="s">
        <v>357</v>
      </c>
      <c r="L4" s="798" t="s">
        <v>358</v>
      </c>
      <c r="M4" s="798" t="s">
        <v>359</v>
      </c>
      <c r="N4" s="565"/>
      <c r="O4" s="566"/>
      <c r="P4" s="563" t="s">
        <v>356</v>
      </c>
      <c r="Q4" s="563" t="s">
        <v>356</v>
      </c>
      <c r="R4" s="567" t="s">
        <v>360</v>
      </c>
      <c r="S4" s="95"/>
      <c r="T4" s="95"/>
      <c r="U4" s="95"/>
      <c r="V4" s="95"/>
      <c r="W4" s="94"/>
      <c r="X4" s="94"/>
      <c r="Y4" s="96"/>
      <c r="Z4" s="97"/>
      <c r="AA4" s="572"/>
      <c r="AB4" s="800" t="s">
        <v>361</v>
      </c>
      <c r="AC4" s="801"/>
      <c r="AD4" s="801"/>
      <c r="AE4" s="801"/>
      <c r="AF4" s="801"/>
      <c r="AG4" s="573"/>
      <c r="AH4" s="574"/>
      <c r="AI4" s="104"/>
      <c r="AJ4" s="575"/>
      <c r="AK4" s="576"/>
      <c r="AL4" s="575"/>
      <c r="AM4" s="777" t="s">
        <v>362</v>
      </c>
      <c r="AP4" s="77" t="e">
        <f>#REF!+#REF!</f>
        <v>#REF!</v>
      </c>
      <c r="AQ4" s="98">
        <f>SUM(AQ7:AQ112)</f>
        <v>61959000</v>
      </c>
      <c r="AR4" s="98">
        <f>SUM(AR7:AR112)</f>
        <v>61959000</v>
      </c>
      <c r="AS4" s="99">
        <f>SUM(AR4-AQ4)</f>
        <v>0</v>
      </c>
      <c r="AT4" s="100"/>
      <c r="AU4" s="100" t="s">
        <v>363</v>
      </c>
    </row>
    <row r="5" spans="1:48" ht="102.75" customHeight="1" x14ac:dyDescent="0.35">
      <c r="A5" s="101" t="s">
        <v>364</v>
      </c>
      <c r="B5" s="672" t="s">
        <v>365</v>
      </c>
      <c r="C5" s="672" t="s">
        <v>366</v>
      </c>
      <c r="D5" s="672" t="s">
        <v>367</v>
      </c>
      <c r="E5" s="672" t="s">
        <v>368</v>
      </c>
      <c r="F5" s="672" t="s">
        <v>369</v>
      </c>
      <c r="G5" s="672" t="s">
        <v>370</v>
      </c>
      <c r="H5" s="672" t="s">
        <v>371</v>
      </c>
      <c r="I5" s="672" t="s">
        <v>372</v>
      </c>
      <c r="J5" s="745" t="s">
        <v>373</v>
      </c>
      <c r="K5" s="799"/>
      <c r="L5" s="799"/>
      <c r="M5" s="799"/>
      <c r="N5" s="745" t="s">
        <v>374</v>
      </c>
      <c r="O5" s="745" t="s">
        <v>375</v>
      </c>
      <c r="P5" s="745" t="s">
        <v>376</v>
      </c>
      <c r="Q5" s="568" t="s">
        <v>377</v>
      </c>
      <c r="R5" s="745" t="s">
        <v>378</v>
      </c>
      <c r="S5" s="569" t="s">
        <v>379</v>
      </c>
      <c r="T5" s="569" t="s">
        <v>380</v>
      </c>
      <c r="U5" s="569" t="s">
        <v>381</v>
      </c>
      <c r="V5" s="569" t="s">
        <v>382</v>
      </c>
      <c r="W5" s="745" t="s">
        <v>383</v>
      </c>
      <c r="X5" s="745" t="s">
        <v>384</v>
      </c>
      <c r="Y5" s="570" t="s">
        <v>385</v>
      </c>
      <c r="Z5" s="571" t="s">
        <v>386</v>
      </c>
      <c r="AA5" s="745" t="s">
        <v>387</v>
      </c>
      <c r="AB5" s="577" t="s">
        <v>388</v>
      </c>
      <c r="AC5" s="578" t="s">
        <v>389</v>
      </c>
      <c r="AD5" s="578" t="s">
        <v>390</v>
      </c>
      <c r="AE5" s="579" t="s">
        <v>391</v>
      </c>
      <c r="AF5" s="579" t="s">
        <v>392</v>
      </c>
      <c r="AG5" s="579" t="s">
        <v>393</v>
      </c>
      <c r="AH5" s="580" t="s">
        <v>394</v>
      </c>
      <c r="AI5" s="581" t="s">
        <v>395</v>
      </c>
      <c r="AJ5" s="582" t="s">
        <v>396</v>
      </c>
      <c r="AK5" s="576" t="s">
        <v>397</v>
      </c>
      <c r="AL5" s="104" t="s">
        <v>398</v>
      </c>
      <c r="AM5" s="778"/>
      <c r="AN5" s="105"/>
      <c r="AO5" s="583" t="s">
        <v>399</v>
      </c>
      <c r="AP5" s="583" t="s">
        <v>400</v>
      </c>
      <c r="AQ5" s="779" t="s">
        <v>401</v>
      </c>
      <c r="AR5" s="779"/>
    </row>
    <row r="6" spans="1:48" s="128" customFormat="1" ht="19.5" customHeight="1" x14ac:dyDescent="0.35">
      <c r="A6" s="106"/>
      <c r="B6" s="673"/>
      <c r="C6" s="673"/>
      <c r="D6" s="673"/>
      <c r="E6" s="673"/>
      <c r="F6" s="674"/>
      <c r="G6" s="674"/>
      <c r="H6" s="674"/>
      <c r="I6" s="674"/>
      <c r="J6" s="108"/>
      <c r="K6" s="107"/>
      <c r="L6" s="107"/>
      <c r="M6" s="107"/>
      <c r="N6" s="109"/>
      <c r="O6" s="108"/>
      <c r="P6" s="108"/>
      <c r="Q6" s="110"/>
      <c r="R6" s="108"/>
      <c r="S6" s="111"/>
      <c r="T6" s="111"/>
      <c r="U6" s="111"/>
      <c r="V6" s="111"/>
      <c r="W6" s="108"/>
      <c r="X6" s="108"/>
      <c r="Y6" s="112"/>
      <c r="Z6" s="113"/>
      <c r="AA6" s="108"/>
      <c r="AB6" s="114"/>
      <c r="AC6" s="115"/>
      <c r="AD6" s="115"/>
      <c r="AE6" s="116"/>
      <c r="AF6" s="116"/>
      <c r="AG6" s="116"/>
      <c r="AH6" s="117"/>
      <c r="AI6" s="118"/>
      <c r="AJ6" s="119"/>
      <c r="AK6" s="120"/>
      <c r="AL6" s="121"/>
      <c r="AM6" s="122"/>
      <c r="AN6" s="123"/>
      <c r="AO6" s="124"/>
      <c r="AP6" s="124"/>
      <c r="AQ6" s="125"/>
      <c r="AR6" s="126"/>
      <c r="AS6" s="127"/>
      <c r="AV6" s="129"/>
    </row>
    <row r="7" spans="1:48" s="146" customFormat="1" ht="37.5" customHeight="1" x14ac:dyDescent="0.35">
      <c r="A7" s="130" t="s">
        <v>33</v>
      </c>
      <c r="B7" s="131" t="s">
        <v>402</v>
      </c>
      <c r="C7" s="131" t="s">
        <v>403</v>
      </c>
      <c r="D7" s="131"/>
      <c r="E7" s="131"/>
      <c r="F7" s="132"/>
      <c r="G7" s="132"/>
      <c r="H7" s="132"/>
      <c r="I7" s="132"/>
      <c r="J7" s="584" t="s">
        <v>404</v>
      </c>
      <c r="K7" s="133"/>
      <c r="L7" s="133">
        <v>21561938</v>
      </c>
      <c r="M7" s="133"/>
      <c r="N7" s="134">
        <f>SUM(N8)</f>
        <v>39000000</v>
      </c>
      <c r="O7" s="134">
        <f>SUM(O8)</f>
        <v>39000000</v>
      </c>
      <c r="P7" s="134">
        <f t="shared" ref="P7:AH7" si="0">SUM(P8)</f>
        <v>0</v>
      </c>
      <c r="Q7" s="134">
        <f t="shared" si="0"/>
        <v>0</v>
      </c>
      <c r="R7" s="134">
        <f t="shared" si="0"/>
        <v>39000000</v>
      </c>
      <c r="S7" s="134">
        <f t="shared" si="0"/>
        <v>0</v>
      </c>
      <c r="T7" s="134">
        <f t="shared" si="0"/>
        <v>0</v>
      </c>
      <c r="U7" s="134">
        <f t="shared" si="0"/>
        <v>0</v>
      </c>
      <c r="V7" s="134">
        <f t="shared" si="0"/>
        <v>0</v>
      </c>
      <c r="W7" s="134">
        <f t="shared" si="0"/>
        <v>39641000</v>
      </c>
      <c r="X7" s="134">
        <f t="shared" si="0"/>
        <v>0</v>
      </c>
      <c r="Y7" s="134">
        <f t="shared" si="0"/>
        <v>0</v>
      </c>
      <c r="Z7" s="134">
        <f t="shared" si="0"/>
        <v>0</v>
      </c>
      <c r="AA7" s="134">
        <f t="shared" si="0"/>
        <v>-641000</v>
      </c>
      <c r="AB7" s="134">
        <f t="shared" si="0"/>
        <v>0</v>
      </c>
      <c r="AC7" s="134">
        <f t="shared" si="0"/>
        <v>0</v>
      </c>
      <c r="AD7" s="134">
        <f t="shared" si="0"/>
        <v>0</v>
      </c>
      <c r="AE7" s="134">
        <f t="shared" si="0"/>
        <v>-641000</v>
      </c>
      <c r="AF7" s="134">
        <f t="shared" si="0"/>
        <v>0</v>
      </c>
      <c r="AG7" s="134">
        <f t="shared" si="0"/>
        <v>-641000</v>
      </c>
      <c r="AH7" s="134">
        <f t="shared" si="0"/>
        <v>39641000</v>
      </c>
      <c r="AI7" s="135" t="s">
        <v>76</v>
      </c>
      <c r="AJ7" s="136"/>
      <c r="AK7" s="137"/>
      <c r="AL7" s="138" t="e">
        <f>SUM(AE7-AF7-#REF!-#REF!)</f>
        <v>#REF!</v>
      </c>
      <c r="AM7" s="139">
        <f>SUM(AH7-AO7)/(AH7)</f>
        <v>1</v>
      </c>
      <c r="AN7" s="140"/>
      <c r="AO7" s="141"/>
      <c r="AP7" s="142"/>
      <c r="AQ7" s="143"/>
      <c r="AR7" s="144"/>
      <c r="AS7" s="145"/>
      <c r="AV7" s="147"/>
    </row>
    <row r="8" spans="1:48" s="159" customFormat="1" ht="93" customHeight="1" x14ac:dyDescent="0.35">
      <c r="A8" s="148"/>
      <c r="B8" s="598" t="s">
        <v>402</v>
      </c>
      <c r="C8" s="598" t="s">
        <v>403</v>
      </c>
      <c r="D8" s="598" t="s">
        <v>405</v>
      </c>
      <c r="E8" s="598"/>
      <c r="F8" s="599"/>
      <c r="G8" s="599"/>
      <c r="H8" s="599"/>
      <c r="I8" s="599"/>
      <c r="J8" s="585" t="s">
        <v>406</v>
      </c>
      <c r="K8" s="149"/>
      <c r="L8" s="149"/>
      <c r="M8" s="149"/>
      <c r="N8" s="150">
        <f>SUM(N9+N10)</f>
        <v>39000000</v>
      </c>
      <c r="O8" s="151">
        <f>SUM(O9:O10)</f>
        <v>39000000</v>
      </c>
      <c r="P8" s="151">
        <f>SUM(P9:P10)</f>
        <v>0</v>
      </c>
      <c r="Q8" s="151">
        <f t="shared" ref="Q8:AH8" si="1">SUM(Q9:Q10)</f>
        <v>0</v>
      </c>
      <c r="R8" s="151">
        <f t="shared" si="1"/>
        <v>39000000</v>
      </c>
      <c r="S8" s="151">
        <f t="shared" si="1"/>
        <v>0</v>
      </c>
      <c r="T8" s="151">
        <f t="shared" si="1"/>
        <v>0</v>
      </c>
      <c r="U8" s="151">
        <f t="shared" si="1"/>
        <v>0</v>
      </c>
      <c r="V8" s="151">
        <f t="shared" si="1"/>
        <v>0</v>
      </c>
      <c r="W8" s="151">
        <f t="shared" si="1"/>
        <v>39641000</v>
      </c>
      <c r="X8" s="151">
        <f t="shared" si="1"/>
        <v>0</v>
      </c>
      <c r="Y8" s="151">
        <f t="shared" si="1"/>
        <v>0</v>
      </c>
      <c r="Z8" s="151">
        <f t="shared" si="1"/>
        <v>0</v>
      </c>
      <c r="AA8" s="151">
        <f t="shared" si="1"/>
        <v>-641000</v>
      </c>
      <c r="AB8" s="151">
        <f t="shared" si="1"/>
        <v>0</v>
      </c>
      <c r="AC8" s="151">
        <f t="shared" si="1"/>
        <v>0</v>
      </c>
      <c r="AD8" s="151">
        <f t="shared" si="1"/>
        <v>0</v>
      </c>
      <c r="AE8" s="151">
        <f t="shared" si="1"/>
        <v>-641000</v>
      </c>
      <c r="AF8" s="151">
        <f t="shared" si="1"/>
        <v>0</v>
      </c>
      <c r="AG8" s="151">
        <f t="shared" si="1"/>
        <v>-641000</v>
      </c>
      <c r="AH8" s="151">
        <f t="shared" si="1"/>
        <v>39641000</v>
      </c>
      <c r="AI8" s="152"/>
      <c r="AJ8" s="153"/>
      <c r="AK8" s="154"/>
      <c r="AL8" s="155"/>
      <c r="AM8" s="156"/>
      <c r="AN8" s="640"/>
      <c r="AO8" s="693" t="s">
        <v>1191</v>
      </c>
      <c r="AP8" s="621" t="s">
        <v>917</v>
      </c>
      <c r="AQ8" s="666">
        <v>30000000</v>
      </c>
      <c r="AR8" s="641"/>
      <c r="AS8" s="83"/>
      <c r="AV8" s="84"/>
    </row>
    <row r="9" spans="1:48" s="159" customFormat="1" ht="40.5" customHeight="1" x14ac:dyDescent="0.35">
      <c r="A9" s="148" t="s">
        <v>33</v>
      </c>
      <c r="B9" s="600" t="s">
        <v>402</v>
      </c>
      <c r="C9" s="600" t="s">
        <v>403</v>
      </c>
      <c r="D9" s="600" t="s">
        <v>405</v>
      </c>
      <c r="E9" s="600" t="s">
        <v>407</v>
      </c>
      <c r="F9" s="601"/>
      <c r="G9" s="601"/>
      <c r="H9" s="601"/>
      <c r="I9" s="601"/>
      <c r="J9" s="586" t="s">
        <v>408</v>
      </c>
      <c r="K9" s="642"/>
      <c r="L9" s="642"/>
      <c r="M9" s="642"/>
      <c r="N9" s="160">
        <f>SUM(O9)</f>
        <v>38000000</v>
      </c>
      <c r="O9" s="161">
        <v>38000000</v>
      </c>
      <c r="P9" s="161"/>
      <c r="Q9" s="161"/>
      <c r="R9" s="162">
        <f>SUM(O9+P9-Q9)</f>
        <v>38000000</v>
      </c>
      <c r="S9" s="161"/>
      <c r="T9" s="163"/>
      <c r="U9" s="161"/>
      <c r="V9" s="161"/>
      <c r="W9" s="161">
        <v>38141000</v>
      </c>
      <c r="X9" s="161"/>
      <c r="Y9" s="164"/>
      <c r="Z9" s="165"/>
      <c r="AA9" s="166">
        <f>SUM(R9-S9-U9-W9-X9-Y9-Z9)</f>
        <v>-141000</v>
      </c>
      <c r="AB9" s="167"/>
      <c r="AC9" s="167"/>
      <c r="AD9" s="166"/>
      <c r="AE9" s="165">
        <f>SUM(AA9-AC9)</f>
        <v>-141000</v>
      </c>
      <c r="AF9" s="165"/>
      <c r="AG9" s="615">
        <f>SUM(AE9-AF9)</f>
        <v>-141000</v>
      </c>
      <c r="AH9" s="168">
        <f>SUM(S9+U9+W9+Z9+X9+AC9)</f>
        <v>38141000</v>
      </c>
      <c r="AI9" s="152" t="s">
        <v>76</v>
      </c>
      <c r="AJ9" s="153"/>
      <c r="AK9" s="154"/>
      <c r="AL9" s="155" t="e">
        <f>SUM(AE9-AF9-#REF!-#REF!)</f>
        <v>#REF!</v>
      </c>
      <c r="AM9" s="156">
        <f>SUM(AH9-AO9)/(AH9)</f>
        <v>1</v>
      </c>
      <c r="AN9" s="169"/>
      <c r="AO9" s="157"/>
      <c r="AP9" s="616" t="s">
        <v>538</v>
      </c>
      <c r="AQ9" s="666">
        <v>141000</v>
      </c>
      <c r="AR9" s="641"/>
      <c r="AS9" s="83"/>
      <c r="AV9" s="84"/>
    </row>
    <row r="10" spans="1:48" s="159" customFormat="1" ht="50.25" customHeight="1" x14ac:dyDescent="0.35">
      <c r="A10" s="148"/>
      <c r="B10" s="600" t="s">
        <v>402</v>
      </c>
      <c r="C10" s="600" t="s">
        <v>403</v>
      </c>
      <c r="D10" s="600" t="s">
        <v>405</v>
      </c>
      <c r="E10" s="600" t="s">
        <v>409</v>
      </c>
      <c r="F10" s="601"/>
      <c r="G10" s="601"/>
      <c r="H10" s="601"/>
      <c r="I10" s="601"/>
      <c r="J10" s="586" t="s">
        <v>410</v>
      </c>
      <c r="K10" s="642"/>
      <c r="L10" s="642"/>
      <c r="M10" s="642"/>
      <c r="N10" s="160">
        <f>SUM(O10)</f>
        <v>1000000</v>
      </c>
      <c r="O10" s="161">
        <v>1000000</v>
      </c>
      <c r="P10" s="161"/>
      <c r="Q10" s="161"/>
      <c r="R10" s="162">
        <f>SUM(O10+P10-Q10)</f>
        <v>1000000</v>
      </c>
      <c r="S10" s="161"/>
      <c r="T10" s="163"/>
      <c r="U10" s="161"/>
      <c r="V10" s="161"/>
      <c r="W10" s="161">
        <v>1500000</v>
      </c>
      <c r="X10" s="161"/>
      <c r="Y10" s="164"/>
      <c r="Z10" s="165"/>
      <c r="AA10" s="166">
        <f>SUM(R10-S10-U10-W10-X10-Y10-Z10)</f>
        <v>-500000</v>
      </c>
      <c r="AB10" s="167"/>
      <c r="AC10" s="167"/>
      <c r="AD10" s="166"/>
      <c r="AE10" s="165">
        <f>SUM(AA10-AC10)</f>
        <v>-500000</v>
      </c>
      <c r="AF10" s="165"/>
      <c r="AG10" s="737">
        <f>SUM(AE10-AF10)</f>
        <v>-500000</v>
      </c>
      <c r="AH10" s="168">
        <f>SUM(S10+U10+W10+Z10+X10+AC10)</f>
        <v>1500000</v>
      </c>
      <c r="AI10" s="152" t="s">
        <v>76</v>
      </c>
      <c r="AJ10" s="153"/>
      <c r="AK10" s="154"/>
      <c r="AL10" s="155" t="e">
        <f>SUM(AE10-AF10-#REF!-#REF!)</f>
        <v>#REF!</v>
      </c>
      <c r="AM10" s="156">
        <f>SUM(AH10-AO10)/(AH10)</f>
        <v>1</v>
      </c>
      <c r="AN10" s="169"/>
      <c r="AO10" s="157"/>
      <c r="AP10" s="616" t="s">
        <v>539</v>
      </c>
      <c r="AQ10" s="666">
        <v>500000</v>
      </c>
      <c r="AR10" s="736"/>
      <c r="AS10" s="83"/>
      <c r="AV10" s="84"/>
    </row>
    <row r="11" spans="1:48" s="78" customFormat="1" ht="44.25" customHeight="1" x14ac:dyDescent="0.35">
      <c r="A11" s="170" t="s">
        <v>33</v>
      </c>
      <c r="B11" s="602"/>
      <c r="C11" s="602"/>
      <c r="D11" s="602"/>
      <c r="E11" s="602"/>
      <c r="F11" s="602"/>
      <c r="G11" s="602"/>
      <c r="H11" s="602"/>
      <c r="I11" s="602"/>
      <c r="J11" s="584"/>
      <c r="K11" s="171"/>
      <c r="L11" s="171"/>
      <c r="M11" s="171"/>
      <c r="N11" s="171"/>
      <c r="O11" s="172"/>
      <c r="P11" s="172"/>
      <c r="Q11" s="172"/>
      <c r="R11" s="172"/>
      <c r="S11" s="172"/>
      <c r="T11" s="172"/>
      <c r="U11" s="172"/>
      <c r="V11" s="172"/>
      <c r="W11" s="172"/>
      <c r="X11" s="173"/>
      <c r="Y11" s="174"/>
      <c r="Z11" s="174"/>
      <c r="AA11" s="175"/>
      <c r="AB11" s="176"/>
      <c r="AC11" s="176"/>
      <c r="AD11" s="176">
        <f t="shared" ref="AD11:AD15" si="2">SUM(AB11-AC11)</f>
        <v>0</v>
      </c>
      <c r="AE11" s="177">
        <f>SUM(AE7:AE9)</f>
        <v>-1423000</v>
      </c>
      <c r="AF11" s="177"/>
      <c r="AG11" s="177">
        <f>SUM(AG7:AG9)</f>
        <v>-1423000</v>
      </c>
      <c r="AH11" s="136"/>
      <c r="AI11" s="135" t="s">
        <v>76</v>
      </c>
      <c r="AJ11" s="178"/>
      <c r="AK11" s="179"/>
      <c r="AL11" s="180" t="e">
        <f>SUM(AE11-AF11-#REF!+#REF!)</f>
        <v>#REF!</v>
      </c>
      <c r="AM11" s="181" t="e">
        <f>SUM(R11-(AE11+Y11))/R11</f>
        <v>#DIV/0!</v>
      </c>
      <c r="AN11" s="182"/>
      <c r="AO11" s="183"/>
      <c r="AP11" s="184"/>
      <c r="AQ11" s="185"/>
      <c r="AR11" s="185"/>
      <c r="AS11" s="127"/>
      <c r="AV11" s="129"/>
    </row>
    <row r="12" spans="1:48" s="159" customFormat="1" ht="26.25" x14ac:dyDescent="0.35">
      <c r="A12" s="148" t="s">
        <v>33</v>
      </c>
      <c r="B12" s="601">
        <v>2</v>
      </c>
      <c r="C12" s="601">
        <v>0</v>
      </c>
      <c r="D12" s="601">
        <v>4</v>
      </c>
      <c r="E12" s="601"/>
      <c r="F12" s="601"/>
      <c r="G12" s="601"/>
      <c r="H12" s="601"/>
      <c r="I12" s="601"/>
      <c r="J12" s="587" t="s">
        <v>411</v>
      </c>
      <c r="K12" s="187"/>
      <c r="L12" s="187"/>
      <c r="M12" s="187"/>
      <c r="N12" s="187"/>
      <c r="O12" s="188"/>
      <c r="P12" s="162"/>
      <c r="Q12" s="162"/>
      <c r="R12" s="162"/>
      <c r="S12" s="161"/>
      <c r="T12" s="163"/>
      <c r="U12" s="161"/>
      <c r="V12" s="161"/>
      <c r="W12" s="161"/>
      <c r="X12" s="161"/>
      <c r="Y12" s="164"/>
      <c r="Z12" s="165"/>
      <c r="AA12" s="166"/>
      <c r="AB12" s="166"/>
      <c r="AC12" s="166"/>
      <c r="AD12" s="166">
        <f t="shared" si="2"/>
        <v>0</v>
      </c>
      <c r="AE12" s="165"/>
      <c r="AF12" s="165"/>
      <c r="AG12" s="165"/>
      <c r="AH12" s="189"/>
      <c r="AI12" s="190"/>
      <c r="AJ12" s="191"/>
      <c r="AK12" s="192"/>
      <c r="AL12" s="193" t="e">
        <f>SUM(AE12-AF12-#REF!+#REF!)</f>
        <v>#REF!</v>
      </c>
      <c r="AM12" s="194"/>
      <c r="AN12" s="195"/>
      <c r="AO12" s="196"/>
      <c r="AP12" s="197"/>
      <c r="AQ12" s="158"/>
      <c r="AR12" s="158"/>
      <c r="AS12" s="83"/>
      <c r="AV12" s="84"/>
    </row>
    <row r="13" spans="1:48" ht="8.25" customHeight="1" x14ac:dyDescent="0.35">
      <c r="A13" s="198"/>
      <c r="B13" s="675"/>
      <c r="C13" s="675"/>
      <c r="D13" s="675"/>
      <c r="E13" s="675"/>
      <c r="F13" s="675"/>
      <c r="G13" s="675"/>
      <c r="H13" s="675"/>
      <c r="I13" s="675"/>
      <c r="J13" s="588"/>
      <c r="K13" s="199"/>
      <c r="L13" s="199"/>
      <c r="M13" s="200"/>
      <c r="N13" s="201"/>
      <c r="O13" s="202"/>
      <c r="P13" s="202"/>
      <c r="Q13" s="202"/>
      <c r="R13" s="203"/>
      <c r="S13" s="203"/>
      <c r="T13" s="203"/>
      <c r="U13" s="203"/>
      <c r="V13" s="203"/>
      <c r="W13" s="203"/>
      <c r="X13" s="203"/>
      <c r="Y13" s="203"/>
      <c r="Z13" s="204"/>
      <c r="AA13" s="204"/>
      <c r="AB13" s="204"/>
      <c r="AC13" s="204"/>
      <c r="AD13" s="204"/>
      <c r="AE13" s="204"/>
      <c r="AF13" s="204"/>
      <c r="AG13" s="204"/>
      <c r="AH13" s="205"/>
      <c r="AI13" s="206"/>
      <c r="AJ13" s="207"/>
      <c r="AK13" s="207"/>
      <c r="AL13" s="208"/>
      <c r="AM13" s="206"/>
      <c r="AN13" s="209"/>
      <c r="AO13" s="183"/>
      <c r="AP13" s="210"/>
      <c r="AQ13" s="185"/>
      <c r="AR13" s="185"/>
    </row>
    <row r="14" spans="1:48" ht="8.25" customHeight="1" x14ac:dyDescent="0.35">
      <c r="A14" s="198"/>
      <c r="B14" s="676"/>
      <c r="C14" s="676"/>
      <c r="D14" s="676"/>
      <c r="E14" s="676"/>
      <c r="F14" s="676"/>
      <c r="G14" s="676"/>
      <c r="H14" s="676"/>
      <c r="I14" s="676"/>
      <c r="J14" s="589"/>
      <c r="K14" s="211"/>
      <c r="L14" s="211"/>
      <c r="M14" s="212"/>
      <c r="N14" s="213"/>
      <c r="O14" s="214"/>
      <c r="P14" s="214"/>
      <c r="Q14" s="214"/>
      <c r="R14" s="215"/>
      <c r="S14" s="215"/>
      <c r="T14" s="215"/>
      <c r="U14" s="215"/>
      <c r="V14" s="215"/>
      <c r="W14" s="215"/>
      <c r="X14" s="215"/>
      <c r="Y14" s="215"/>
      <c r="Z14" s="216"/>
      <c r="AA14" s="216"/>
      <c r="AB14" s="216"/>
      <c r="AC14" s="216"/>
      <c r="AD14" s="216"/>
      <c r="AE14" s="216"/>
      <c r="AF14" s="216"/>
      <c r="AG14" s="216"/>
      <c r="AH14" s="205"/>
      <c r="AI14" s="217"/>
      <c r="AJ14" s="215"/>
      <c r="AK14" s="215"/>
      <c r="AL14" s="218"/>
      <c r="AM14" s="217"/>
      <c r="AN14" s="209"/>
      <c r="AO14" s="183"/>
      <c r="AP14" s="210"/>
      <c r="AQ14" s="185"/>
      <c r="AR14" s="185"/>
    </row>
    <row r="15" spans="1:48" s="233" customFormat="1" ht="99" customHeight="1" x14ac:dyDescent="0.5">
      <c r="A15" s="219" t="s">
        <v>33</v>
      </c>
      <c r="B15" s="220" t="s">
        <v>405</v>
      </c>
      <c r="C15" s="220"/>
      <c r="D15" s="220"/>
      <c r="E15" s="220"/>
      <c r="F15" s="220"/>
      <c r="G15" s="220"/>
      <c r="H15" s="220"/>
      <c r="I15" s="220"/>
      <c r="J15" s="221" t="s">
        <v>412</v>
      </c>
      <c r="K15" s="222" t="s">
        <v>412</v>
      </c>
      <c r="L15" s="134">
        <v>100121585</v>
      </c>
      <c r="M15" s="134">
        <v>22000000</v>
      </c>
      <c r="N15" s="134">
        <f>SUM(N16+N41)</f>
        <v>2540000000</v>
      </c>
      <c r="O15" s="134">
        <f>SUM(O16+O41)</f>
        <v>2532800000</v>
      </c>
      <c r="P15" s="134">
        <f t="shared" ref="P15:R15" si="3">SUM(P16+P41)</f>
        <v>127940227</v>
      </c>
      <c r="Q15" s="134">
        <f t="shared" si="3"/>
        <v>151381227</v>
      </c>
      <c r="R15" s="134">
        <f t="shared" si="3"/>
        <v>2509359000</v>
      </c>
      <c r="S15" s="134">
        <f>SUM(S16+S41)</f>
        <v>10500000</v>
      </c>
      <c r="T15" s="134">
        <f t="shared" ref="T15:V15" si="4">SUM(T16+T41)</f>
        <v>48617050</v>
      </c>
      <c r="U15" s="134">
        <f t="shared" si="4"/>
        <v>5272759.5</v>
      </c>
      <c r="V15" s="134">
        <f t="shared" si="4"/>
        <v>43344290.5</v>
      </c>
      <c r="W15" s="134">
        <f>SUM(W16+W41)</f>
        <v>268300000</v>
      </c>
      <c r="X15" s="134">
        <f t="shared" ref="X15:AC15" si="5">SUM(X16+X41)</f>
        <v>919826268.64999998</v>
      </c>
      <c r="Y15" s="134">
        <f t="shared" si="5"/>
        <v>43344290.5</v>
      </c>
      <c r="Z15" s="134">
        <f t="shared" si="5"/>
        <v>83682227</v>
      </c>
      <c r="AA15" s="134">
        <f t="shared" si="5"/>
        <v>1178433454.3499999</v>
      </c>
      <c r="AB15" s="134">
        <f t="shared" si="5"/>
        <v>1139779341.46</v>
      </c>
      <c r="AC15" s="134">
        <f t="shared" si="5"/>
        <v>130127705</v>
      </c>
      <c r="AD15" s="134">
        <f t="shared" si="2"/>
        <v>1009651636.46</v>
      </c>
      <c r="AE15" s="223">
        <f t="shared" ref="AE15:AG15" si="6">SUM(AE16+AE41)</f>
        <v>1048305749.3499999</v>
      </c>
      <c r="AF15" s="223">
        <f t="shared" si="6"/>
        <v>1000039341.46</v>
      </c>
      <c r="AG15" s="223">
        <f t="shared" si="6"/>
        <v>48266407.890000001</v>
      </c>
      <c r="AH15" s="223">
        <f>SUM(S15+U15+W15+Z15+X15+AC15)</f>
        <v>1417708960.1500001</v>
      </c>
      <c r="AI15" s="224"/>
      <c r="AJ15" s="223"/>
      <c r="AK15" s="225"/>
      <c r="AL15" s="226" t="e">
        <f>SUM(AE15-AF15-#REF!-#REF!)</f>
        <v>#REF!</v>
      </c>
      <c r="AM15" s="227">
        <f t="shared" ref="AM15:AM23" si="7">SUM(R15-(AE15+Y15))/R15</f>
        <v>0.5649685677298466</v>
      </c>
      <c r="AN15" s="228"/>
      <c r="AO15" s="229"/>
      <c r="AP15" s="230"/>
      <c r="AQ15" s="231"/>
      <c r="AR15" s="232"/>
      <c r="AV15" s="234"/>
    </row>
    <row r="16" spans="1:48" s="653" customFormat="1" ht="40.5" x14ac:dyDescent="0.35">
      <c r="A16" s="643" t="s">
        <v>33</v>
      </c>
      <c r="B16" s="665" t="s">
        <v>405</v>
      </c>
      <c r="C16" s="665" t="s">
        <v>403</v>
      </c>
      <c r="D16" s="665"/>
      <c r="E16" s="665"/>
      <c r="F16" s="665"/>
      <c r="G16" s="665"/>
      <c r="H16" s="677"/>
      <c r="I16" s="677"/>
      <c r="J16" s="590" t="s">
        <v>413</v>
      </c>
      <c r="K16" s="642"/>
      <c r="L16" s="642">
        <v>223529923</v>
      </c>
      <c r="M16" s="642">
        <v>36257167</v>
      </c>
      <c r="N16" s="238">
        <f>SUM(N17)</f>
        <v>86000000</v>
      </c>
      <c r="O16" s="238">
        <f t="shared" ref="O16:AH16" si="8">SUM(O17)</f>
        <v>86000000</v>
      </c>
      <c r="P16" s="238">
        <f t="shared" si="8"/>
        <v>2000000</v>
      </c>
      <c r="Q16" s="238">
        <f t="shared" si="8"/>
        <v>2000000</v>
      </c>
      <c r="R16" s="238">
        <f t="shared" si="8"/>
        <v>86000000</v>
      </c>
      <c r="S16" s="238">
        <f t="shared" si="8"/>
        <v>0</v>
      </c>
      <c r="T16" s="238">
        <f t="shared" si="8"/>
        <v>0</v>
      </c>
      <c r="U16" s="238">
        <f t="shared" si="8"/>
        <v>0</v>
      </c>
      <c r="V16" s="238">
        <f t="shared" si="8"/>
        <v>0</v>
      </c>
      <c r="W16" s="644">
        <f t="shared" si="8"/>
        <v>0</v>
      </c>
      <c r="X16" s="644">
        <f t="shared" si="8"/>
        <v>0</v>
      </c>
      <c r="Y16" s="644">
        <f t="shared" si="8"/>
        <v>0</v>
      </c>
      <c r="Z16" s="644">
        <f t="shared" si="8"/>
        <v>0</v>
      </c>
      <c r="AA16" s="644">
        <f t="shared" si="8"/>
        <v>86000000</v>
      </c>
      <c r="AB16" s="644">
        <f t="shared" si="8"/>
        <v>86000000</v>
      </c>
      <c r="AC16" s="644">
        <f t="shared" si="8"/>
        <v>4999800</v>
      </c>
      <c r="AD16" s="644">
        <f t="shared" si="8"/>
        <v>81000200</v>
      </c>
      <c r="AE16" s="644">
        <f t="shared" si="8"/>
        <v>81000200</v>
      </c>
      <c r="AF16" s="644">
        <f t="shared" si="8"/>
        <v>81000000</v>
      </c>
      <c r="AG16" s="644">
        <f t="shared" si="8"/>
        <v>200</v>
      </c>
      <c r="AH16" s="644">
        <f t="shared" si="8"/>
        <v>4999800</v>
      </c>
      <c r="AI16" s="645">
        <f t="shared" ref="AI16:AI23" si="9">AC16/(AC16+AF16+AG16)</f>
        <v>5.8137209302325583E-2</v>
      </c>
      <c r="AJ16" s="646"/>
      <c r="AK16" s="647"/>
      <c r="AL16" s="648" t="e">
        <f>SUM(AE16-AF16-#REF!-#REF!)</f>
        <v>#REF!</v>
      </c>
      <c r="AM16" s="649">
        <f t="shared" si="7"/>
        <v>5.8137209302325583E-2</v>
      </c>
      <c r="AN16" s="640"/>
      <c r="AO16" s="650"/>
      <c r="AP16" s="651"/>
      <c r="AQ16" s="239"/>
      <c r="AR16" s="641"/>
      <c r="AS16" s="652"/>
      <c r="AV16" s="654"/>
    </row>
    <row r="17" spans="1:48" s="256" customFormat="1" ht="27.75" x14ac:dyDescent="0.35">
      <c r="A17" s="240"/>
      <c r="B17" s="599" t="s">
        <v>405</v>
      </c>
      <c r="C17" s="599" t="s">
        <v>403</v>
      </c>
      <c r="D17" s="599" t="s">
        <v>403</v>
      </c>
      <c r="E17" s="599"/>
      <c r="F17" s="599"/>
      <c r="G17" s="599"/>
      <c r="H17" s="678"/>
      <c r="I17" s="678"/>
      <c r="J17" s="591" t="s">
        <v>414</v>
      </c>
      <c r="K17" s="149"/>
      <c r="L17" s="149"/>
      <c r="M17" s="149"/>
      <c r="N17" s="150">
        <f>SUM(N18:N24)</f>
        <v>86000000</v>
      </c>
      <c r="O17" s="150">
        <f>SUM(O18+O24)</f>
        <v>86000000</v>
      </c>
      <c r="P17" s="150">
        <f t="shared" ref="P17:AH17" si="10">SUM(P18+P24)</f>
        <v>2000000</v>
      </c>
      <c r="Q17" s="150">
        <f t="shared" si="10"/>
        <v>2000000</v>
      </c>
      <c r="R17" s="150">
        <f t="shared" si="10"/>
        <v>86000000</v>
      </c>
      <c r="S17" s="150">
        <f t="shared" si="10"/>
        <v>0</v>
      </c>
      <c r="T17" s="150">
        <f t="shared" si="10"/>
        <v>0</v>
      </c>
      <c r="U17" s="150">
        <f t="shared" si="10"/>
        <v>0</v>
      </c>
      <c r="V17" s="150">
        <f t="shared" si="10"/>
        <v>0</v>
      </c>
      <c r="W17" s="244">
        <f t="shared" si="10"/>
        <v>0</v>
      </c>
      <c r="X17" s="244">
        <f t="shared" si="10"/>
        <v>0</v>
      </c>
      <c r="Y17" s="244">
        <f t="shared" si="10"/>
        <v>0</v>
      </c>
      <c r="Z17" s="244">
        <f t="shared" si="10"/>
        <v>0</v>
      </c>
      <c r="AA17" s="244">
        <f t="shared" si="10"/>
        <v>86000000</v>
      </c>
      <c r="AB17" s="244">
        <f t="shared" si="10"/>
        <v>86000000</v>
      </c>
      <c r="AC17" s="244">
        <f t="shared" si="10"/>
        <v>4999800</v>
      </c>
      <c r="AD17" s="244">
        <f t="shared" si="10"/>
        <v>81000200</v>
      </c>
      <c r="AE17" s="244">
        <f t="shared" si="10"/>
        <v>81000200</v>
      </c>
      <c r="AF17" s="244">
        <f t="shared" si="10"/>
        <v>81000000</v>
      </c>
      <c r="AG17" s="244">
        <f t="shared" si="10"/>
        <v>200</v>
      </c>
      <c r="AH17" s="244">
        <f t="shared" si="10"/>
        <v>4999800</v>
      </c>
      <c r="AI17" s="245">
        <f t="shared" si="9"/>
        <v>5.8137209302325583E-2</v>
      </c>
      <c r="AJ17" s="246"/>
      <c r="AK17" s="247"/>
      <c r="AL17" s="248" t="e">
        <f>SUM(AE17-AF17-#REF!-#REF!)</f>
        <v>#REF!</v>
      </c>
      <c r="AM17" s="249">
        <f t="shared" si="7"/>
        <v>5.8137209302325583E-2</v>
      </c>
      <c r="AN17" s="250"/>
      <c r="AO17" s="251"/>
      <c r="AP17" s="252"/>
      <c r="AQ17" s="253"/>
      <c r="AR17" s="254"/>
      <c r="AS17" s="255"/>
      <c r="AV17" s="257"/>
    </row>
    <row r="18" spans="1:48" s="276" customFormat="1" ht="40.5" x14ac:dyDescent="0.35">
      <c r="A18" s="258"/>
      <c r="B18" s="607" t="s">
        <v>405</v>
      </c>
      <c r="C18" s="607" t="s">
        <v>403</v>
      </c>
      <c r="D18" s="607" t="s">
        <v>403</v>
      </c>
      <c r="E18" s="607" t="s">
        <v>415</v>
      </c>
      <c r="F18" s="607"/>
      <c r="G18" s="607"/>
      <c r="H18" s="679"/>
      <c r="I18" s="679"/>
      <c r="J18" s="592" t="s">
        <v>416</v>
      </c>
      <c r="K18" s="262"/>
      <c r="L18" s="262"/>
      <c r="M18" s="262"/>
      <c r="N18" s="263">
        <v>53000000</v>
      </c>
      <c r="O18" s="263">
        <f>SUM(O19:O23)</f>
        <v>53000000</v>
      </c>
      <c r="P18" s="263">
        <f t="shared" ref="P18:AH18" si="11">SUM(P19:P23)</f>
        <v>2000000</v>
      </c>
      <c r="Q18" s="263">
        <f t="shared" si="11"/>
        <v>2000000</v>
      </c>
      <c r="R18" s="263">
        <f>SUM(R19:R23)</f>
        <v>53000000</v>
      </c>
      <c r="S18" s="263">
        <f t="shared" si="11"/>
        <v>0</v>
      </c>
      <c r="T18" s="263">
        <f t="shared" si="11"/>
        <v>0</v>
      </c>
      <c r="U18" s="263">
        <f t="shared" si="11"/>
        <v>0</v>
      </c>
      <c r="V18" s="263">
        <f>SUM(V19:V23)</f>
        <v>0</v>
      </c>
      <c r="W18" s="264">
        <f>SUM(W19:W23)</f>
        <v>0</v>
      </c>
      <c r="X18" s="264">
        <f t="shared" si="11"/>
        <v>0</v>
      </c>
      <c r="Y18" s="264">
        <f t="shared" si="11"/>
        <v>0</v>
      </c>
      <c r="Z18" s="264">
        <f t="shared" si="11"/>
        <v>0</v>
      </c>
      <c r="AA18" s="264">
        <f t="shared" si="11"/>
        <v>53000000</v>
      </c>
      <c r="AB18" s="264">
        <f>SUM(AB19:AB23)</f>
        <v>53000000</v>
      </c>
      <c r="AC18" s="264">
        <f>SUM(AC19:AC23)</f>
        <v>4999800</v>
      </c>
      <c r="AD18" s="264">
        <f t="shared" si="11"/>
        <v>48000200</v>
      </c>
      <c r="AE18" s="264">
        <f>SUM(AE19:AE23)</f>
        <v>48000200</v>
      </c>
      <c r="AF18" s="264">
        <f t="shared" si="11"/>
        <v>48000000</v>
      </c>
      <c r="AG18" s="264">
        <f t="shared" si="11"/>
        <v>200</v>
      </c>
      <c r="AH18" s="264">
        <f t="shared" si="11"/>
        <v>4999800</v>
      </c>
      <c r="AI18" s="265">
        <f t="shared" si="9"/>
        <v>9.4335849056603777E-2</v>
      </c>
      <c r="AJ18" s="266"/>
      <c r="AK18" s="267"/>
      <c r="AL18" s="268" t="e">
        <f>SUM(AE18-AF18-#REF!-#REF!)</f>
        <v>#REF!</v>
      </c>
      <c r="AM18" s="269">
        <f t="shared" si="7"/>
        <v>9.4335849056603777E-2</v>
      </c>
      <c r="AN18" s="270"/>
      <c r="AO18" s="271"/>
      <c r="AP18" s="272"/>
      <c r="AQ18" s="273"/>
      <c r="AR18" s="274"/>
      <c r="AS18" s="275"/>
      <c r="AV18" s="277"/>
    </row>
    <row r="19" spans="1:48" s="653" customFormat="1" ht="60.75" x14ac:dyDescent="0.35">
      <c r="A19" s="643"/>
      <c r="B19" s="665" t="s">
        <v>405</v>
      </c>
      <c r="C19" s="665" t="s">
        <v>403</v>
      </c>
      <c r="D19" s="665" t="s">
        <v>403</v>
      </c>
      <c r="E19" s="665" t="s">
        <v>415</v>
      </c>
      <c r="F19" s="665" t="s">
        <v>417</v>
      </c>
      <c r="G19" s="665"/>
      <c r="H19" s="677"/>
      <c r="I19" s="677"/>
      <c r="J19" s="664" t="s">
        <v>418</v>
      </c>
      <c r="K19" s="642"/>
      <c r="L19" s="642"/>
      <c r="M19" s="642"/>
      <c r="N19" s="160"/>
      <c r="O19" s="655"/>
      <c r="P19" s="655"/>
      <c r="Q19" s="655"/>
      <c r="R19" s="655">
        <f t="shared" ref="R19:R109" si="12">SUM(O19+P19-Q19)</f>
        <v>0</v>
      </c>
      <c r="S19" s="656"/>
      <c r="T19" s="656"/>
      <c r="U19" s="657"/>
      <c r="V19" s="656">
        <f t="shared" ref="V19:V103" si="13">SUM(T19-U19)</f>
        <v>0</v>
      </c>
      <c r="W19" s="644"/>
      <c r="X19" s="644"/>
      <c r="Y19" s="658">
        <f t="shared" ref="Y19:AM104" si="14">SUM(V19)</f>
        <v>0</v>
      </c>
      <c r="Z19" s="659"/>
      <c r="AA19" s="644">
        <f t="shared" ref="AA19:AA101" si="15">SUM(R19-S19-U19-W19-X19-Y19-Z19)</f>
        <v>0</v>
      </c>
      <c r="AB19" s="660"/>
      <c r="AC19" s="618"/>
      <c r="AD19" s="644">
        <f t="shared" ref="AD19:AD101" si="16">SUM(AB19-AC19)</f>
        <v>0</v>
      </c>
      <c r="AE19" s="659">
        <f t="shared" ref="AE19:AE39" si="17">SUM(AA19-AC19)</f>
        <v>0</v>
      </c>
      <c r="AF19" s="659"/>
      <c r="AG19" s="659">
        <f t="shared" ref="AG19:AG39" si="18">SUM(AE19-AF19)</f>
        <v>0</v>
      </c>
      <c r="AH19" s="661">
        <f t="shared" ref="AH19:AH39" si="19">SUM(S19+U19+W19+Z19+X19+AC19)</f>
        <v>0</v>
      </c>
      <c r="AI19" s="645" t="e">
        <f t="shared" si="9"/>
        <v>#DIV/0!</v>
      </c>
      <c r="AJ19" s="646"/>
      <c r="AK19" s="647"/>
      <c r="AL19" s="648" t="e">
        <f>SUM(AE19-AF19-#REF!-#REF!)</f>
        <v>#REF!</v>
      </c>
      <c r="AM19" s="649" t="e">
        <f t="shared" si="7"/>
        <v>#DIV/0!</v>
      </c>
      <c r="AN19" s="640"/>
      <c r="AO19" s="650"/>
      <c r="AP19" s="651"/>
      <c r="AQ19" s="239"/>
      <c r="AR19" s="641"/>
      <c r="AS19" s="652"/>
      <c r="AV19" s="654"/>
    </row>
    <row r="20" spans="1:48" s="653" customFormat="1" ht="26.25" x14ac:dyDescent="0.35">
      <c r="A20" s="643"/>
      <c r="B20" s="665" t="s">
        <v>405</v>
      </c>
      <c r="C20" s="665" t="s">
        <v>403</v>
      </c>
      <c r="D20" s="665" t="s">
        <v>403</v>
      </c>
      <c r="E20" s="665" t="s">
        <v>415</v>
      </c>
      <c r="F20" s="665" t="s">
        <v>417</v>
      </c>
      <c r="G20" s="665" t="s">
        <v>403</v>
      </c>
      <c r="H20" s="677"/>
      <c r="I20" s="677"/>
      <c r="J20" s="664" t="s">
        <v>419</v>
      </c>
      <c r="K20" s="642"/>
      <c r="L20" s="642"/>
      <c r="M20" s="642"/>
      <c r="N20" s="160"/>
      <c r="O20" s="655"/>
      <c r="P20" s="655"/>
      <c r="Q20" s="655"/>
      <c r="R20" s="655">
        <f t="shared" si="12"/>
        <v>0</v>
      </c>
      <c r="S20" s="656"/>
      <c r="T20" s="656"/>
      <c r="U20" s="657"/>
      <c r="V20" s="656">
        <f t="shared" si="13"/>
        <v>0</v>
      </c>
      <c r="W20" s="644"/>
      <c r="X20" s="644"/>
      <c r="Y20" s="658">
        <f t="shared" si="14"/>
        <v>0</v>
      </c>
      <c r="Z20" s="659"/>
      <c r="AA20" s="644">
        <f t="shared" si="15"/>
        <v>0</v>
      </c>
      <c r="AB20" s="660"/>
      <c r="AC20" s="618"/>
      <c r="AD20" s="644">
        <f t="shared" si="16"/>
        <v>0</v>
      </c>
      <c r="AE20" s="659">
        <f t="shared" si="17"/>
        <v>0</v>
      </c>
      <c r="AF20" s="659"/>
      <c r="AG20" s="659">
        <f t="shared" si="18"/>
        <v>0</v>
      </c>
      <c r="AH20" s="661">
        <f t="shared" si="19"/>
        <v>0</v>
      </c>
      <c r="AI20" s="645" t="e">
        <f t="shared" si="9"/>
        <v>#DIV/0!</v>
      </c>
      <c r="AJ20" s="646"/>
      <c r="AK20" s="647"/>
      <c r="AL20" s="648" t="e">
        <f>SUM(AE20-AF20-#REF!-#REF!)</f>
        <v>#REF!</v>
      </c>
      <c r="AM20" s="649" t="e">
        <f t="shared" si="7"/>
        <v>#DIV/0!</v>
      </c>
      <c r="AN20" s="640"/>
      <c r="AO20" s="650"/>
      <c r="AP20" s="651"/>
      <c r="AQ20" s="239"/>
      <c r="AR20" s="641"/>
      <c r="AS20" s="652"/>
      <c r="AV20" s="654"/>
    </row>
    <row r="21" spans="1:48" s="653" customFormat="1" ht="26.25" x14ac:dyDescent="0.35">
      <c r="A21" s="643"/>
      <c r="B21" s="665" t="s">
        <v>405</v>
      </c>
      <c r="C21" s="665" t="s">
        <v>403</v>
      </c>
      <c r="D21" s="665" t="s">
        <v>403</v>
      </c>
      <c r="E21" s="665" t="s">
        <v>415</v>
      </c>
      <c r="F21" s="665" t="s">
        <v>417</v>
      </c>
      <c r="G21" s="665" t="s">
        <v>403</v>
      </c>
      <c r="H21" s="677" t="s">
        <v>420</v>
      </c>
      <c r="I21" s="677"/>
      <c r="J21" s="664" t="s">
        <v>421</v>
      </c>
      <c r="K21" s="642"/>
      <c r="L21" s="642"/>
      <c r="M21" s="642"/>
      <c r="N21" s="160"/>
      <c r="O21" s="655">
        <v>44000000</v>
      </c>
      <c r="P21" s="655"/>
      <c r="Q21" s="655">
        <v>2000000</v>
      </c>
      <c r="R21" s="655">
        <f t="shared" si="12"/>
        <v>42000000</v>
      </c>
      <c r="S21" s="656"/>
      <c r="T21" s="656"/>
      <c r="U21" s="657"/>
      <c r="V21" s="656">
        <f t="shared" si="13"/>
        <v>0</v>
      </c>
      <c r="W21" s="644"/>
      <c r="X21" s="644"/>
      <c r="Y21" s="658">
        <f t="shared" si="14"/>
        <v>0</v>
      </c>
      <c r="Z21" s="659"/>
      <c r="AA21" s="644">
        <f t="shared" si="15"/>
        <v>42000000</v>
      </c>
      <c r="AB21" s="660">
        <v>42000000</v>
      </c>
      <c r="AC21" s="618"/>
      <c r="AD21" s="644">
        <f t="shared" si="16"/>
        <v>42000000</v>
      </c>
      <c r="AE21" s="659">
        <f t="shared" si="17"/>
        <v>42000000</v>
      </c>
      <c r="AF21" s="659">
        <v>42000000</v>
      </c>
      <c r="AG21" s="659">
        <f t="shared" si="18"/>
        <v>0</v>
      </c>
      <c r="AH21" s="661">
        <f t="shared" si="19"/>
        <v>0</v>
      </c>
      <c r="AI21" s="645">
        <f t="shared" si="9"/>
        <v>0</v>
      </c>
      <c r="AJ21" s="646"/>
      <c r="AK21" s="647"/>
      <c r="AL21" s="648" t="e">
        <f>SUM(AE21-AF21-#REF!-#REF!)</f>
        <v>#REF!</v>
      </c>
      <c r="AM21" s="649">
        <f t="shared" si="7"/>
        <v>0</v>
      </c>
      <c r="AN21" s="640"/>
      <c r="AO21" s="650"/>
      <c r="AP21" s="651"/>
      <c r="AQ21" s="239"/>
      <c r="AR21" s="641"/>
      <c r="AS21" s="652"/>
      <c r="AV21" s="654"/>
    </row>
    <row r="22" spans="1:48" s="653" customFormat="1" ht="40.5" x14ac:dyDescent="0.35">
      <c r="A22" s="643"/>
      <c r="B22" s="665" t="s">
        <v>405</v>
      </c>
      <c r="C22" s="665" t="s">
        <v>403</v>
      </c>
      <c r="D22" s="665" t="s">
        <v>403</v>
      </c>
      <c r="E22" s="665" t="s">
        <v>415</v>
      </c>
      <c r="F22" s="665" t="s">
        <v>417</v>
      </c>
      <c r="G22" s="665" t="s">
        <v>403</v>
      </c>
      <c r="H22" s="677" t="s">
        <v>422</v>
      </c>
      <c r="I22" s="677"/>
      <c r="J22" s="664" t="s">
        <v>423</v>
      </c>
      <c r="K22" s="642"/>
      <c r="L22" s="642"/>
      <c r="M22" s="642"/>
      <c r="N22" s="160"/>
      <c r="O22" s="655"/>
      <c r="P22" s="655"/>
      <c r="Q22" s="655"/>
      <c r="R22" s="655">
        <f t="shared" si="12"/>
        <v>0</v>
      </c>
      <c r="S22" s="656"/>
      <c r="T22" s="656"/>
      <c r="U22" s="657"/>
      <c r="V22" s="656">
        <f t="shared" si="13"/>
        <v>0</v>
      </c>
      <c r="W22" s="644"/>
      <c r="X22" s="644"/>
      <c r="Y22" s="658">
        <f t="shared" si="14"/>
        <v>0</v>
      </c>
      <c r="Z22" s="659"/>
      <c r="AA22" s="644">
        <f t="shared" si="15"/>
        <v>0</v>
      </c>
      <c r="AB22" s="660"/>
      <c r="AC22" s="618"/>
      <c r="AD22" s="644">
        <f t="shared" si="16"/>
        <v>0</v>
      </c>
      <c r="AE22" s="659">
        <f t="shared" si="17"/>
        <v>0</v>
      </c>
      <c r="AF22" s="659"/>
      <c r="AG22" s="659">
        <f t="shared" si="18"/>
        <v>0</v>
      </c>
      <c r="AH22" s="661">
        <f t="shared" si="19"/>
        <v>0</v>
      </c>
      <c r="AI22" s="645" t="e">
        <f t="shared" si="9"/>
        <v>#DIV/0!</v>
      </c>
      <c r="AJ22" s="646"/>
      <c r="AK22" s="647"/>
      <c r="AL22" s="648" t="e">
        <f>SUM(AE22-AF22-#REF!-#REF!)</f>
        <v>#REF!</v>
      </c>
      <c r="AM22" s="649" t="e">
        <f t="shared" si="7"/>
        <v>#DIV/0!</v>
      </c>
      <c r="AN22" s="640"/>
      <c r="AO22" s="650"/>
      <c r="AP22" s="651"/>
      <c r="AQ22" s="239"/>
      <c r="AR22" s="641"/>
      <c r="AS22" s="652"/>
      <c r="AV22" s="654"/>
    </row>
    <row r="23" spans="1:48" s="653" customFormat="1" ht="26.25" x14ac:dyDescent="0.35">
      <c r="A23" s="643"/>
      <c r="B23" s="665" t="s">
        <v>405</v>
      </c>
      <c r="C23" s="665" t="s">
        <v>403</v>
      </c>
      <c r="D23" s="665" t="s">
        <v>403</v>
      </c>
      <c r="E23" s="665" t="s">
        <v>415</v>
      </c>
      <c r="F23" s="665" t="s">
        <v>417</v>
      </c>
      <c r="G23" s="665" t="s">
        <v>403</v>
      </c>
      <c r="H23" s="677" t="s">
        <v>424</v>
      </c>
      <c r="I23" s="677"/>
      <c r="J23" s="664" t="s">
        <v>425</v>
      </c>
      <c r="K23" s="642"/>
      <c r="L23" s="642"/>
      <c r="M23" s="642"/>
      <c r="N23" s="160"/>
      <c r="O23" s="655">
        <v>9000000</v>
      </c>
      <c r="P23" s="655">
        <v>2000000</v>
      </c>
      <c r="Q23" s="655"/>
      <c r="R23" s="655">
        <f t="shared" si="12"/>
        <v>11000000</v>
      </c>
      <c r="S23" s="656"/>
      <c r="T23" s="656"/>
      <c r="U23" s="657"/>
      <c r="V23" s="656">
        <f t="shared" si="13"/>
        <v>0</v>
      </c>
      <c r="W23" s="644"/>
      <c r="X23" s="644"/>
      <c r="Y23" s="658">
        <f t="shared" si="14"/>
        <v>0</v>
      </c>
      <c r="Z23" s="659"/>
      <c r="AA23" s="644">
        <f t="shared" si="15"/>
        <v>11000000</v>
      </c>
      <c r="AB23" s="660">
        <v>11000000</v>
      </c>
      <c r="AC23" s="618">
        <v>4999800</v>
      </c>
      <c r="AD23" s="644">
        <f t="shared" si="16"/>
        <v>6000200</v>
      </c>
      <c r="AE23" s="659">
        <f t="shared" si="17"/>
        <v>6000200</v>
      </c>
      <c r="AF23" s="659">
        <v>6000000</v>
      </c>
      <c r="AG23" s="659">
        <f t="shared" si="18"/>
        <v>200</v>
      </c>
      <c r="AH23" s="661">
        <f t="shared" si="19"/>
        <v>4999800</v>
      </c>
      <c r="AI23" s="645">
        <f t="shared" si="9"/>
        <v>0.45452727272727272</v>
      </c>
      <c r="AJ23" s="646"/>
      <c r="AK23" s="647"/>
      <c r="AL23" s="648" t="e">
        <f>SUM(AE23-AF23-#REF!-#REF!)</f>
        <v>#REF!</v>
      </c>
      <c r="AM23" s="649">
        <f t="shared" si="7"/>
        <v>0.45452727272727272</v>
      </c>
      <c r="AN23" s="640"/>
      <c r="AO23" s="650"/>
      <c r="AP23" s="651"/>
      <c r="AQ23" s="239"/>
      <c r="AR23" s="641"/>
      <c r="AS23" s="652"/>
      <c r="AV23" s="654"/>
    </row>
    <row r="24" spans="1:48" s="276" customFormat="1" ht="26.25" x14ac:dyDescent="0.35">
      <c r="A24" s="258"/>
      <c r="B24" s="607" t="s">
        <v>405</v>
      </c>
      <c r="C24" s="607" t="s">
        <v>403</v>
      </c>
      <c r="D24" s="607" t="s">
        <v>403</v>
      </c>
      <c r="E24" s="607" t="s">
        <v>426</v>
      </c>
      <c r="F24" s="607"/>
      <c r="G24" s="607"/>
      <c r="H24" s="679"/>
      <c r="I24" s="679"/>
      <c r="J24" s="592" t="s">
        <v>427</v>
      </c>
      <c r="K24" s="262"/>
      <c r="L24" s="262"/>
      <c r="M24" s="262"/>
      <c r="N24" s="263">
        <v>33000000</v>
      </c>
      <c r="O24" s="263">
        <f>SUM(O25:O39)</f>
        <v>33000000</v>
      </c>
      <c r="P24" s="263">
        <f>SUM(P25:P39)</f>
        <v>0</v>
      </c>
      <c r="Q24" s="263">
        <f>SUM(Q25:Q39)</f>
        <v>0</v>
      </c>
      <c r="R24" s="263">
        <f>SUM(R25:R39)</f>
        <v>33000000</v>
      </c>
      <c r="S24" s="263">
        <f t="shared" ref="S24:AM24" si="20">SUM(S25:S39)</f>
        <v>0</v>
      </c>
      <c r="T24" s="263">
        <f t="shared" si="20"/>
        <v>0</v>
      </c>
      <c r="U24" s="263">
        <f t="shared" si="20"/>
        <v>0</v>
      </c>
      <c r="V24" s="263">
        <f t="shared" si="20"/>
        <v>0</v>
      </c>
      <c r="W24" s="263">
        <f t="shared" si="20"/>
        <v>0</v>
      </c>
      <c r="X24" s="263">
        <f t="shared" si="20"/>
        <v>0</v>
      </c>
      <c r="Y24" s="263">
        <f t="shared" si="20"/>
        <v>0</v>
      </c>
      <c r="Z24" s="263">
        <f t="shared" si="20"/>
        <v>0</v>
      </c>
      <c r="AA24" s="263">
        <f t="shared" si="20"/>
        <v>33000000</v>
      </c>
      <c r="AB24" s="263">
        <f t="shared" si="20"/>
        <v>33000000</v>
      </c>
      <c r="AC24" s="263">
        <f t="shared" si="20"/>
        <v>0</v>
      </c>
      <c r="AD24" s="263">
        <f t="shared" si="20"/>
        <v>33000000</v>
      </c>
      <c r="AE24" s="263">
        <f>SUM(AE25:AE39)</f>
        <v>33000000</v>
      </c>
      <c r="AF24" s="263">
        <f t="shared" si="20"/>
        <v>33000000</v>
      </c>
      <c r="AG24" s="263">
        <f>SUM(AG25:AG39)</f>
        <v>0</v>
      </c>
      <c r="AH24" s="263">
        <f t="shared" si="20"/>
        <v>0</v>
      </c>
      <c r="AI24" s="263" t="e">
        <f t="shared" si="20"/>
        <v>#DIV/0!</v>
      </c>
      <c r="AJ24" s="263">
        <f t="shared" si="20"/>
        <v>0</v>
      </c>
      <c r="AK24" s="263">
        <f t="shared" si="20"/>
        <v>0</v>
      </c>
      <c r="AL24" s="263" t="e">
        <f t="shared" si="20"/>
        <v>#REF!</v>
      </c>
      <c r="AM24" s="263" t="e">
        <f t="shared" si="20"/>
        <v>#DIV/0!</v>
      </c>
      <c r="AN24" s="270"/>
      <c r="AO24" s="271"/>
      <c r="AP24" s="272"/>
      <c r="AQ24" s="273"/>
      <c r="AR24" s="274"/>
      <c r="AS24" s="275"/>
      <c r="AV24" s="277"/>
    </row>
    <row r="25" spans="1:48" s="653" customFormat="1" ht="26.25" x14ac:dyDescent="0.35">
      <c r="A25" s="643"/>
      <c r="B25" s="665" t="s">
        <v>405</v>
      </c>
      <c r="C25" s="665" t="s">
        <v>403</v>
      </c>
      <c r="D25" s="665" t="s">
        <v>403</v>
      </c>
      <c r="E25" s="665" t="s">
        <v>426</v>
      </c>
      <c r="F25" s="665" t="s">
        <v>415</v>
      </c>
      <c r="G25" s="665"/>
      <c r="H25" s="677"/>
      <c r="I25" s="677"/>
      <c r="J25" s="664" t="s">
        <v>428</v>
      </c>
      <c r="K25" s="642"/>
      <c r="L25" s="642"/>
      <c r="M25" s="642"/>
      <c r="N25" s="160"/>
      <c r="O25" s="655"/>
      <c r="P25" s="655"/>
      <c r="Q25" s="655"/>
      <c r="R25" s="655">
        <f t="shared" si="12"/>
        <v>0</v>
      </c>
      <c r="S25" s="656"/>
      <c r="T25" s="656"/>
      <c r="U25" s="657"/>
      <c r="V25" s="656">
        <f t="shared" si="13"/>
        <v>0</v>
      </c>
      <c r="W25" s="644"/>
      <c r="X25" s="644"/>
      <c r="Y25" s="658">
        <f t="shared" si="14"/>
        <v>0</v>
      </c>
      <c r="Z25" s="659"/>
      <c r="AA25" s="644">
        <f t="shared" si="15"/>
        <v>0</v>
      </c>
      <c r="AB25" s="660"/>
      <c r="AC25" s="618"/>
      <c r="AD25" s="644">
        <f t="shared" si="16"/>
        <v>0</v>
      </c>
      <c r="AE25" s="659">
        <f t="shared" si="17"/>
        <v>0</v>
      </c>
      <c r="AF25" s="659"/>
      <c r="AG25" s="659">
        <f t="shared" si="18"/>
        <v>0</v>
      </c>
      <c r="AH25" s="661">
        <f t="shared" si="19"/>
        <v>0</v>
      </c>
      <c r="AI25" s="645" t="e">
        <f t="shared" ref="AI25:AI39" si="21">AC25/(AC25+AF25+AG25)</f>
        <v>#DIV/0!</v>
      </c>
      <c r="AJ25" s="646"/>
      <c r="AK25" s="647"/>
      <c r="AL25" s="648" t="e">
        <f>SUM(AE25-AF25-#REF!-#REF!)</f>
        <v>#REF!</v>
      </c>
      <c r="AM25" s="649" t="e">
        <f t="shared" ref="AM25:AM39" si="22">SUM(R25-(AE25+Y25))/R25</f>
        <v>#DIV/0!</v>
      </c>
      <c r="AN25" s="640"/>
      <c r="AO25" s="650"/>
      <c r="AP25" s="651"/>
      <c r="AQ25" s="239"/>
      <c r="AR25" s="641"/>
      <c r="AS25" s="652"/>
      <c r="AV25" s="654"/>
    </row>
    <row r="26" spans="1:48" s="653" customFormat="1" ht="26.25" x14ac:dyDescent="0.35">
      <c r="A26" s="643"/>
      <c r="B26" s="665" t="s">
        <v>405</v>
      </c>
      <c r="C26" s="665" t="s">
        <v>403</v>
      </c>
      <c r="D26" s="665" t="s">
        <v>403</v>
      </c>
      <c r="E26" s="665" t="s">
        <v>426</v>
      </c>
      <c r="F26" s="665" t="s">
        <v>415</v>
      </c>
      <c r="G26" s="665" t="s">
        <v>429</v>
      </c>
      <c r="H26" s="677"/>
      <c r="I26" s="677"/>
      <c r="J26" s="664" t="s">
        <v>430</v>
      </c>
      <c r="K26" s="642"/>
      <c r="L26" s="642"/>
      <c r="M26" s="642"/>
      <c r="N26" s="160"/>
      <c r="O26" s="655"/>
      <c r="P26" s="655"/>
      <c r="Q26" s="655"/>
      <c r="R26" s="655">
        <f t="shared" si="12"/>
        <v>0</v>
      </c>
      <c r="S26" s="656"/>
      <c r="T26" s="656"/>
      <c r="U26" s="657"/>
      <c r="V26" s="656">
        <f t="shared" si="13"/>
        <v>0</v>
      </c>
      <c r="W26" s="644"/>
      <c r="X26" s="644"/>
      <c r="Y26" s="658">
        <f t="shared" si="14"/>
        <v>0</v>
      </c>
      <c r="Z26" s="659"/>
      <c r="AA26" s="644">
        <f t="shared" si="15"/>
        <v>0</v>
      </c>
      <c r="AB26" s="660"/>
      <c r="AC26" s="618"/>
      <c r="AD26" s="644">
        <f t="shared" si="16"/>
        <v>0</v>
      </c>
      <c r="AE26" s="659">
        <f t="shared" si="17"/>
        <v>0</v>
      </c>
      <c r="AF26" s="659"/>
      <c r="AG26" s="659">
        <f t="shared" si="18"/>
        <v>0</v>
      </c>
      <c r="AH26" s="661">
        <f t="shared" si="19"/>
        <v>0</v>
      </c>
      <c r="AI26" s="645" t="e">
        <f t="shared" si="21"/>
        <v>#DIV/0!</v>
      </c>
      <c r="AJ26" s="646"/>
      <c r="AK26" s="647"/>
      <c r="AL26" s="648" t="e">
        <f>SUM(AE26-AF26-#REF!-#REF!)</f>
        <v>#REF!</v>
      </c>
      <c r="AM26" s="649" t="e">
        <f t="shared" si="22"/>
        <v>#DIV/0!</v>
      </c>
      <c r="AN26" s="640"/>
      <c r="AO26" s="650"/>
      <c r="AP26" s="651"/>
      <c r="AQ26" s="239"/>
      <c r="AR26" s="641"/>
      <c r="AS26" s="652"/>
      <c r="AV26" s="654"/>
    </row>
    <row r="27" spans="1:48" s="653" customFormat="1" ht="40.5" x14ac:dyDescent="0.35">
      <c r="A27" s="643"/>
      <c r="B27" s="665" t="s">
        <v>405</v>
      </c>
      <c r="C27" s="665" t="s">
        <v>403</v>
      </c>
      <c r="D27" s="665" t="s">
        <v>403</v>
      </c>
      <c r="E27" s="665" t="s">
        <v>426</v>
      </c>
      <c r="F27" s="665" t="s">
        <v>415</v>
      </c>
      <c r="G27" s="665" t="s">
        <v>431</v>
      </c>
      <c r="H27" s="677"/>
      <c r="I27" s="677"/>
      <c r="J27" s="664" t="s">
        <v>544</v>
      </c>
      <c r="K27" s="642"/>
      <c r="L27" s="642"/>
      <c r="M27" s="642"/>
      <c r="N27" s="160"/>
      <c r="O27" s="655"/>
      <c r="P27" s="655"/>
      <c r="Q27" s="655"/>
      <c r="R27" s="655">
        <f t="shared" si="12"/>
        <v>0</v>
      </c>
      <c r="S27" s="656"/>
      <c r="T27" s="656"/>
      <c r="U27" s="657"/>
      <c r="V27" s="656">
        <f t="shared" si="13"/>
        <v>0</v>
      </c>
      <c r="W27" s="644"/>
      <c r="X27" s="644"/>
      <c r="Y27" s="658">
        <f t="shared" si="14"/>
        <v>0</v>
      </c>
      <c r="Z27" s="659"/>
      <c r="AA27" s="644">
        <f t="shared" si="15"/>
        <v>0</v>
      </c>
      <c r="AB27" s="660"/>
      <c r="AC27" s="618"/>
      <c r="AD27" s="644">
        <f t="shared" si="16"/>
        <v>0</v>
      </c>
      <c r="AE27" s="659">
        <f t="shared" si="17"/>
        <v>0</v>
      </c>
      <c r="AF27" s="659"/>
      <c r="AG27" s="659">
        <f t="shared" si="18"/>
        <v>0</v>
      </c>
      <c r="AH27" s="661">
        <f t="shared" si="19"/>
        <v>0</v>
      </c>
      <c r="AI27" s="645" t="e">
        <f t="shared" si="21"/>
        <v>#DIV/0!</v>
      </c>
      <c r="AJ27" s="646"/>
      <c r="AK27" s="647"/>
      <c r="AL27" s="648" t="e">
        <f>SUM(AE27-AF27-#REF!-#REF!)</f>
        <v>#REF!</v>
      </c>
      <c r="AM27" s="649" t="e">
        <f t="shared" si="22"/>
        <v>#DIV/0!</v>
      </c>
      <c r="AN27" s="640"/>
      <c r="AO27" s="650"/>
      <c r="AP27" s="651"/>
      <c r="AQ27" s="239"/>
      <c r="AR27" s="641"/>
      <c r="AS27" s="652"/>
      <c r="AV27" s="654"/>
    </row>
    <row r="28" spans="1:48" s="78" customFormat="1" ht="26.25" x14ac:dyDescent="0.35">
      <c r="A28" s="170"/>
      <c r="B28" s="665" t="s">
        <v>405</v>
      </c>
      <c r="C28" s="665" t="s">
        <v>403</v>
      </c>
      <c r="D28" s="665" t="s">
        <v>403</v>
      </c>
      <c r="E28" s="665" t="s">
        <v>426</v>
      </c>
      <c r="F28" s="665" t="s">
        <v>426</v>
      </c>
      <c r="G28" s="665"/>
      <c r="H28" s="677"/>
      <c r="I28" s="677"/>
      <c r="J28" s="664" t="s">
        <v>432</v>
      </c>
      <c r="K28" s="642"/>
      <c r="L28" s="642"/>
      <c r="M28" s="642"/>
      <c r="N28" s="160"/>
      <c r="O28" s="655"/>
      <c r="P28" s="655"/>
      <c r="Q28" s="655"/>
      <c r="R28" s="655">
        <f t="shared" si="12"/>
        <v>0</v>
      </c>
      <c r="S28" s="161"/>
      <c r="T28" s="161"/>
      <c r="U28" s="279"/>
      <c r="V28" s="161">
        <f t="shared" si="13"/>
        <v>0</v>
      </c>
      <c r="W28" s="644"/>
      <c r="X28" s="644"/>
      <c r="Y28" s="659">
        <f t="shared" si="14"/>
        <v>0</v>
      </c>
      <c r="Z28" s="659"/>
      <c r="AA28" s="644">
        <f t="shared" si="15"/>
        <v>0</v>
      </c>
      <c r="AB28" s="660"/>
      <c r="AC28" s="618"/>
      <c r="AD28" s="644">
        <f t="shared" si="16"/>
        <v>0</v>
      </c>
      <c r="AE28" s="659">
        <f t="shared" si="17"/>
        <v>0</v>
      </c>
      <c r="AF28" s="659"/>
      <c r="AG28" s="659">
        <f t="shared" si="18"/>
        <v>0</v>
      </c>
      <c r="AH28" s="661">
        <f t="shared" si="19"/>
        <v>0</v>
      </c>
      <c r="AI28" s="645" t="e">
        <f t="shared" si="21"/>
        <v>#DIV/0!</v>
      </c>
      <c r="AJ28" s="659"/>
      <c r="AK28" s="280"/>
      <c r="AL28" s="648" t="e">
        <f>SUM(AE28-AF28-#REF!-#REF!)</f>
        <v>#REF!</v>
      </c>
      <c r="AM28" s="281" t="e">
        <f t="shared" si="22"/>
        <v>#DIV/0!</v>
      </c>
      <c r="AN28" s="640"/>
      <c r="AO28" s="650"/>
      <c r="AP28" s="651"/>
      <c r="AQ28" s="239"/>
      <c r="AR28" s="641"/>
      <c r="AS28" s="127"/>
      <c r="AV28" s="129"/>
    </row>
    <row r="29" spans="1:48" s="653" customFormat="1" ht="40.5" x14ac:dyDescent="0.35">
      <c r="A29" s="643"/>
      <c r="B29" s="665" t="s">
        <v>405</v>
      </c>
      <c r="C29" s="665" t="s">
        <v>403</v>
      </c>
      <c r="D29" s="665" t="s">
        <v>403</v>
      </c>
      <c r="E29" s="665" t="s">
        <v>426</v>
      </c>
      <c r="F29" s="665" t="s">
        <v>426</v>
      </c>
      <c r="G29" s="665" t="s">
        <v>405</v>
      </c>
      <c r="H29" s="677"/>
      <c r="I29" s="677"/>
      <c r="J29" s="664" t="s">
        <v>433</v>
      </c>
      <c r="K29" s="642"/>
      <c r="L29" s="642"/>
      <c r="M29" s="642"/>
      <c r="N29" s="160"/>
      <c r="O29" s="655"/>
      <c r="P29" s="655"/>
      <c r="Q29" s="655"/>
      <c r="R29" s="655">
        <f t="shared" si="12"/>
        <v>0</v>
      </c>
      <c r="S29" s="656"/>
      <c r="T29" s="656"/>
      <c r="U29" s="657"/>
      <c r="V29" s="656">
        <f t="shared" si="13"/>
        <v>0</v>
      </c>
      <c r="W29" s="644"/>
      <c r="X29" s="644"/>
      <c r="Y29" s="658">
        <f t="shared" si="14"/>
        <v>0</v>
      </c>
      <c r="Z29" s="659"/>
      <c r="AA29" s="644">
        <f t="shared" si="15"/>
        <v>0</v>
      </c>
      <c r="AB29" s="660"/>
      <c r="AC29" s="618"/>
      <c r="AD29" s="644">
        <f t="shared" si="16"/>
        <v>0</v>
      </c>
      <c r="AE29" s="659">
        <f t="shared" si="17"/>
        <v>0</v>
      </c>
      <c r="AF29" s="659"/>
      <c r="AG29" s="659">
        <f t="shared" si="18"/>
        <v>0</v>
      </c>
      <c r="AH29" s="661">
        <f t="shared" si="19"/>
        <v>0</v>
      </c>
      <c r="AI29" s="645" t="e">
        <f t="shared" si="21"/>
        <v>#DIV/0!</v>
      </c>
      <c r="AJ29" s="646"/>
      <c r="AK29" s="647"/>
      <c r="AL29" s="648" t="e">
        <f>SUM(AE29-AF29-#REF!-#REF!)</f>
        <v>#REF!</v>
      </c>
      <c r="AM29" s="649" t="e">
        <f t="shared" si="22"/>
        <v>#DIV/0!</v>
      </c>
      <c r="AN29" s="640"/>
      <c r="AO29" s="650"/>
      <c r="AP29" s="651"/>
      <c r="AQ29" s="239"/>
      <c r="AR29" s="641"/>
      <c r="AS29" s="652"/>
      <c r="AV29" s="654"/>
    </row>
    <row r="30" spans="1:48" s="653" customFormat="1" ht="40.5" x14ac:dyDescent="0.35">
      <c r="A30" s="643"/>
      <c r="B30" s="665" t="s">
        <v>405</v>
      </c>
      <c r="C30" s="665" t="s">
        <v>403</v>
      </c>
      <c r="D30" s="665" t="s">
        <v>403</v>
      </c>
      <c r="E30" s="665" t="s">
        <v>426</v>
      </c>
      <c r="F30" s="665" t="s">
        <v>426</v>
      </c>
      <c r="G30" s="665" t="s">
        <v>402</v>
      </c>
      <c r="H30" s="677"/>
      <c r="I30" s="677"/>
      <c r="J30" s="664" t="s">
        <v>434</v>
      </c>
      <c r="K30" s="642"/>
      <c r="L30" s="642"/>
      <c r="M30" s="642"/>
      <c r="N30" s="160"/>
      <c r="O30" s="655"/>
      <c r="P30" s="655"/>
      <c r="Q30" s="655"/>
      <c r="R30" s="655">
        <f t="shared" si="12"/>
        <v>0</v>
      </c>
      <c r="S30" s="656"/>
      <c r="T30" s="656"/>
      <c r="U30" s="657"/>
      <c r="V30" s="656">
        <f t="shared" si="13"/>
        <v>0</v>
      </c>
      <c r="W30" s="644"/>
      <c r="X30" s="644"/>
      <c r="Y30" s="658">
        <f t="shared" si="14"/>
        <v>0</v>
      </c>
      <c r="Z30" s="659"/>
      <c r="AA30" s="644">
        <f t="shared" si="15"/>
        <v>0</v>
      </c>
      <c r="AB30" s="660"/>
      <c r="AC30" s="618"/>
      <c r="AD30" s="644">
        <f t="shared" si="16"/>
        <v>0</v>
      </c>
      <c r="AE30" s="659">
        <f t="shared" si="17"/>
        <v>0</v>
      </c>
      <c r="AF30" s="659"/>
      <c r="AG30" s="659">
        <f t="shared" si="18"/>
        <v>0</v>
      </c>
      <c r="AH30" s="661">
        <f t="shared" si="19"/>
        <v>0</v>
      </c>
      <c r="AI30" s="645" t="e">
        <f t="shared" si="21"/>
        <v>#DIV/0!</v>
      </c>
      <c r="AJ30" s="646"/>
      <c r="AK30" s="647"/>
      <c r="AL30" s="648" t="e">
        <f>SUM(AE30-AF30-#REF!-#REF!)</f>
        <v>#REF!</v>
      </c>
      <c r="AM30" s="649" t="e">
        <f t="shared" si="22"/>
        <v>#DIV/0!</v>
      </c>
      <c r="AN30" s="640"/>
      <c r="AO30" s="650"/>
      <c r="AP30" s="651"/>
      <c r="AQ30" s="239"/>
      <c r="AR30" s="641"/>
      <c r="AS30" s="652"/>
      <c r="AV30" s="654"/>
    </row>
    <row r="31" spans="1:48" s="653" customFormat="1" ht="40.5" x14ac:dyDescent="0.35">
      <c r="A31" s="643"/>
      <c r="B31" s="665" t="s">
        <v>405</v>
      </c>
      <c r="C31" s="665" t="s">
        <v>403</v>
      </c>
      <c r="D31" s="665" t="s">
        <v>403</v>
      </c>
      <c r="E31" s="665" t="s">
        <v>426</v>
      </c>
      <c r="F31" s="665" t="s">
        <v>435</v>
      </c>
      <c r="G31" s="665"/>
      <c r="H31" s="677"/>
      <c r="I31" s="677"/>
      <c r="J31" s="664" t="s">
        <v>436</v>
      </c>
      <c r="K31" s="642"/>
      <c r="L31" s="642"/>
      <c r="M31" s="642"/>
      <c r="N31" s="160"/>
      <c r="O31" s="655"/>
      <c r="P31" s="655"/>
      <c r="Q31" s="655"/>
      <c r="R31" s="655">
        <f t="shared" si="12"/>
        <v>0</v>
      </c>
      <c r="S31" s="656"/>
      <c r="T31" s="656"/>
      <c r="U31" s="657"/>
      <c r="V31" s="656">
        <f t="shared" si="13"/>
        <v>0</v>
      </c>
      <c r="W31" s="644"/>
      <c r="X31" s="644"/>
      <c r="Y31" s="658">
        <f t="shared" si="14"/>
        <v>0</v>
      </c>
      <c r="Z31" s="659"/>
      <c r="AA31" s="644">
        <f t="shared" si="15"/>
        <v>0</v>
      </c>
      <c r="AB31" s="660"/>
      <c r="AC31" s="618"/>
      <c r="AD31" s="644">
        <f t="shared" si="16"/>
        <v>0</v>
      </c>
      <c r="AE31" s="659">
        <f t="shared" si="17"/>
        <v>0</v>
      </c>
      <c r="AF31" s="659"/>
      <c r="AG31" s="659">
        <f t="shared" si="18"/>
        <v>0</v>
      </c>
      <c r="AH31" s="661">
        <f t="shared" si="19"/>
        <v>0</v>
      </c>
      <c r="AI31" s="645" t="e">
        <f t="shared" si="21"/>
        <v>#DIV/0!</v>
      </c>
      <c r="AJ31" s="646"/>
      <c r="AK31" s="647"/>
      <c r="AL31" s="648" t="e">
        <f>SUM(AE31-AF31-#REF!-#REF!)</f>
        <v>#REF!</v>
      </c>
      <c r="AM31" s="649" t="e">
        <f t="shared" si="22"/>
        <v>#DIV/0!</v>
      </c>
      <c r="AN31" s="640"/>
      <c r="AO31" s="650"/>
      <c r="AP31" s="651"/>
      <c r="AQ31" s="239"/>
      <c r="AR31" s="641"/>
      <c r="AS31" s="652"/>
      <c r="AV31" s="654"/>
    </row>
    <row r="32" spans="1:48" s="653" customFormat="1" ht="60.75" x14ac:dyDescent="0.35">
      <c r="A32" s="643"/>
      <c r="B32" s="665" t="s">
        <v>405</v>
      </c>
      <c r="C32" s="665" t="s">
        <v>403</v>
      </c>
      <c r="D32" s="665" t="s">
        <v>403</v>
      </c>
      <c r="E32" s="665" t="s">
        <v>426</v>
      </c>
      <c r="F32" s="665" t="s">
        <v>435</v>
      </c>
      <c r="G32" s="665" t="s">
        <v>403</v>
      </c>
      <c r="H32" s="677"/>
      <c r="I32" s="677"/>
      <c r="J32" s="664" t="s">
        <v>437</v>
      </c>
      <c r="K32" s="642"/>
      <c r="L32" s="642"/>
      <c r="M32" s="642"/>
      <c r="N32" s="160"/>
      <c r="O32" s="655"/>
      <c r="P32" s="655"/>
      <c r="Q32" s="655"/>
      <c r="R32" s="655">
        <f t="shared" si="12"/>
        <v>0</v>
      </c>
      <c r="S32" s="656"/>
      <c r="T32" s="656"/>
      <c r="U32" s="657"/>
      <c r="V32" s="656">
        <f t="shared" si="13"/>
        <v>0</v>
      </c>
      <c r="W32" s="644"/>
      <c r="X32" s="644"/>
      <c r="Y32" s="658">
        <f t="shared" si="14"/>
        <v>0</v>
      </c>
      <c r="Z32" s="659"/>
      <c r="AA32" s="644">
        <f t="shared" si="15"/>
        <v>0</v>
      </c>
      <c r="AB32" s="660"/>
      <c r="AC32" s="618"/>
      <c r="AD32" s="644">
        <f t="shared" si="16"/>
        <v>0</v>
      </c>
      <c r="AE32" s="659">
        <f t="shared" si="17"/>
        <v>0</v>
      </c>
      <c r="AF32" s="659"/>
      <c r="AG32" s="659">
        <f t="shared" si="18"/>
        <v>0</v>
      </c>
      <c r="AH32" s="661">
        <f t="shared" si="19"/>
        <v>0</v>
      </c>
      <c r="AI32" s="645" t="e">
        <f t="shared" si="21"/>
        <v>#DIV/0!</v>
      </c>
      <c r="AJ32" s="646"/>
      <c r="AK32" s="647"/>
      <c r="AL32" s="648" t="e">
        <f>SUM(AE32-AF32-#REF!-#REF!)</f>
        <v>#REF!</v>
      </c>
      <c r="AM32" s="649" t="e">
        <f t="shared" si="22"/>
        <v>#DIV/0!</v>
      </c>
      <c r="AN32" s="640"/>
      <c r="AO32" s="650"/>
      <c r="AP32" s="651"/>
      <c r="AQ32" s="239"/>
      <c r="AR32" s="641"/>
      <c r="AS32" s="652"/>
      <c r="AV32" s="654"/>
    </row>
    <row r="33" spans="1:48" s="653" customFormat="1" ht="40.5" x14ac:dyDescent="0.35">
      <c r="A33" s="643"/>
      <c r="B33" s="665" t="s">
        <v>405</v>
      </c>
      <c r="C33" s="665" t="s">
        <v>403</v>
      </c>
      <c r="D33" s="665" t="s">
        <v>403</v>
      </c>
      <c r="E33" s="665" t="s">
        <v>426</v>
      </c>
      <c r="F33" s="665" t="s">
        <v>435</v>
      </c>
      <c r="G33" s="665" t="s">
        <v>405</v>
      </c>
      <c r="H33" s="677"/>
      <c r="I33" s="677"/>
      <c r="J33" s="664" t="s">
        <v>438</v>
      </c>
      <c r="K33" s="642"/>
      <c r="L33" s="642"/>
      <c r="M33" s="642"/>
      <c r="N33" s="160"/>
      <c r="O33" s="655">
        <v>22700000</v>
      </c>
      <c r="P33" s="655"/>
      <c r="Q33" s="655"/>
      <c r="R33" s="655">
        <f t="shared" si="12"/>
        <v>22700000</v>
      </c>
      <c r="S33" s="656"/>
      <c r="T33" s="656"/>
      <c r="U33" s="657"/>
      <c r="V33" s="656">
        <f t="shared" si="13"/>
        <v>0</v>
      </c>
      <c r="W33" s="644"/>
      <c r="X33" s="644"/>
      <c r="Y33" s="658">
        <f t="shared" si="14"/>
        <v>0</v>
      </c>
      <c r="Z33" s="659"/>
      <c r="AA33" s="644">
        <f t="shared" si="15"/>
        <v>22700000</v>
      </c>
      <c r="AB33" s="660">
        <v>22700000</v>
      </c>
      <c r="AC33" s="618"/>
      <c r="AD33" s="644">
        <f t="shared" si="16"/>
        <v>22700000</v>
      </c>
      <c r="AE33" s="659">
        <f t="shared" si="17"/>
        <v>22700000</v>
      </c>
      <c r="AF33" s="659">
        <v>22700000</v>
      </c>
      <c r="AG33" s="659">
        <f t="shared" si="18"/>
        <v>0</v>
      </c>
      <c r="AH33" s="661">
        <f t="shared" si="19"/>
        <v>0</v>
      </c>
      <c r="AI33" s="645">
        <f t="shared" si="21"/>
        <v>0</v>
      </c>
      <c r="AJ33" s="646"/>
      <c r="AK33" s="647"/>
      <c r="AL33" s="648" t="e">
        <f>SUM(AE33-AF33-#REF!-#REF!)</f>
        <v>#REF!</v>
      </c>
      <c r="AM33" s="649">
        <f t="shared" si="22"/>
        <v>0</v>
      </c>
      <c r="AN33" s="640"/>
      <c r="AO33" s="650"/>
      <c r="AP33" s="282"/>
      <c r="AQ33" s="239"/>
      <c r="AR33" s="641"/>
      <c r="AS33" s="652"/>
      <c r="AV33" s="654"/>
    </row>
    <row r="34" spans="1:48" s="653" customFormat="1" ht="26.25" x14ac:dyDescent="0.35">
      <c r="A34" s="643"/>
      <c r="B34" s="665" t="s">
        <v>405</v>
      </c>
      <c r="C34" s="665" t="s">
        <v>403</v>
      </c>
      <c r="D34" s="665" t="s">
        <v>403</v>
      </c>
      <c r="E34" s="665" t="s">
        <v>426</v>
      </c>
      <c r="F34" s="665" t="s">
        <v>409</v>
      </c>
      <c r="G34" s="665"/>
      <c r="H34" s="677"/>
      <c r="I34" s="677"/>
      <c r="J34" s="664" t="s">
        <v>439</v>
      </c>
      <c r="K34" s="642"/>
      <c r="L34" s="642"/>
      <c r="M34" s="642"/>
      <c r="N34" s="160"/>
      <c r="O34" s="655"/>
      <c r="P34" s="655"/>
      <c r="Q34" s="655"/>
      <c r="R34" s="655">
        <f t="shared" si="12"/>
        <v>0</v>
      </c>
      <c r="S34" s="656"/>
      <c r="T34" s="656"/>
      <c r="U34" s="657"/>
      <c r="V34" s="656">
        <f t="shared" si="13"/>
        <v>0</v>
      </c>
      <c r="W34" s="644"/>
      <c r="X34" s="644"/>
      <c r="Y34" s="658">
        <f t="shared" si="14"/>
        <v>0</v>
      </c>
      <c r="Z34" s="659"/>
      <c r="AA34" s="644">
        <f t="shared" si="15"/>
        <v>0</v>
      </c>
      <c r="AB34" s="660"/>
      <c r="AC34" s="618"/>
      <c r="AD34" s="644">
        <f t="shared" si="16"/>
        <v>0</v>
      </c>
      <c r="AE34" s="659">
        <f t="shared" si="17"/>
        <v>0</v>
      </c>
      <c r="AF34" s="659"/>
      <c r="AG34" s="659">
        <f t="shared" si="18"/>
        <v>0</v>
      </c>
      <c r="AH34" s="661">
        <f t="shared" si="19"/>
        <v>0</v>
      </c>
      <c r="AI34" s="645" t="e">
        <f t="shared" si="21"/>
        <v>#DIV/0!</v>
      </c>
      <c r="AJ34" s="646"/>
      <c r="AK34" s="647"/>
      <c r="AL34" s="648" t="e">
        <f>SUM(AE34-AF34-#REF!-#REF!)</f>
        <v>#REF!</v>
      </c>
      <c r="AM34" s="649" t="e">
        <f t="shared" si="22"/>
        <v>#DIV/0!</v>
      </c>
      <c r="AN34" s="640"/>
      <c r="AO34" s="650"/>
      <c r="AP34" s="651"/>
      <c r="AQ34" s="239"/>
      <c r="AR34" s="641"/>
      <c r="AS34" s="652"/>
      <c r="AV34" s="654"/>
    </row>
    <row r="35" spans="1:48" s="653" customFormat="1" ht="60.75" x14ac:dyDescent="0.35">
      <c r="A35" s="643"/>
      <c r="B35" s="665" t="s">
        <v>405</v>
      </c>
      <c r="C35" s="665" t="s">
        <v>403</v>
      </c>
      <c r="D35" s="665" t="s">
        <v>403</v>
      </c>
      <c r="E35" s="665" t="s">
        <v>426</v>
      </c>
      <c r="F35" s="665" t="s">
        <v>409</v>
      </c>
      <c r="G35" s="665" t="s">
        <v>403</v>
      </c>
      <c r="H35" s="677"/>
      <c r="I35" s="677"/>
      <c r="J35" s="664" t="s">
        <v>440</v>
      </c>
      <c r="K35" s="642"/>
      <c r="L35" s="642"/>
      <c r="M35" s="642"/>
      <c r="N35" s="160"/>
      <c r="O35" s="655"/>
      <c r="P35" s="655"/>
      <c r="Q35" s="655"/>
      <c r="R35" s="655">
        <f t="shared" si="12"/>
        <v>0</v>
      </c>
      <c r="S35" s="656"/>
      <c r="T35" s="656"/>
      <c r="U35" s="657"/>
      <c r="V35" s="656">
        <f t="shared" si="13"/>
        <v>0</v>
      </c>
      <c r="W35" s="644"/>
      <c r="X35" s="644"/>
      <c r="Y35" s="658">
        <f t="shared" si="14"/>
        <v>0</v>
      </c>
      <c r="Z35" s="659"/>
      <c r="AA35" s="644">
        <f t="shared" si="15"/>
        <v>0</v>
      </c>
      <c r="AB35" s="660"/>
      <c r="AC35" s="618"/>
      <c r="AD35" s="644">
        <f t="shared" si="16"/>
        <v>0</v>
      </c>
      <c r="AE35" s="659">
        <f t="shared" si="17"/>
        <v>0</v>
      </c>
      <c r="AF35" s="659"/>
      <c r="AG35" s="659">
        <f t="shared" si="18"/>
        <v>0</v>
      </c>
      <c r="AH35" s="661">
        <f t="shared" si="19"/>
        <v>0</v>
      </c>
      <c r="AI35" s="645" t="e">
        <f t="shared" si="21"/>
        <v>#DIV/0!</v>
      </c>
      <c r="AJ35" s="646"/>
      <c r="AK35" s="647"/>
      <c r="AL35" s="648" t="e">
        <f>SUM(AE35-AF35-#REF!-#REF!)</f>
        <v>#REF!</v>
      </c>
      <c r="AM35" s="649" t="e">
        <f t="shared" si="22"/>
        <v>#DIV/0!</v>
      </c>
      <c r="AN35" s="640"/>
      <c r="AO35" s="650"/>
      <c r="AP35" s="651"/>
      <c r="AQ35" s="239"/>
      <c r="AR35" s="641"/>
      <c r="AS35" s="652"/>
      <c r="AV35" s="654"/>
    </row>
    <row r="36" spans="1:48" s="653" customFormat="1" ht="70.5" customHeight="1" x14ac:dyDescent="0.35">
      <c r="A36" s="643"/>
      <c r="B36" s="665" t="s">
        <v>405</v>
      </c>
      <c r="C36" s="665" t="s">
        <v>403</v>
      </c>
      <c r="D36" s="665" t="s">
        <v>403</v>
      </c>
      <c r="E36" s="665" t="s">
        <v>426</v>
      </c>
      <c r="F36" s="665" t="s">
        <v>409</v>
      </c>
      <c r="G36" s="665" t="s">
        <v>429</v>
      </c>
      <c r="H36" s="677"/>
      <c r="I36" s="677"/>
      <c r="J36" s="664" t="s">
        <v>441</v>
      </c>
      <c r="K36" s="642"/>
      <c r="L36" s="642"/>
      <c r="M36" s="642"/>
      <c r="N36" s="160"/>
      <c r="O36" s="655">
        <v>500000</v>
      </c>
      <c r="P36" s="655"/>
      <c r="Q36" s="655"/>
      <c r="R36" s="655">
        <f t="shared" si="12"/>
        <v>500000</v>
      </c>
      <c r="S36" s="656"/>
      <c r="T36" s="656"/>
      <c r="U36" s="657"/>
      <c r="V36" s="656">
        <f t="shared" si="13"/>
        <v>0</v>
      </c>
      <c r="W36" s="644"/>
      <c r="X36" s="644"/>
      <c r="Y36" s="658">
        <f t="shared" si="14"/>
        <v>0</v>
      </c>
      <c r="Z36" s="659"/>
      <c r="AA36" s="644">
        <f t="shared" si="15"/>
        <v>500000</v>
      </c>
      <c r="AB36" s="660">
        <v>500000</v>
      </c>
      <c r="AC36" s="618"/>
      <c r="AD36" s="644">
        <f t="shared" si="16"/>
        <v>500000</v>
      </c>
      <c r="AE36" s="659">
        <f t="shared" si="17"/>
        <v>500000</v>
      </c>
      <c r="AF36" s="659">
        <v>500000</v>
      </c>
      <c r="AG36" s="659">
        <f t="shared" si="18"/>
        <v>0</v>
      </c>
      <c r="AH36" s="661">
        <f t="shared" si="19"/>
        <v>0</v>
      </c>
      <c r="AI36" s="645">
        <f t="shared" si="21"/>
        <v>0</v>
      </c>
      <c r="AJ36" s="646"/>
      <c r="AK36" s="647"/>
      <c r="AL36" s="648" t="e">
        <f>SUM(AE36-AF36-#REF!-#REF!)</f>
        <v>#REF!</v>
      </c>
      <c r="AM36" s="649">
        <f t="shared" si="22"/>
        <v>0</v>
      </c>
      <c r="AN36" s="640"/>
      <c r="AO36" s="650"/>
      <c r="AP36" s="651"/>
      <c r="AQ36" s="239"/>
      <c r="AR36" s="641"/>
      <c r="AS36" s="652"/>
      <c r="AV36" s="654"/>
    </row>
    <row r="37" spans="1:48" s="653" customFormat="1" ht="40.5" x14ac:dyDescent="0.35">
      <c r="A37" s="643"/>
      <c r="B37" s="665" t="s">
        <v>405</v>
      </c>
      <c r="C37" s="665" t="s">
        <v>403</v>
      </c>
      <c r="D37" s="665" t="s">
        <v>403</v>
      </c>
      <c r="E37" s="665" t="s">
        <v>426</v>
      </c>
      <c r="F37" s="665" t="s">
        <v>409</v>
      </c>
      <c r="G37" s="665" t="s">
        <v>431</v>
      </c>
      <c r="H37" s="677"/>
      <c r="I37" s="677"/>
      <c r="J37" s="664" t="s">
        <v>442</v>
      </c>
      <c r="K37" s="642"/>
      <c r="L37" s="642"/>
      <c r="M37" s="642"/>
      <c r="N37" s="160"/>
      <c r="O37" s="655">
        <v>4000000</v>
      </c>
      <c r="P37" s="655"/>
      <c r="Q37" s="655"/>
      <c r="R37" s="655">
        <f t="shared" si="12"/>
        <v>4000000</v>
      </c>
      <c r="S37" s="656"/>
      <c r="T37" s="656"/>
      <c r="U37" s="657"/>
      <c r="V37" s="656">
        <f t="shared" si="13"/>
        <v>0</v>
      </c>
      <c r="W37" s="644"/>
      <c r="X37" s="644"/>
      <c r="Y37" s="658">
        <f t="shared" si="14"/>
        <v>0</v>
      </c>
      <c r="Z37" s="659"/>
      <c r="AA37" s="644">
        <f t="shared" si="15"/>
        <v>4000000</v>
      </c>
      <c r="AB37" s="660">
        <v>4000000</v>
      </c>
      <c r="AC37" s="618"/>
      <c r="AD37" s="644">
        <f t="shared" si="16"/>
        <v>4000000</v>
      </c>
      <c r="AE37" s="659">
        <f t="shared" si="17"/>
        <v>4000000</v>
      </c>
      <c r="AF37" s="659">
        <v>4000000</v>
      </c>
      <c r="AG37" s="659">
        <f t="shared" si="18"/>
        <v>0</v>
      </c>
      <c r="AH37" s="661">
        <f t="shared" si="19"/>
        <v>0</v>
      </c>
      <c r="AI37" s="645">
        <f t="shared" si="21"/>
        <v>0</v>
      </c>
      <c r="AJ37" s="646"/>
      <c r="AK37" s="647"/>
      <c r="AL37" s="648" t="e">
        <f>SUM(AE37-AF37-#REF!-#REF!)</f>
        <v>#REF!</v>
      </c>
      <c r="AM37" s="649">
        <f t="shared" si="22"/>
        <v>0</v>
      </c>
      <c r="AN37" s="640"/>
      <c r="AO37" s="650"/>
      <c r="AP37" s="651"/>
      <c r="AQ37" s="239"/>
      <c r="AR37" s="641"/>
      <c r="AS37" s="652"/>
      <c r="AV37" s="654"/>
    </row>
    <row r="38" spans="1:48" s="653" customFormat="1" ht="81" x14ac:dyDescent="0.35">
      <c r="A38" s="643"/>
      <c r="B38" s="665" t="s">
        <v>405</v>
      </c>
      <c r="C38" s="665" t="s">
        <v>403</v>
      </c>
      <c r="D38" s="665" t="s">
        <v>403</v>
      </c>
      <c r="E38" s="665" t="s">
        <v>426</v>
      </c>
      <c r="F38" s="665" t="s">
        <v>443</v>
      </c>
      <c r="G38" s="665" t="s">
        <v>405</v>
      </c>
      <c r="H38" s="677"/>
      <c r="I38" s="677"/>
      <c r="J38" s="664" t="s">
        <v>444</v>
      </c>
      <c r="K38" s="642"/>
      <c r="L38" s="642"/>
      <c r="M38" s="642"/>
      <c r="N38" s="160"/>
      <c r="O38" s="655"/>
      <c r="P38" s="655"/>
      <c r="Q38" s="655"/>
      <c r="R38" s="655">
        <f t="shared" si="12"/>
        <v>0</v>
      </c>
      <c r="S38" s="656"/>
      <c r="T38" s="656"/>
      <c r="U38" s="657"/>
      <c r="V38" s="656">
        <f t="shared" si="13"/>
        <v>0</v>
      </c>
      <c r="W38" s="644"/>
      <c r="X38" s="644"/>
      <c r="Y38" s="658">
        <f t="shared" si="14"/>
        <v>0</v>
      </c>
      <c r="Z38" s="659"/>
      <c r="AA38" s="644">
        <f t="shared" si="15"/>
        <v>0</v>
      </c>
      <c r="AB38" s="660"/>
      <c r="AC38" s="618"/>
      <c r="AD38" s="644">
        <f t="shared" si="16"/>
        <v>0</v>
      </c>
      <c r="AE38" s="659">
        <f t="shared" si="17"/>
        <v>0</v>
      </c>
      <c r="AF38" s="659"/>
      <c r="AG38" s="659">
        <f t="shared" si="18"/>
        <v>0</v>
      </c>
      <c r="AH38" s="661">
        <f t="shared" si="19"/>
        <v>0</v>
      </c>
      <c r="AI38" s="645" t="e">
        <f t="shared" si="21"/>
        <v>#DIV/0!</v>
      </c>
      <c r="AJ38" s="646"/>
      <c r="AK38" s="647"/>
      <c r="AL38" s="648" t="e">
        <f>SUM(AE38-AF38-#REF!-#REF!)</f>
        <v>#REF!</v>
      </c>
      <c r="AM38" s="649" t="e">
        <f t="shared" si="22"/>
        <v>#DIV/0!</v>
      </c>
      <c r="AN38" s="640"/>
      <c r="AO38" s="650"/>
      <c r="AP38" s="651"/>
      <c r="AQ38" s="239"/>
      <c r="AR38" s="641"/>
      <c r="AS38" s="652"/>
      <c r="AV38" s="654"/>
    </row>
    <row r="39" spans="1:48" s="653" customFormat="1" ht="107.45" customHeight="1" x14ac:dyDescent="0.35">
      <c r="A39" s="643"/>
      <c r="B39" s="665" t="s">
        <v>405</v>
      </c>
      <c r="C39" s="665" t="s">
        <v>403</v>
      </c>
      <c r="D39" s="665" t="s">
        <v>403</v>
      </c>
      <c r="E39" s="665" t="s">
        <v>426</v>
      </c>
      <c r="F39" s="665" t="s">
        <v>443</v>
      </c>
      <c r="G39" s="665" t="s">
        <v>445</v>
      </c>
      <c r="H39" s="677"/>
      <c r="I39" s="677"/>
      <c r="J39" s="594" t="s">
        <v>446</v>
      </c>
      <c r="K39" s="642"/>
      <c r="L39" s="642"/>
      <c r="M39" s="642"/>
      <c r="N39" s="160"/>
      <c r="O39" s="655">
        <v>5800000</v>
      </c>
      <c r="P39" s="655"/>
      <c r="Q39" s="655"/>
      <c r="R39" s="655">
        <f t="shared" si="12"/>
        <v>5800000</v>
      </c>
      <c r="S39" s="656"/>
      <c r="T39" s="656"/>
      <c r="U39" s="657"/>
      <c r="V39" s="656">
        <f t="shared" si="13"/>
        <v>0</v>
      </c>
      <c r="W39" s="644"/>
      <c r="X39" s="644"/>
      <c r="Y39" s="658">
        <f t="shared" si="14"/>
        <v>0</v>
      </c>
      <c r="Z39" s="659"/>
      <c r="AA39" s="644">
        <f t="shared" si="15"/>
        <v>5800000</v>
      </c>
      <c r="AB39" s="660">
        <v>5800000</v>
      </c>
      <c r="AC39" s="618"/>
      <c r="AD39" s="644">
        <f t="shared" si="16"/>
        <v>5800000</v>
      </c>
      <c r="AE39" s="659">
        <f t="shared" si="17"/>
        <v>5800000</v>
      </c>
      <c r="AF39" s="659">
        <v>5800000</v>
      </c>
      <c r="AG39" s="659">
        <f t="shared" si="18"/>
        <v>0</v>
      </c>
      <c r="AH39" s="661">
        <f t="shared" si="19"/>
        <v>0</v>
      </c>
      <c r="AI39" s="645">
        <f t="shared" si="21"/>
        <v>0</v>
      </c>
      <c r="AJ39" s="646"/>
      <c r="AK39" s="647"/>
      <c r="AL39" s="648" t="e">
        <f>SUM(AE39-AF39-#REF!-#REF!)</f>
        <v>#REF!</v>
      </c>
      <c r="AM39" s="649">
        <f t="shared" si="22"/>
        <v>0</v>
      </c>
      <c r="AN39" s="640"/>
      <c r="AO39" s="283"/>
      <c r="AP39" s="651"/>
      <c r="AQ39" s="239"/>
      <c r="AR39" s="641"/>
      <c r="AS39" s="652"/>
      <c r="AV39" s="654"/>
    </row>
    <row r="40" spans="1:48" s="302" customFormat="1" ht="26.25" x14ac:dyDescent="0.35">
      <c r="A40" s="284"/>
      <c r="B40" s="680"/>
      <c r="C40" s="680"/>
      <c r="D40" s="680"/>
      <c r="E40" s="680"/>
      <c r="F40" s="680"/>
      <c r="G40" s="680"/>
      <c r="H40" s="681"/>
      <c r="I40" s="681"/>
      <c r="J40" s="595"/>
      <c r="K40" s="288">
        <f>SUM(K15:K39)</f>
        <v>0</v>
      </c>
      <c r="L40" s="288">
        <f>SUM(L15:L39)</f>
        <v>323651508</v>
      </c>
      <c r="M40" s="288">
        <f>SUM(M15:M39)</f>
        <v>58257167</v>
      </c>
      <c r="N40" s="289"/>
      <c r="O40" s="290"/>
      <c r="P40" s="290"/>
      <c r="Q40" s="290"/>
      <c r="R40" s="173"/>
      <c r="S40" s="291"/>
      <c r="T40" s="291"/>
      <c r="U40" s="291"/>
      <c r="V40" s="291"/>
      <c r="W40" s="292"/>
      <c r="X40" s="292"/>
      <c r="Y40" s="292"/>
      <c r="Z40" s="292"/>
      <c r="AA40" s="292"/>
      <c r="AB40" s="292"/>
      <c r="AC40" s="292"/>
      <c r="AD40" s="292"/>
      <c r="AE40" s="292"/>
      <c r="AF40" s="292"/>
      <c r="AG40" s="292"/>
      <c r="AH40" s="293"/>
      <c r="AI40" s="294"/>
      <c r="AJ40" s="293"/>
      <c r="AK40" s="292"/>
      <c r="AL40" s="295"/>
      <c r="AM40" s="296"/>
      <c r="AN40" s="297"/>
      <c r="AO40" s="298"/>
      <c r="AP40" s="299"/>
      <c r="AQ40" s="300"/>
      <c r="AR40" s="300"/>
      <c r="AS40" s="301"/>
      <c r="AV40" s="303"/>
    </row>
    <row r="41" spans="1:48" s="305" customFormat="1" ht="30" x14ac:dyDescent="0.35">
      <c r="A41" s="643" t="s">
        <v>33</v>
      </c>
      <c r="B41" s="665" t="s">
        <v>405</v>
      </c>
      <c r="C41" s="665" t="s">
        <v>405</v>
      </c>
      <c r="D41" s="665"/>
      <c r="E41" s="665"/>
      <c r="F41" s="665"/>
      <c r="G41" s="665"/>
      <c r="H41" s="677"/>
      <c r="I41" s="677"/>
      <c r="J41" s="596" t="s">
        <v>447</v>
      </c>
      <c r="K41" s="642"/>
      <c r="L41" s="642"/>
      <c r="M41" s="642"/>
      <c r="N41" s="238">
        <f>SUM(N42+N59)</f>
        <v>2454000000</v>
      </c>
      <c r="O41" s="238">
        <f>SUM(O42+O59)</f>
        <v>2446800000</v>
      </c>
      <c r="P41" s="238">
        <f t="shared" ref="P41:AM41" si="23">SUM(P42+P59)</f>
        <v>125940227</v>
      </c>
      <c r="Q41" s="238">
        <f t="shared" si="23"/>
        <v>149381227</v>
      </c>
      <c r="R41" s="238">
        <f t="shared" si="23"/>
        <v>2423359000</v>
      </c>
      <c r="S41" s="238">
        <f t="shared" si="23"/>
        <v>10500000</v>
      </c>
      <c r="T41" s="238">
        <f t="shared" si="23"/>
        <v>48617050</v>
      </c>
      <c r="U41" s="238">
        <f t="shared" si="23"/>
        <v>5272759.5</v>
      </c>
      <c r="V41" s="238">
        <f t="shared" si="23"/>
        <v>43344290.5</v>
      </c>
      <c r="W41" s="238">
        <f t="shared" si="23"/>
        <v>268300000</v>
      </c>
      <c r="X41" s="238">
        <f t="shared" si="23"/>
        <v>919826268.64999998</v>
      </c>
      <c r="Y41" s="238">
        <f t="shared" si="23"/>
        <v>43344290.5</v>
      </c>
      <c r="Z41" s="238">
        <f t="shared" si="23"/>
        <v>83682227</v>
      </c>
      <c r="AA41" s="238">
        <f t="shared" si="23"/>
        <v>1092433454.3499999</v>
      </c>
      <c r="AB41" s="238">
        <f t="shared" si="23"/>
        <v>1053779341.46</v>
      </c>
      <c r="AC41" s="238">
        <f t="shared" si="23"/>
        <v>125127905</v>
      </c>
      <c r="AD41" s="238">
        <f t="shared" si="23"/>
        <v>921376436.46000004</v>
      </c>
      <c r="AE41" s="238">
        <f t="shared" si="23"/>
        <v>967305549.3499999</v>
      </c>
      <c r="AF41" s="238">
        <f t="shared" si="23"/>
        <v>919039341.46000004</v>
      </c>
      <c r="AG41" s="238">
        <f t="shared" si="23"/>
        <v>48266207.890000001</v>
      </c>
      <c r="AH41" s="238">
        <f t="shared" si="23"/>
        <v>1386311835.6500001</v>
      </c>
      <c r="AI41" s="238" t="e">
        <f t="shared" si="23"/>
        <v>#DIV/0!</v>
      </c>
      <c r="AJ41" s="238">
        <f t="shared" si="23"/>
        <v>0</v>
      </c>
      <c r="AK41" s="238">
        <f t="shared" si="23"/>
        <v>0</v>
      </c>
      <c r="AL41" s="238" t="e">
        <f t="shared" si="23"/>
        <v>#REF!</v>
      </c>
      <c r="AM41" s="238" t="e">
        <f t="shared" si="23"/>
        <v>#DIV/0!</v>
      </c>
      <c r="AN41" s="640"/>
      <c r="AO41" s="283"/>
      <c r="AP41" s="651"/>
      <c r="AQ41" s="239"/>
      <c r="AR41" s="641"/>
      <c r="AS41" s="304"/>
      <c r="AV41" s="306"/>
    </row>
    <row r="42" spans="1:48" s="256" customFormat="1" ht="27.75" x14ac:dyDescent="0.35">
      <c r="A42" s="240" t="s">
        <v>33</v>
      </c>
      <c r="B42" s="599" t="s">
        <v>405</v>
      </c>
      <c r="C42" s="599" t="s">
        <v>405</v>
      </c>
      <c r="D42" s="599" t="s">
        <v>403</v>
      </c>
      <c r="E42" s="599"/>
      <c r="F42" s="599"/>
      <c r="G42" s="599"/>
      <c r="H42" s="678"/>
      <c r="I42" s="678"/>
      <c r="J42" s="591" t="s">
        <v>448</v>
      </c>
      <c r="K42" s="149"/>
      <c r="L42" s="149"/>
      <c r="M42" s="149"/>
      <c r="N42" s="150">
        <f>SUM(N43+N45+N56)</f>
        <v>226631384</v>
      </c>
      <c r="O42" s="150">
        <f t="shared" ref="O42:AM42" si="24">SUM(O43+O45+O56)</f>
        <v>226631384</v>
      </c>
      <c r="P42" s="150">
        <f t="shared" si="24"/>
        <v>15000000</v>
      </c>
      <c r="Q42" s="150">
        <f t="shared" si="24"/>
        <v>40141000</v>
      </c>
      <c r="R42" s="150">
        <f t="shared" si="24"/>
        <v>201490384</v>
      </c>
      <c r="S42" s="150">
        <f t="shared" si="24"/>
        <v>1000000</v>
      </c>
      <c r="T42" s="150">
        <f t="shared" si="24"/>
        <v>2500000</v>
      </c>
      <c r="U42" s="150">
        <f t="shared" si="24"/>
        <v>82000</v>
      </c>
      <c r="V42" s="150">
        <f t="shared" si="24"/>
        <v>2418000</v>
      </c>
      <c r="W42" s="150">
        <f t="shared" si="24"/>
        <v>0</v>
      </c>
      <c r="X42" s="150">
        <f t="shared" si="24"/>
        <v>40431384</v>
      </c>
      <c r="Y42" s="150">
        <f t="shared" si="24"/>
        <v>2418000</v>
      </c>
      <c r="Z42" s="150">
        <f t="shared" si="24"/>
        <v>0</v>
      </c>
      <c r="AA42" s="150">
        <f t="shared" si="24"/>
        <v>157559000</v>
      </c>
      <c r="AB42" s="150">
        <f t="shared" si="24"/>
        <v>132700000</v>
      </c>
      <c r="AC42" s="150">
        <f t="shared" si="24"/>
        <v>5485000</v>
      </c>
      <c r="AD42" s="150">
        <f t="shared" si="24"/>
        <v>127215000</v>
      </c>
      <c r="AE42" s="150">
        <f t="shared" si="24"/>
        <v>152074000</v>
      </c>
      <c r="AF42" s="150">
        <f t="shared" si="24"/>
        <v>127200000</v>
      </c>
      <c r="AG42" s="150">
        <f t="shared" si="24"/>
        <v>24874000</v>
      </c>
      <c r="AH42" s="150">
        <f t="shared" si="24"/>
        <v>46998384</v>
      </c>
      <c r="AI42" s="150" t="e">
        <f t="shared" si="24"/>
        <v>#DIV/0!</v>
      </c>
      <c r="AJ42" s="150">
        <f t="shared" si="24"/>
        <v>0</v>
      </c>
      <c r="AK42" s="150">
        <f t="shared" si="24"/>
        <v>0</v>
      </c>
      <c r="AL42" s="150" t="e">
        <f t="shared" si="24"/>
        <v>#REF!</v>
      </c>
      <c r="AM42" s="150" t="e">
        <f t="shared" si="24"/>
        <v>#DIV/0!</v>
      </c>
      <c r="AN42" s="250"/>
      <c r="AO42" s="307"/>
      <c r="AP42" s="252"/>
      <c r="AQ42" s="253"/>
      <c r="AR42" s="254"/>
      <c r="AS42" s="255"/>
      <c r="AV42" s="257"/>
    </row>
    <row r="43" spans="1:48" s="276" customFormat="1" ht="81" x14ac:dyDescent="0.35">
      <c r="A43" s="258" t="s">
        <v>33</v>
      </c>
      <c r="B43" s="607" t="s">
        <v>405</v>
      </c>
      <c r="C43" s="607" t="s">
        <v>405</v>
      </c>
      <c r="D43" s="607" t="s">
        <v>403</v>
      </c>
      <c r="E43" s="607" t="s">
        <v>449</v>
      </c>
      <c r="F43" s="607"/>
      <c r="G43" s="607"/>
      <c r="H43" s="679"/>
      <c r="I43" s="679"/>
      <c r="J43" s="592" t="s">
        <v>450</v>
      </c>
      <c r="K43" s="262"/>
      <c r="L43" s="262"/>
      <c r="M43" s="262"/>
      <c r="N43" s="309">
        <v>29100000</v>
      </c>
      <c r="O43" s="310">
        <f>SUM(O44)</f>
        <v>29100000</v>
      </c>
      <c r="P43" s="310">
        <f t="shared" ref="P43:AM43" si="25">SUM(P44)</f>
        <v>0</v>
      </c>
      <c r="Q43" s="310">
        <f t="shared" si="25"/>
        <v>0</v>
      </c>
      <c r="R43" s="310">
        <f t="shared" si="25"/>
        <v>29100000</v>
      </c>
      <c r="S43" s="310">
        <f t="shared" si="25"/>
        <v>0</v>
      </c>
      <c r="T43" s="310">
        <f t="shared" si="25"/>
        <v>0</v>
      </c>
      <c r="U43" s="310">
        <f t="shared" si="25"/>
        <v>0</v>
      </c>
      <c r="V43" s="310">
        <f t="shared" si="25"/>
        <v>0</v>
      </c>
      <c r="W43" s="310">
        <f t="shared" si="25"/>
        <v>0</v>
      </c>
      <c r="X43" s="310">
        <f t="shared" si="25"/>
        <v>0</v>
      </c>
      <c r="Y43" s="310">
        <f t="shared" si="25"/>
        <v>0</v>
      </c>
      <c r="Z43" s="310">
        <f t="shared" si="25"/>
        <v>0</v>
      </c>
      <c r="AA43" s="310">
        <f>SUM(AA44)</f>
        <v>29100000</v>
      </c>
      <c r="AB43" s="310">
        <f t="shared" si="25"/>
        <v>26000000</v>
      </c>
      <c r="AC43" s="310">
        <f t="shared" si="25"/>
        <v>0</v>
      </c>
      <c r="AD43" s="310">
        <f t="shared" si="25"/>
        <v>26000000</v>
      </c>
      <c r="AE43" s="310">
        <f t="shared" si="25"/>
        <v>29100000</v>
      </c>
      <c r="AF43" s="310">
        <f t="shared" si="25"/>
        <v>26000000</v>
      </c>
      <c r="AG43" s="310">
        <f t="shared" si="25"/>
        <v>3100000</v>
      </c>
      <c r="AH43" s="310">
        <f t="shared" si="25"/>
        <v>0</v>
      </c>
      <c r="AI43" s="310">
        <f t="shared" si="25"/>
        <v>0</v>
      </c>
      <c r="AJ43" s="310">
        <f t="shared" si="25"/>
        <v>0</v>
      </c>
      <c r="AK43" s="310">
        <f t="shared" si="25"/>
        <v>0</v>
      </c>
      <c r="AL43" s="310" t="e">
        <f t="shared" si="25"/>
        <v>#REF!</v>
      </c>
      <c r="AM43" s="310">
        <f t="shared" si="25"/>
        <v>0</v>
      </c>
      <c r="AN43" s="270"/>
      <c r="AO43" s="311"/>
      <c r="AP43" s="272"/>
      <c r="AQ43" s="273"/>
      <c r="AR43" s="274"/>
      <c r="AS43" s="275"/>
      <c r="AV43" s="277"/>
    </row>
    <row r="44" spans="1:48" s="305" customFormat="1" ht="40.5" x14ac:dyDescent="0.35">
      <c r="A44" s="643" t="s">
        <v>33</v>
      </c>
      <c r="B44" s="665" t="s">
        <v>405</v>
      </c>
      <c r="C44" s="665" t="s">
        <v>405</v>
      </c>
      <c r="D44" s="665" t="s">
        <v>403</v>
      </c>
      <c r="E44" s="665" t="s">
        <v>449</v>
      </c>
      <c r="F44" s="665" t="s">
        <v>417</v>
      </c>
      <c r="G44" s="665"/>
      <c r="H44" s="677"/>
      <c r="I44" s="677"/>
      <c r="J44" s="664" t="s">
        <v>451</v>
      </c>
      <c r="K44" s="642"/>
      <c r="L44" s="642"/>
      <c r="M44" s="642"/>
      <c r="N44" s="655"/>
      <c r="O44" s="312">
        <v>29100000</v>
      </c>
      <c r="P44" s="655"/>
      <c r="Q44" s="655"/>
      <c r="R44" s="655">
        <f t="shared" si="12"/>
        <v>29100000</v>
      </c>
      <c r="S44" s="656"/>
      <c r="T44" s="656"/>
      <c r="U44" s="656"/>
      <c r="V44" s="656">
        <f t="shared" si="13"/>
        <v>0</v>
      </c>
      <c r="W44" s="644"/>
      <c r="X44" s="644"/>
      <c r="Y44" s="658">
        <f t="shared" si="14"/>
        <v>0</v>
      </c>
      <c r="Z44" s="313"/>
      <c r="AA44" s="644">
        <f t="shared" si="15"/>
        <v>29100000</v>
      </c>
      <c r="AB44" s="660">
        <v>26000000</v>
      </c>
      <c r="AC44" s="660"/>
      <c r="AD44" s="644">
        <f t="shared" si="16"/>
        <v>26000000</v>
      </c>
      <c r="AE44" s="659">
        <f t="shared" ref="AE44:AE103" si="26">SUM(AA44-AC44)</f>
        <v>29100000</v>
      </c>
      <c r="AF44" s="659">
        <v>26000000</v>
      </c>
      <c r="AG44" s="659">
        <f t="shared" ref="AG44:AG103" si="27">SUM(AE44-AF44)</f>
        <v>3100000</v>
      </c>
      <c r="AH44" s="661">
        <f t="shared" ref="AH44:AH105" si="28">SUM(S44+U44+W44+Z44+X44+AC44)</f>
        <v>0</v>
      </c>
      <c r="AI44" s="645">
        <f>AC44/(AC44+AF44+AG44)</f>
        <v>0</v>
      </c>
      <c r="AJ44" s="646"/>
      <c r="AK44" s="647"/>
      <c r="AL44" s="648" t="e">
        <f>SUM(AE44-AF44-#REF!-#REF!)</f>
        <v>#REF!</v>
      </c>
      <c r="AM44" s="649">
        <f>SUM(R44-(AE44+Y44))/R44</f>
        <v>0</v>
      </c>
      <c r="AN44" s="640"/>
      <c r="AO44" s="314" t="s">
        <v>1190</v>
      </c>
      <c r="AP44" s="651"/>
      <c r="AQ44" s="239"/>
      <c r="AR44" s="641"/>
      <c r="AS44" s="304"/>
      <c r="AV44" s="306"/>
    </row>
    <row r="45" spans="1:48" s="276" customFormat="1" ht="81" x14ac:dyDescent="0.35">
      <c r="A45" s="258"/>
      <c r="B45" s="607" t="s">
        <v>405</v>
      </c>
      <c r="C45" s="607" t="s">
        <v>405</v>
      </c>
      <c r="D45" s="607" t="s">
        <v>403</v>
      </c>
      <c r="E45" s="607" t="s">
        <v>415</v>
      </c>
      <c r="F45" s="607"/>
      <c r="G45" s="607"/>
      <c r="H45" s="679"/>
      <c r="I45" s="679"/>
      <c r="J45" s="592" t="s">
        <v>452</v>
      </c>
      <c r="K45" s="262"/>
      <c r="L45" s="262"/>
      <c r="M45" s="262"/>
      <c r="N45" s="309">
        <v>192531384</v>
      </c>
      <c r="O45" s="310">
        <f t="shared" ref="O45:AC45" si="29">SUM(O46:O55)</f>
        <v>192531384</v>
      </c>
      <c r="P45" s="310">
        <f t="shared" si="29"/>
        <v>14500000</v>
      </c>
      <c r="Q45" s="310">
        <f t="shared" si="29"/>
        <v>40141000</v>
      </c>
      <c r="R45" s="310">
        <f t="shared" si="29"/>
        <v>166890384</v>
      </c>
      <c r="S45" s="310">
        <f t="shared" si="29"/>
        <v>1000000</v>
      </c>
      <c r="T45" s="310">
        <f t="shared" si="29"/>
        <v>2500000</v>
      </c>
      <c r="U45" s="310">
        <f t="shared" si="29"/>
        <v>82000</v>
      </c>
      <c r="V45" s="310">
        <f t="shared" si="29"/>
        <v>2418000</v>
      </c>
      <c r="W45" s="310">
        <f t="shared" si="29"/>
        <v>0</v>
      </c>
      <c r="X45" s="310">
        <f t="shared" si="29"/>
        <v>40431384</v>
      </c>
      <c r="Y45" s="310">
        <f t="shared" si="29"/>
        <v>2418000</v>
      </c>
      <c r="Z45" s="310">
        <f t="shared" si="29"/>
        <v>0</v>
      </c>
      <c r="AA45" s="310">
        <f t="shared" si="29"/>
        <v>122959000</v>
      </c>
      <c r="AB45" s="310">
        <f t="shared" si="29"/>
        <v>101200000</v>
      </c>
      <c r="AC45" s="310">
        <f t="shared" si="29"/>
        <v>1485000</v>
      </c>
      <c r="AD45" s="310">
        <f t="shared" ref="AD45:AM45" si="30">SUM(AD46:AD54)</f>
        <v>99715000</v>
      </c>
      <c r="AE45" s="310">
        <f>SUM(AE46:AE55)</f>
        <v>121474000</v>
      </c>
      <c r="AF45" s="310">
        <f>SUM(AF46:AF55)</f>
        <v>99700000</v>
      </c>
      <c r="AG45" s="310">
        <f>SUM(AG46:AG55)</f>
        <v>21774000</v>
      </c>
      <c r="AH45" s="310">
        <f>SUM(AH46:AH55)</f>
        <v>42998384</v>
      </c>
      <c r="AI45" s="310" t="e">
        <f>SUM(AI46:AI54)</f>
        <v>#DIV/0!</v>
      </c>
      <c r="AJ45" s="310">
        <f t="shared" si="30"/>
        <v>0</v>
      </c>
      <c r="AK45" s="310">
        <f t="shared" si="30"/>
        <v>0</v>
      </c>
      <c r="AL45" s="310" t="e">
        <f t="shared" si="30"/>
        <v>#REF!</v>
      </c>
      <c r="AM45" s="310" t="e">
        <f t="shared" si="30"/>
        <v>#DIV/0!</v>
      </c>
      <c r="AN45" s="270"/>
      <c r="AO45" s="311"/>
      <c r="AP45" s="272"/>
      <c r="AQ45" s="273"/>
      <c r="AR45" s="274"/>
      <c r="AS45" s="275"/>
      <c r="AV45" s="277"/>
    </row>
    <row r="46" spans="1:48" s="305" customFormat="1" ht="39" customHeight="1" x14ac:dyDescent="0.35">
      <c r="A46" s="643" t="s">
        <v>33</v>
      </c>
      <c r="B46" s="665" t="s">
        <v>405</v>
      </c>
      <c r="C46" s="665" t="s">
        <v>405</v>
      </c>
      <c r="D46" s="665" t="s">
        <v>403</v>
      </c>
      <c r="E46" s="665" t="s">
        <v>415</v>
      </c>
      <c r="F46" s="665" t="s">
        <v>449</v>
      </c>
      <c r="G46" s="665" t="s">
        <v>403</v>
      </c>
      <c r="H46" s="677"/>
      <c r="I46" s="677"/>
      <c r="J46" s="664" t="s">
        <v>453</v>
      </c>
      <c r="K46" s="642"/>
      <c r="L46" s="642"/>
      <c r="M46" s="642"/>
      <c r="N46" s="655"/>
      <c r="O46" s="312">
        <v>45100000</v>
      </c>
      <c r="P46" s="655"/>
      <c r="Q46" s="746">
        <v>12400000</v>
      </c>
      <c r="R46" s="655">
        <f t="shared" si="12"/>
        <v>32700000</v>
      </c>
      <c r="S46" s="656">
        <v>1000000</v>
      </c>
      <c r="T46" s="656">
        <v>2000000</v>
      </c>
      <c r="U46" s="657">
        <v>68000</v>
      </c>
      <c r="V46" s="656">
        <f t="shared" si="13"/>
        <v>1932000</v>
      </c>
      <c r="W46" s="644"/>
      <c r="X46" s="644"/>
      <c r="Y46" s="658">
        <f t="shared" si="14"/>
        <v>1932000</v>
      </c>
      <c r="Z46" s="313"/>
      <c r="AA46" s="644">
        <f t="shared" si="15"/>
        <v>29700000</v>
      </c>
      <c r="AB46" s="660">
        <v>29700000</v>
      </c>
      <c r="AC46" s="660">
        <v>1485000</v>
      </c>
      <c r="AD46" s="644">
        <f t="shared" si="16"/>
        <v>28215000</v>
      </c>
      <c r="AE46" s="659">
        <f>SUM(AA46-AC46)</f>
        <v>28215000</v>
      </c>
      <c r="AF46" s="659">
        <v>28200000</v>
      </c>
      <c r="AG46" s="659">
        <f t="shared" si="27"/>
        <v>15000</v>
      </c>
      <c r="AH46" s="661">
        <f t="shared" si="28"/>
        <v>2553000</v>
      </c>
      <c r="AI46" s="645">
        <f t="shared" ref="AI46:AI55" si="31">AC46/(AC46+AF46+AG46)</f>
        <v>0.05</v>
      </c>
      <c r="AJ46" s="646"/>
      <c r="AK46" s="647"/>
      <c r="AL46" s="648" t="e">
        <f>SUM(AE46-AF46-#REF!-#REF!)</f>
        <v>#REF!</v>
      </c>
      <c r="AM46" s="649">
        <f t="shared" ref="AM46:AM55" si="32">SUM(R46-(AE46+Y46))/R46</f>
        <v>7.807339449541284E-2</v>
      </c>
      <c r="AN46" s="640"/>
      <c r="AO46" s="283"/>
      <c r="AP46" s="651"/>
      <c r="AQ46" s="239"/>
      <c r="AR46" s="747">
        <v>12400000</v>
      </c>
      <c r="AS46" s="304"/>
      <c r="AV46" s="306"/>
    </row>
    <row r="47" spans="1:48" s="305" customFormat="1" ht="88.5" customHeight="1" x14ac:dyDescent="0.35">
      <c r="A47" s="643" t="s">
        <v>33</v>
      </c>
      <c r="B47" s="665" t="s">
        <v>405</v>
      </c>
      <c r="C47" s="665" t="s">
        <v>405</v>
      </c>
      <c r="D47" s="665" t="s">
        <v>403</v>
      </c>
      <c r="E47" s="665" t="s">
        <v>415</v>
      </c>
      <c r="F47" s="665" t="s">
        <v>415</v>
      </c>
      <c r="G47" s="665"/>
      <c r="H47" s="677"/>
      <c r="I47" s="677"/>
      <c r="J47" s="664" t="s">
        <v>454</v>
      </c>
      <c r="K47" s="642"/>
      <c r="L47" s="642"/>
      <c r="M47" s="642"/>
      <c r="N47" s="655"/>
      <c r="O47" s="312">
        <v>40431384</v>
      </c>
      <c r="P47" s="655"/>
      <c r="Q47" s="655"/>
      <c r="R47" s="655">
        <f t="shared" si="12"/>
        <v>40431384</v>
      </c>
      <c r="S47" s="656"/>
      <c r="T47" s="656"/>
      <c r="U47" s="656"/>
      <c r="V47" s="656">
        <f t="shared" si="13"/>
        <v>0</v>
      </c>
      <c r="W47" s="644"/>
      <c r="X47" s="644">
        <v>40431384</v>
      </c>
      <c r="Y47" s="658">
        <f t="shared" si="14"/>
        <v>0</v>
      </c>
      <c r="Z47" s="313"/>
      <c r="AA47" s="644">
        <f t="shared" si="15"/>
        <v>0</v>
      </c>
      <c r="AB47" s="660"/>
      <c r="AC47" s="660"/>
      <c r="AD47" s="644">
        <f t="shared" si="16"/>
        <v>0</v>
      </c>
      <c r="AE47" s="659">
        <f t="shared" si="26"/>
        <v>0</v>
      </c>
      <c r="AF47" s="659"/>
      <c r="AG47" s="659">
        <f t="shared" si="27"/>
        <v>0</v>
      </c>
      <c r="AH47" s="661">
        <f t="shared" si="28"/>
        <v>40431384</v>
      </c>
      <c r="AI47" s="645" t="e">
        <f t="shared" si="31"/>
        <v>#DIV/0!</v>
      </c>
      <c r="AJ47" s="646"/>
      <c r="AK47" s="647"/>
      <c r="AL47" s="648" t="e">
        <f>SUM(AE47-AF47-#REF!-#REF!)</f>
        <v>#REF!</v>
      </c>
      <c r="AM47" s="649">
        <f t="shared" si="32"/>
        <v>1</v>
      </c>
      <c r="AN47" s="640"/>
      <c r="AO47" s="283"/>
      <c r="AP47" s="651"/>
      <c r="AQ47" s="239"/>
      <c r="AR47" s="641"/>
      <c r="AS47" s="304"/>
      <c r="AV47" s="306"/>
    </row>
    <row r="48" spans="1:48" s="305" customFormat="1" ht="88.5" customHeight="1" x14ac:dyDescent="0.35">
      <c r="A48" s="643"/>
      <c r="B48" s="665">
        <v>2</v>
      </c>
      <c r="C48" s="665">
        <v>2</v>
      </c>
      <c r="D48" s="665">
        <v>1</v>
      </c>
      <c r="E48" s="665">
        <v>3</v>
      </c>
      <c r="F48" s="665">
        <v>3</v>
      </c>
      <c r="G48" s="665">
        <v>4</v>
      </c>
      <c r="H48" s="677"/>
      <c r="I48" s="677"/>
      <c r="J48" s="664" t="s">
        <v>912</v>
      </c>
      <c r="K48" s="642"/>
      <c r="L48" s="642"/>
      <c r="M48" s="642"/>
      <c r="N48" s="655"/>
      <c r="O48" s="312"/>
      <c r="P48" s="655"/>
      <c r="Q48" s="655"/>
      <c r="R48" s="655">
        <f t="shared" si="12"/>
        <v>0</v>
      </c>
      <c r="S48" s="656"/>
      <c r="T48" s="656"/>
      <c r="U48" s="656"/>
      <c r="V48" s="656"/>
      <c r="W48" s="644"/>
      <c r="X48" s="644"/>
      <c r="Y48" s="658">
        <f t="shared" si="14"/>
        <v>0</v>
      </c>
      <c r="Z48" s="313"/>
      <c r="AA48" s="644">
        <f t="shared" si="15"/>
        <v>0</v>
      </c>
      <c r="AB48" s="660"/>
      <c r="AC48" s="660"/>
      <c r="AD48" s="644"/>
      <c r="AE48" s="659"/>
      <c r="AF48" s="659"/>
      <c r="AG48" s="659">
        <f t="shared" si="27"/>
        <v>0</v>
      </c>
      <c r="AH48" s="661">
        <f t="shared" si="28"/>
        <v>0</v>
      </c>
      <c r="AI48" s="645"/>
      <c r="AJ48" s="646"/>
      <c r="AK48" s="647"/>
      <c r="AL48" s="648"/>
      <c r="AM48" s="649"/>
      <c r="AN48" s="640"/>
      <c r="AO48" s="283"/>
      <c r="AP48" s="651"/>
      <c r="AQ48" s="239"/>
      <c r="AR48" s="641"/>
      <c r="AS48" s="304"/>
      <c r="AV48" s="306"/>
    </row>
    <row r="49" spans="1:48" s="305" customFormat="1" ht="82.5" customHeight="1" x14ac:dyDescent="0.35">
      <c r="A49" s="643" t="s">
        <v>33</v>
      </c>
      <c r="B49" s="665" t="s">
        <v>405</v>
      </c>
      <c r="C49" s="665" t="s">
        <v>405</v>
      </c>
      <c r="D49" s="665" t="s">
        <v>403</v>
      </c>
      <c r="E49" s="665" t="s">
        <v>415</v>
      </c>
      <c r="F49" s="665" t="s">
        <v>435</v>
      </c>
      <c r="G49" s="665" t="s">
        <v>403</v>
      </c>
      <c r="H49" s="677"/>
      <c r="I49" s="677"/>
      <c r="J49" s="664" t="s">
        <v>455</v>
      </c>
      <c r="K49" s="642"/>
      <c r="L49" s="642"/>
      <c r="M49" s="642"/>
      <c r="N49" s="655"/>
      <c r="O49" s="312">
        <v>70000000</v>
      </c>
      <c r="P49" s="655">
        <v>12000000</v>
      </c>
      <c r="Q49" s="746">
        <v>13741000</v>
      </c>
      <c r="R49" s="655">
        <f t="shared" si="12"/>
        <v>68259000</v>
      </c>
      <c r="S49" s="656"/>
      <c r="T49" s="656"/>
      <c r="U49" s="656"/>
      <c r="V49" s="656">
        <f t="shared" si="13"/>
        <v>0</v>
      </c>
      <c r="W49" s="644"/>
      <c r="X49" s="644"/>
      <c r="Y49" s="658">
        <f t="shared" si="14"/>
        <v>0</v>
      </c>
      <c r="Z49" s="313"/>
      <c r="AA49" s="644">
        <f t="shared" si="15"/>
        <v>68259000</v>
      </c>
      <c r="AB49" s="660">
        <v>57000000</v>
      </c>
      <c r="AC49" s="660"/>
      <c r="AD49" s="644">
        <f t="shared" si="16"/>
        <v>57000000</v>
      </c>
      <c r="AE49" s="659">
        <f t="shared" si="26"/>
        <v>68259000</v>
      </c>
      <c r="AF49" s="659">
        <v>57000000</v>
      </c>
      <c r="AG49" s="659">
        <f t="shared" si="27"/>
        <v>11259000</v>
      </c>
      <c r="AH49" s="661">
        <f t="shared" si="28"/>
        <v>0</v>
      </c>
      <c r="AI49" s="645">
        <f t="shared" si="31"/>
        <v>0</v>
      </c>
      <c r="AJ49" s="646"/>
      <c r="AK49" s="647"/>
      <c r="AL49" s="648" t="e">
        <f>SUM(AE49-AF49-#REF!-#REF!)</f>
        <v>#REF!</v>
      </c>
      <c r="AM49" s="649">
        <f t="shared" si="32"/>
        <v>0</v>
      </c>
      <c r="AN49" s="640"/>
      <c r="AO49" s="314" t="s">
        <v>918</v>
      </c>
      <c r="AP49" s="651"/>
      <c r="AQ49" s="239"/>
      <c r="AR49" s="747">
        <v>13741000</v>
      </c>
      <c r="AS49" s="304"/>
      <c r="AV49" s="306"/>
    </row>
    <row r="50" spans="1:48" s="305" customFormat="1" ht="60.95" customHeight="1" x14ac:dyDescent="0.35">
      <c r="A50" s="643" t="s">
        <v>33</v>
      </c>
      <c r="B50" s="665" t="s">
        <v>405</v>
      </c>
      <c r="C50" s="665" t="s">
        <v>405</v>
      </c>
      <c r="D50" s="665" t="s">
        <v>403</v>
      </c>
      <c r="E50" s="665" t="s">
        <v>415</v>
      </c>
      <c r="F50" s="665" t="s">
        <v>409</v>
      </c>
      <c r="G50" s="665"/>
      <c r="H50" s="677"/>
      <c r="I50" s="677"/>
      <c r="J50" s="664" t="s">
        <v>456</v>
      </c>
      <c r="K50" s="642"/>
      <c r="L50" s="642"/>
      <c r="M50" s="642"/>
      <c r="N50" s="655"/>
      <c r="O50" s="312"/>
      <c r="P50" s="655"/>
      <c r="Q50" s="655"/>
      <c r="R50" s="655">
        <f t="shared" si="12"/>
        <v>0</v>
      </c>
      <c r="S50" s="656"/>
      <c r="T50" s="656"/>
      <c r="U50" s="656"/>
      <c r="V50" s="656">
        <f t="shared" si="13"/>
        <v>0</v>
      </c>
      <c r="W50" s="644"/>
      <c r="X50" s="644"/>
      <c r="Y50" s="658">
        <f t="shared" si="14"/>
        <v>0</v>
      </c>
      <c r="Z50" s="313"/>
      <c r="AA50" s="644">
        <f t="shared" si="15"/>
        <v>0</v>
      </c>
      <c r="AB50" s="660"/>
      <c r="AC50" s="660"/>
      <c r="AD50" s="644">
        <f t="shared" si="16"/>
        <v>0</v>
      </c>
      <c r="AE50" s="659">
        <f t="shared" si="26"/>
        <v>0</v>
      </c>
      <c r="AF50" s="659"/>
      <c r="AG50" s="659">
        <f t="shared" si="27"/>
        <v>0</v>
      </c>
      <c r="AH50" s="661">
        <f t="shared" si="28"/>
        <v>0</v>
      </c>
      <c r="AI50" s="645" t="e">
        <f t="shared" si="31"/>
        <v>#DIV/0!</v>
      </c>
      <c r="AJ50" s="646"/>
      <c r="AK50" s="647"/>
      <c r="AL50" s="648" t="e">
        <f>SUM(AE50-AF50-#REF!-#REF!)</f>
        <v>#REF!</v>
      </c>
      <c r="AM50" s="649" t="e">
        <f t="shared" si="32"/>
        <v>#DIV/0!</v>
      </c>
      <c r="AN50" s="640"/>
      <c r="AO50" s="283"/>
      <c r="AP50" s="651"/>
      <c r="AQ50" s="239"/>
      <c r="AR50" s="641"/>
      <c r="AS50" s="304"/>
      <c r="AV50" s="306"/>
    </row>
    <row r="51" spans="1:48" s="305" customFormat="1" ht="40.5" x14ac:dyDescent="0.35">
      <c r="A51" s="643" t="s">
        <v>33</v>
      </c>
      <c r="B51" s="665" t="s">
        <v>405</v>
      </c>
      <c r="C51" s="665" t="s">
        <v>405</v>
      </c>
      <c r="D51" s="665" t="s">
        <v>403</v>
      </c>
      <c r="E51" s="665" t="s">
        <v>415</v>
      </c>
      <c r="F51" s="665" t="s">
        <v>409</v>
      </c>
      <c r="G51" s="665" t="s">
        <v>403</v>
      </c>
      <c r="H51" s="677"/>
      <c r="I51" s="677"/>
      <c r="J51" s="664" t="s">
        <v>457</v>
      </c>
      <c r="K51" s="642"/>
      <c r="L51" s="642"/>
      <c r="M51" s="642"/>
      <c r="N51" s="655"/>
      <c r="O51" s="312">
        <v>7000000</v>
      </c>
      <c r="P51" s="655"/>
      <c r="Q51" s="655"/>
      <c r="R51" s="655">
        <f t="shared" si="12"/>
        <v>7000000</v>
      </c>
      <c r="S51" s="656"/>
      <c r="T51" s="656"/>
      <c r="U51" s="656"/>
      <c r="V51" s="656">
        <f t="shared" si="13"/>
        <v>0</v>
      </c>
      <c r="W51" s="644"/>
      <c r="X51" s="644"/>
      <c r="Y51" s="658">
        <f t="shared" si="14"/>
        <v>0</v>
      </c>
      <c r="Z51" s="313"/>
      <c r="AA51" s="644">
        <f t="shared" si="15"/>
        <v>7000000</v>
      </c>
      <c r="AB51" s="660">
        <v>7000000</v>
      </c>
      <c r="AC51" s="660"/>
      <c r="AD51" s="644">
        <f t="shared" si="16"/>
        <v>7000000</v>
      </c>
      <c r="AE51" s="659">
        <f t="shared" si="26"/>
        <v>7000000</v>
      </c>
      <c r="AF51" s="659">
        <v>7000000</v>
      </c>
      <c r="AG51" s="659">
        <f t="shared" si="27"/>
        <v>0</v>
      </c>
      <c r="AH51" s="661">
        <f t="shared" si="28"/>
        <v>0</v>
      </c>
      <c r="AI51" s="645">
        <f t="shared" si="31"/>
        <v>0</v>
      </c>
      <c r="AJ51" s="646"/>
      <c r="AK51" s="647"/>
      <c r="AL51" s="648" t="e">
        <f>SUM(AE51-AF51-#REF!-#REF!)</f>
        <v>#REF!</v>
      </c>
      <c r="AM51" s="649">
        <f t="shared" si="32"/>
        <v>0</v>
      </c>
      <c r="AN51" s="640"/>
      <c r="AO51" s="283"/>
      <c r="AP51" s="651"/>
      <c r="AQ51" s="239"/>
      <c r="AR51" s="641"/>
      <c r="AS51" s="304"/>
      <c r="AV51" s="306"/>
    </row>
    <row r="52" spans="1:48" s="305" customFormat="1" ht="59.45" customHeight="1" x14ac:dyDescent="0.35">
      <c r="A52" s="643"/>
      <c r="B52" s="665" t="s">
        <v>405</v>
      </c>
      <c r="C52" s="665" t="s">
        <v>405</v>
      </c>
      <c r="D52" s="665" t="s">
        <v>403</v>
      </c>
      <c r="E52" s="665" t="s">
        <v>415</v>
      </c>
      <c r="F52" s="665" t="s">
        <v>409</v>
      </c>
      <c r="G52" s="665" t="s">
        <v>405</v>
      </c>
      <c r="H52" s="677"/>
      <c r="I52" s="677"/>
      <c r="J52" s="664" t="s">
        <v>913</v>
      </c>
      <c r="K52" s="642"/>
      <c r="L52" s="642"/>
      <c r="M52" s="642"/>
      <c r="N52" s="655"/>
      <c r="O52" s="312">
        <v>10000000</v>
      </c>
      <c r="P52" s="655"/>
      <c r="Q52" s="655"/>
      <c r="R52" s="655">
        <f t="shared" si="12"/>
        <v>10000000</v>
      </c>
      <c r="S52" s="656"/>
      <c r="T52" s="656"/>
      <c r="U52" s="656"/>
      <c r="V52" s="656">
        <f t="shared" si="13"/>
        <v>0</v>
      </c>
      <c r="W52" s="644"/>
      <c r="X52" s="644"/>
      <c r="Y52" s="658">
        <f t="shared" si="14"/>
        <v>0</v>
      </c>
      <c r="Z52" s="313"/>
      <c r="AA52" s="644">
        <f t="shared" si="15"/>
        <v>10000000</v>
      </c>
      <c r="AB52" s="660">
        <v>5000000</v>
      </c>
      <c r="AC52" s="660"/>
      <c r="AD52" s="644">
        <f t="shared" si="16"/>
        <v>5000000</v>
      </c>
      <c r="AE52" s="659">
        <f t="shared" si="26"/>
        <v>10000000</v>
      </c>
      <c r="AF52" s="659">
        <v>5000000</v>
      </c>
      <c r="AG52" s="659">
        <f t="shared" si="27"/>
        <v>5000000</v>
      </c>
      <c r="AH52" s="661">
        <f t="shared" si="28"/>
        <v>0</v>
      </c>
      <c r="AI52" s="645">
        <f t="shared" si="31"/>
        <v>0</v>
      </c>
      <c r="AJ52" s="646"/>
      <c r="AK52" s="647"/>
      <c r="AL52" s="648" t="e">
        <f>SUM(AE52-AF52-#REF!-#REF!)</f>
        <v>#REF!</v>
      </c>
      <c r="AM52" s="649">
        <f t="shared" si="32"/>
        <v>0</v>
      </c>
      <c r="AN52" s="640"/>
      <c r="AO52" s="283"/>
      <c r="AP52" s="651"/>
      <c r="AQ52" s="239"/>
      <c r="AR52" s="641"/>
      <c r="AS52" s="304"/>
      <c r="AV52" s="306"/>
    </row>
    <row r="53" spans="1:48" s="305" customFormat="1" ht="60.75" x14ac:dyDescent="0.35">
      <c r="A53" s="643" t="s">
        <v>33</v>
      </c>
      <c r="B53" s="665" t="s">
        <v>405</v>
      </c>
      <c r="C53" s="665" t="s">
        <v>405</v>
      </c>
      <c r="D53" s="665" t="s">
        <v>403</v>
      </c>
      <c r="E53" s="665" t="s">
        <v>415</v>
      </c>
      <c r="F53" s="665" t="s">
        <v>443</v>
      </c>
      <c r="G53" s="665"/>
      <c r="H53" s="677"/>
      <c r="I53" s="677"/>
      <c r="J53" s="664" t="s">
        <v>458</v>
      </c>
      <c r="K53" s="642"/>
      <c r="L53" s="642"/>
      <c r="M53" s="642"/>
      <c r="N53" s="655"/>
      <c r="O53" s="312">
        <v>10000000</v>
      </c>
      <c r="P53" s="655"/>
      <c r="Q53" s="655">
        <v>2000000</v>
      </c>
      <c r="R53" s="655">
        <f t="shared" si="12"/>
        <v>8000000</v>
      </c>
      <c r="S53" s="656"/>
      <c r="T53" s="656"/>
      <c r="U53" s="656"/>
      <c r="V53" s="656">
        <f t="shared" si="13"/>
        <v>0</v>
      </c>
      <c r="W53" s="644"/>
      <c r="X53" s="644"/>
      <c r="Y53" s="658">
        <f t="shared" si="14"/>
        <v>0</v>
      </c>
      <c r="Z53" s="313"/>
      <c r="AA53" s="644">
        <f t="shared" si="15"/>
        <v>8000000</v>
      </c>
      <c r="AB53" s="660">
        <v>2500000</v>
      </c>
      <c r="AC53" s="660"/>
      <c r="AD53" s="644">
        <f t="shared" si="16"/>
        <v>2500000</v>
      </c>
      <c r="AE53" s="659">
        <f t="shared" si="26"/>
        <v>8000000</v>
      </c>
      <c r="AF53" s="659">
        <v>2500000</v>
      </c>
      <c r="AG53" s="659">
        <f t="shared" si="27"/>
        <v>5500000</v>
      </c>
      <c r="AH53" s="661">
        <f t="shared" si="28"/>
        <v>0</v>
      </c>
      <c r="AI53" s="645">
        <f t="shared" si="31"/>
        <v>0</v>
      </c>
      <c r="AJ53" s="646"/>
      <c r="AK53" s="647"/>
      <c r="AL53" s="648" t="e">
        <f>SUM(AE53-AF53-#REF!-#REF!)</f>
        <v>#REF!</v>
      </c>
      <c r="AM53" s="649">
        <f t="shared" si="32"/>
        <v>0</v>
      </c>
      <c r="AN53" s="640"/>
      <c r="AO53" s="283"/>
      <c r="AP53" s="651"/>
      <c r="AQ53" s="239"/>
      <c r="AR53" s="641"/>
      <c r="AS53" s="304"/>
      <c r="AV53" s="306"/>
    </row>
    <row r="54" spans="1:48" s="305" customFormat="1" ht="77.45" customHeight="1" x14ac:dyDescent="0.35">
      <c r="A54" s="643" t="s">
        <v>33</v>
      </c>
      <c r="B54" s="665" t="s">
        <v>405</v>
      </c>
      <c r="C54" s="665" t="s">
        <v>405</v>
      </c>
      <c r="D54" s="665" t="s">
        <v>403</v>
      </c>
      <c r="E54" s="665" t="s">
        <v>415</v>
      </c>
      <c r="F54" s="665" t="s">
        <v>443</v>
      </c>
      <c r="G54" s="665" t="s">
        <v>405</v>
      </c>
      <c r="H54" s="677"/>
      <c r="I54" s="677"/>
      <c r="J54" s="664" t="s">
        <v>915</v>
      </c>
      <c r="K54" s="642"/>
      <c r="L54" s="642"/>
      <c r="M54" s="642"/>
      <c r="N54" s="655"/>
      <c r="O54" s="312">
        <v>10000000</v>
      </c>
      <c r="P54" s="655">
        <v>2000000</v>
      </c>
      <c r="Q54" s="619">
        <v>12000000</v>
      </c>
      <c r="R54" s="655">
        <f t="shared" si="12"/>
        <v>0</v>
      </c>
      <c r="S54" s="656"/>
      <c r="T54" s="656"/>
      <c r="U54" s="656"/>
      <c r="V54" s="656">
        <f t="shared" si="13"/>
        <v>0</v>
      </c>
      <c r="W54" s="644"/>
      <c r="X54" s="644"/>
      <c r="Y54" s="658">
        <f t="shared" si="14"/>
        <v>0</v>
      </c>
      <c r="Z54" s="313"/>
      <c r="AA54" s="644">
        <f t="shared" si="15"/>
        <v>0</v>
      </c>
      <c r="AB54" s="660"/>
      <c r="AC54" s="660"/>
      <c r="AD54" s="644">
        <f t="shared" si="16"/>
        <v>0</v>
      </c>
      <c r="AE54" s="659">
        <f t="shared" si="26"/>
        <v>0</v>
      </c>
      <c r="AF54" s="659"/>
      <c r="AG54" s="659">
        <f t="shared" si="27"/>
        <v>0</v>
      </c>
      <c r="AH54" s="661">
        <f t="shared" si="28"/>
        <v>0</v>
      </c>
      <c r="AI54" s="645" t="e">
        <f t="shared" si="31"/>
        <v>#DIV/0!</v>
      </c>
      <c r="AJ54" s="646"/>
      <c r="AK54" s="647"/>
      <c r="AL54" s="648" t="e">
        <f>SUM(AE54-AF54-#REF!-#REF!)</f>
        <v>#REF!</v>
      </c>
      <c r="AM54" s="649" t="e">
        <f t="shared" si="32"/>
        <v>#DIV/0!</v>
      </c>
      <c r="AN54" s="640"/>
      <c r="AO54" s="283"/>
      <c r="AP54" s="651"/>
      <c r="AQ54" s="239"/>
      <c r="AR54" s="641"/>
      <c r="AS54" s="304"/>
      <c r="AV54" s="306"/>
    </row>
    <row r="55" spans="1:48" s="305" customFormat="1" ht="77.45" customHeight="1" x14ac:dyDescent="0.35">
      <c r="A55" s="643"/>
      <c r="B55" s="665" t="s">
        <v>405</v>
      </c>
      <c r="C55" s="665" t="s">
        <v>405</v>
      </c>
      <c r="D55" s="665" t="s">
        <v>403</v>
      </c>
      <c r="E55" s="665" t="s">
        <v>415</v>
      </c>
      <c r="F55" s="665">
        <v>8</v>
      </c>
      <c r="G55" s="665">
        <v>9</v>
      </c>
      <c r="H55" s="677"/>
      <c r="I55" s="677"/>
      <c r="J55" s="664" t="s">
        <v>1174</v>
      </c>
      <c r="K55" s="642"/>
      <c r="L55" s="642"/>
      <c r="M55" s="642"/>
      <c r="N55" s="655"/>
      <c r="O55" s="312"/>
      <c r="P55" s="746">
        <v>500000</v>
      </c>
      <c r="Q55" s="655"/>
      <c r="R55" s="655">
        <f t="shared" si="12"/>
        <v>500000</v>
      </c>
      <c r="S55" s="657"/>
      <c r="T55" s="656">
        <v>500000</v>
      </c>
      <c r="U55" s="657">
        <v>14000</v>
      </c>
      <c r="V55" s="656">
        <f t="shared" si="13"/>
        <v>486000</v>
      </c>
      <c r="W55" s="644"/>
      <c r="X55" s="644"/>
      <c r="Y55" s="658">
        <f t="shared" si="14"/>
        <v>486000</v>
      </c>
      <c r="Z55" s="313"/>
      <c r="AA55" s="644">
        <f t="shared" si="15"/>
        <v>0</v>
      </c>
      <c r="AB55" s="660"/>
      <c r="AC55" s="660"/>
      <c r="AD55" s="644">
        <f t="shared" ref="AD55" si="33">SUM(AB55-AC55)</f>
        <v>0</v>
      </c>
      <c r="AE55" s="659">
        <f t="shared" ref="AE55" si="34">SUM(AA55-AC55)</f>
        <v>0</v>
      </c>
      <c r="AF55" s="659"/>
      <c r="AG55" s="638">
        <f t="shared" si="27"/>
        <v>0</v>
      </c>
      <c r="AH55" s="661">
        <f t="shared" si="28"/>
        <v>14000</v>
      </c>
      <c r="AI55" s="645" t="e">
        <f t="shared" si="31"/>
        <v>#DIV/0!</v>
      </c>
      <c r="AJ55" s="646"/>
      <c r="AK55" s="647"/>
      <c r="AL55" s="648" t="e">
        <f>SUM(AE55-AF55-#REF!-#REF!)</f>
        <v>#REF!</v>
      </c>
      <c r="AM55" s="649">
        <f t="shared" si="32"/>
        <v>2.8000000000000001E-2</v>
      </c>
      <c r="AN55" s="640"/>
      <c r="AO55" s="283"/>
      <c r="AP55" s="651"/>
      <c r="AQ55" s="748">
        <v>500000</v>
      </c>
      <c r="AR55" s="641"/>
      <c r="AS55" s="304"/>
      <c r="AV55" s="306"/>
    </row>
    <row r="56" spans="1:48" s="276" customFormat="1" ht="66.95" customHeight="1" x14ac:dyDescent="0.35">
      <c r="A56" s="258"/>
      <c r="B56" s="607" t="s">
        <v>405</v>
      </c>
      <c r="C56" s="607" t="s">
        <v>405</v>
      </c>
      <c r="D56" s="607" t="s">
        <v>403</v>
      </c>
      <c r="E56" s="607" t="s">
        <v>426</v>
      </c>
      <c r="F56" s="607"/>
      <c r="G56" s="607"/>
      <c r="H56" s="679"/>
      <c r="I56" s="679"/>
      <c r="J56" s="592" t="s">
        <v>460</v>
      </c>
      <c r="K56" s="262"/>
      <c r="L56" s="262"/>
      <c r="M56" s="262"/>
      <c r="N56" s="309">
        <v>5000000</v>
      </c>
      <c r="O56" s="310">
        <f>SUM(O57:O58)</f>
        <v>5000000</v>
      </c>
      <c r="P56" s="310">
        <v>500000</v>
      </c>
      <c r="Q56" s="310"/>
      <c r="R56" s="310">
        <f t="shared" ref="R56:AM56" si="35">SUM(R57:R58)</f>
        <v>5500000</v>
      </c>
      <c r="S56" s="310">
        <f t="shared" si="35"/>
        <v>0</v>
      </c>
      <c r="T56" s="310">
        <f t="shared" si="35"/>
        <v>0</v>
      </c>
      <c r="U56" s="310">
        <f t="shared" si="35"/>
        <v>0</v>
      </c>
      <c r="V56" s="310">
        <f t="shared" si="35"/>
        <v>0</v>
      </c>
      <c r="W56" s="310">
        <f t="shared" si="35"/>
        <v>0</v>
      </c>
      <c r="X56" s="310">
        <f t="shared" si="35"/>
        <v>0</v>
      </c>
      <c r="Y56" s="310">
        <f t="shared" si="35"/>
        <v>0</v>
      </c>
      <c r="Z56" s="310">
        <f t="shared" si="35"/>
        <v>0</v>
      </c>
      <c r="AA56" s="310">
        <f>SUM(AA57:AA58)</f>
        <v>5500000</v>
      </c>
      <c r="AB56" s="310">
        <f t="shared" si="35"/>
        <v>5500000</v>
      </c>
      <c r="AC56" s="310">
        <f t="shared" si="35"/>
        <v>4000000</v>
      </c>
      <c r="AD56" s="310">
        <f t="shared" si="35"/>
        <v>1500000</v>
      </c>
      <c r="AE56" s="310">
        <f t="shared" si="35"/>
        <v>1500000</v>
      </c>
      <c r="AF56" s="310">
        <f t="shared" si="35"/>
        <v>1500000</v>
      </c>
      <c r="AG56" s="310">
        <f>SUM(AG57:AG58)</f>
        <v>0</v>
      </c>
      <c r="AH56" s="310">
        <f>SUM(AH57:AH58)</f>
        <v>4000000</v>
      </c>
      <c r="AI56" s="310" t="e">
        <f t="shared" si="35"/>
        <v>#DIV/0!</v>
      </c>
      <c r="AJ56" s="310">
        <f t="shared" si="35"/>
        <v>0</v>
      </c>
      <c r="AK56" s="310">
        <f t="shared" si="35"/>
        <v>0</v>
      </c>
      <c r="AL56" s="310" t="e">
        <f t="shared" si="35"/>
        <v>#REF!</v>
      </c>
      <c r="AM56" s="310" t="e">
        <f t="shared" si="35"/>
        <v>#DIV/0!</v>
      </c>
      <c r="AN56" s="270"/>
      <c r="AO56" s="311"/>
      <c r="AP56" s="272"/>
      <c r="AQ56" s="273"/>
      <c r="AR56" s="274"/>
      <c r="AS56" s="275"/>
      <c r="AV56" s="277"/>
    </row>
    <row r="57" spans="1:48" s="305" customFormat="1" ht="40.5" x14ac:dyDescent="0.35">
      <c r="A57" s="643" t="s">
        <v>33</v>
      </c>
      <c r="B57" s="665" t="s">
        <v>405</v>
      </c>
      <c r="C57" s="665" t="s">
        <v>405</v>
      </c>
      <c r="D57" s="665" t="s">
        <v>403</v>
      </c>
      <c r="E57" s="665" t="s">
        <v>426</v>
      </c>
      <c r="F57" s="665" t="s">
        <v>449</v>
      </c>
      <c r="G57" s="665"/>
      <c r="H57" s="677"/>
      <c r="I57" s="677"/>
      <c r="J57" s="664" t="s">
        <v>461</v>
      </c>
      <c r="K57" s="642"/>
      <c r="L57" s="642"/>
      <c r="M57" s="642"/>
      <c r="N57" s="655"/>
      <c r="O57" s="312">
        <v>2500000</v>
      </c>
      <c r="P57" s="655">
        <v>3000000</v>
      </c>
      <c r="Q57" s="655"/>
      <c r="R57" s="655">
        <f t="shared" si="12"/>
        <v>5500000</v>
      </c>
      <c r="S57" s="656"/>
      <c r="T57" s="656"/>
      <c r="U57" s="656"/>
      <c r="V57" s="656">
        <f t="shared" si="13"/>
        <v>0</v>
      </c>
      <c r="W57" s="644"/>
      <c r="X57" s="644"/>
      <c r="Y57" s="658">
        <f t="shared" si="14"/>
        <v>0</v>
      </c>
      <c r="Z57" s="313"/>
      <c r="AA57" s="644">
        <f t="shared" si="15"/>
        <v>5500000</v>
      </c>
      <c r="AB57" s="660">
        <v>5500000</v>
      </c>
      <c r="AC57" s="660">
        <v>4000000</v>
      </c>
      <c r="AD57" s="644">
        <f t="shared" si="16"/>
        <v>1500000</v>
      </c>
      <c r="AE57" s="659">
        <f t="shared" si="26"/>
        <v>1500000</v>
      </c>
      <c r="AF57" s="659">
        <v>1500000</v>
      </c>
      <c r="AG57" s="659">
        <f t="shared" si="27"/>
        <v>0</v>
      </c>
      <c r="AH57" s="661">
        <f t="shared" si="28"/>
        <v>4000000</v>
      </c>
      <c r="AI57" s="645">
        <f>AC57/(AC57+AF57+AG57)</f>
        <v>0.72727272727272729</v>
      </c>
      <c r="AJ57" s="646"/>
      <c r="AK57" s="647"/>
      <c r="AL57" s="648" t="e">
        <f>SUM(AE57-AF57-#REF!-#REF!)</f>
        <v>#REF!</v>
      </c>
      <c r="AM57" s="649">
        <f>SUM(R57-(AE57+Y57))/R57</f>
        <v>0.72727272727272729</v>
      </c>
      <c r="AN57" s="640"/>
      <c r="AO57" s="283"/>
      <c r="AP57" s="651"/>
      <c r="AQ57" s="239"/>
      <c r="AR57" s="641"/>
      <c r="AS57" s="304"/>
      <c r="AV57" s="306"/>
    </row>
    <row r="58" spans="1:48" s="305" customFormat="1" ht="40.5" x14ac:dyDescent="0.35">
      <c r="A58" s="643" t="s">
        <v>33</v>
      </c>
      <c r="B58" s="665" t="s">
        <v>405</v>
      </c>
      <c r="C58" s="665" t="s">
        <v>405</v>
      </c>
      <c r="D58" s="665" t="s">
        <v>403</v>
      </c>
      <c r="E58" s="665" t="s">
        <v>426</v>
      </c>
      <c r="F58" s="665" t="s">
        <v>443</v>
      </c>
      <c r="G58" s="665">
        <v>8</v>
      </c>
      <c r="H58" s="677"/>
      <c r="I58" s="677"/>
      <c r="J58" s="664" t="s">
        <v>222</v>
      </c>
      <c r="K58" s="642"/>
      <c r="L58" s="642"/>
      <c r="M58" s="642"/>
      <c r="N58" s="655"/>
      <c r="O58" s="312">
        <v>2500000</v>
      </c>
      <c r="P58" s="655"/>
      <c r="Q58" s="655">
        <v>2500000</v>
      </c>
      <c r="R58" s="655">
        <f t="shared" si="12"/>
        <v>0</v>
      </c>
      <c r="S58" s="656"/>
      <c r="T58" s="656"/>
      <c r="U58" s="656"/>
      <c r="V58" s="656">
        <f t="shared" si="13"/>
        <v>0</v>
      </c>
      <c r="W58" s="644"/>
      <c r="X58" s="644"/>
      <c r="Y58" s="658">
        <f t="shared" si="14"/>
        <v>0</v>
      </c>
      <c r="Z58" s="313"/>
      <c r="AA58" s="644">
        <f t="shared" si="15"/>
        <v>0</v>
      </c>
      <c r="AB58" s="660"/>
      <c r="AC58" s="660"/>
      <c r="AD58" s="644">
        <f t="shared" si="16"/>
        <v>0</v>
      </c>
      <c r="AE58" s="659">
        <f t="shared" si="26"/>
        <v>0</v>
      </c>
      <c r="AF58" s="659"/>
      <c r="AG58" s="659">
        <f t="shared" si="27"/>
        <v>0</v>
      </c>
      <c r="AH58" s="661">
        <f t="shared" si="28"/>
        <v>0</v>
      </c>
      <c r="AI58" s="645" t="e">
        <f>AC58/(AC58+AF58+AG58)</f>
        <v>#DIV/0!</v>
      </c>
      <c r="AJ58" s="646"/>
      <c r="AK58" s="647"/>
      <c r="AL58" s="648" t="e">
        <f>SUM(AE58-AF58-#REF!-#REF!)</f>
        <v>#REF!</v>
      </c>
      <c r="AM58" s="649" t="e">
        <f>SUM(R58-(AE58+Y58))/R58</f>
        <v>#DIV/0!</v>
      </c>
      <c r="AN58" s="640"/>
      <c r="AO58" s="283"/>
      <c r="AP58" s="651"/>
      <c r="AQ58" s="239"/>
      <c r="AR58" s="641"/>
      <c r="AS58" s="304"/>
      <c r="AV58" s="306"/>
    </row>
    <row r="59" spans="1:48" s="256" customFormat="1" ht="49.5" customHeight="1" x14ac:dyDescent="0.35">
      <c r="A59" s="240" t="s">
        <v>33</v>
      </c>
      <c r="B59" s="599" t="s">
        <v>405</v>
      </c>
      <c r="C59" s="599" t="s">
        <v>405</v>
      </c>
      <c r="D59" s="599" t="s">
        <v>405</v>
      </c>
      <c r="E59" s="599"/>
      <c r="F59" s="599"/>
      <c r="G59" s="599"/>
      <c r="H59" s="678"/>
      <c r="I59" s="678"/>
      <c r="J59" s="591" t="s">
        <v>462</v>
      </c>
      <c r="K59" s="149"/>
      <c r="L59" s="149"/>
      <c r="M59" s="149"/>
      <c r="N59" s="150">
        <f t="shared" ref="N59:AM59" si="36">SUM(N60+N64+N76+N80+N96+N104)</f>
        <v>2227368616</v>
      </c>
      <c r="O59" s="150">
        <f t="shared" si="36"/>
        <v>2220168616</v>
      </c>
      <c r="P59" s="150">
        <f t="shared" si="36"/>
        <v>110940227</v>
      </c>
      <c r="Q59" s="150">
        <f t="shared" si="36"/>
        <v>109240227</v>
      </c>
      <c r="R59" s="150">
        <f t="shared" si="36"/>
        <v>2221868616</v>
      </c>
      <c r="S59" s="150">
        <f t="shared" si="36"/>
        <v>9500000</v>
      </c>
      <c r="T59" s="150">
        <f t="shared" si="36"/>
        <v>46117050</v>
      </c>
      <c r="U59" s="150">
        <f t="shared" si="36"/>
        <v>5190759.5</v>
      </c>
      <c r="V59" s="150">
        <f t="shared" si="36"/>
        <v>40926290.5</v>
      </c>
      <c r="W59" s="150">
        <f t="shared" si="36"/>
        <v>268300000</v>
      </c>
      <c r="X59" s="150">
        <f t="shared" si="36"/>
        <v>879394884.64999998</v>
      </c>
      <c r="Y59" s="150">
        <f t="shared" si="36"/>
        <v>40926290.5</v>
      </c>
      <c r="Z59" s="150">
        <f t="shared" si="36"/>
        <v>83682227</v>
      </c>
      <c r="AA59" s="150">
        <f t="shared" si="36"/>
        <v>934874454.35000002</v>
      </c>
      <c r="AB59" s="150">
        <f t="shared" si="36"/>
        <v>921079341.46000004</v>
      </c>
      <c r="AC59" s="150">
        <f t="shared" si="36"/>
        <v>119642905</v>
      </c>
      <c r="AD59" s="150">
        <f t="shared" si="36"/>
        <v>794161436.46000004</v>
      </c>
      <c r="AE59" s="150">
        <f t="shared" si="36"/>
        <v>815231549.3499999</v>
      </c>
      <c r="AF59" s="150">
        <f t="shared" si="36"/>
        <v>791839341.46000004</v>
      </c>
      <c r="AG59" s="150">
        <f t="shared" si="36"/>
        <v>23392207.890000001</v>
      </c>
      <c r="AH59" s="150">
        <f t="shared" si="36"/>
        <v>1339313451.6500001</v>
      </c>
      <c r="AI59" s="150" t="e">
        <f t="shared" si="36"/>
        <v>#DIV/0!</v>
      </c>
      <c r="AJ59" s="150">
        <f t="shared" si="36"/>
        <v>0</v>
      </c>
      <c r="AK59" s="150">
        <f t="shared" si="36"/>
        <v>0</v>
      </c>
      <c r="AL59" s="150" t="e">
        <f t="shared" si="36"/>
        <v>#REF!</v>
      </c>
      <c r="AM59" s="150" t="e">
        <f t="shared" si="36"/>
        <v>#DIV/0!</v>
      </c>
      <c r="AN59" s="250"/>
      <c r="AO59" s="307"/>
      <c r="AP59" s="252"/>
      <c r="AQ59" s="253"/>
      <c r="AR59" s="254"/>
      <c r="AS59" s="255"/>
      <c r="AV59" s="257"/>
    </row>
    <row r="60" spans="1:48" s="276" customFormat="1" ht="57" customHeight="1" x14ac:dyDescent="0.35">
      <c r="A60" s="258"/>
      <c r="B60" s="607" t="s">
        <v>405</v>
      </c>
      <c r="C60" s="607" t="s">
        <v>405</v>
      </c>
      <c r="D60" s="607" t="s">
        <v>405</v>
      </c>
      <c r="E60" s="607" t="s">
        <v>435</v>
      </c>
      <c r="F60" s="607"/>
      <c r="G60" s="607"/>
      <c r="H60" s="679"/>
      <c r="I60" s="679"/>
      <c r="J60" s="592" t="s">
        <v>463</v>
      </c>
      <c r="K60" s="262"/>
      <c r="L60" s="262"/>
      <c r="M60" s="262"/>
      <c r="N60" s="309">
        <v>77000000</v>
      </c>
      <c r="O60" s="310">
        <f>SUM(O61:O63)</f>
        <v>77000000</v>
      </c>
      <c r="P60" s="310">
        <f t="shared" ref="P60:AE60" si="37">SUM(P61:P63)</f>
        <v>4500000</v>
      </c>
      <c r="Q60" s="310">
        <f t="shared" si="37"/>
        <v>8718000</v>
      </c>
      <c r="R60" s="310">
        <f t="shared" si="37"/>
        <v>72782000</v>
      </c>
      <c r="S60" s="310">
        <f t="shared" si="37"/>
        <v>2000000</v>
      </c>
      <c r="T60" s="310">
        <f t="shared" si="37"/>
        <v>6000000</v>
      </c>
      <c r="U60" s="310">
        <f t="shared" si="37"/>
        <v>343530</v>
      </c>
      <c r="V60" s="310">
        <f t="shared" si="37"/>
        <v>5656470</v>
      </c>
      <c r="W60" s="310">
        <f t="shared" si="37"/>
        <v>0</v>
      </c>
      <c r="X60" s="310">
        <f t="shared" si="37"/>
        <v>0</v>
      </c>
      <c r="Y60" s="310">
        <f t="shared" si="37"/>
        <v>5656470</v>
      </c>
      <c r="Z60" s="310">
        <f t="shared" si="37"/>
        <v>0</v>
      </c>
      <c r="AA60" s="310">
        <f t="shared" si="37"/>
        <v>64782000</v>
      </c>
      <c r="AB60" s="310">
        <f t="shared" si="37"/>
        <v>49000000</v>
      </c>
      <c r="AC60" s="310">
        <f t="shared" si="37"/>
        <v>0</v>
      </c>
      <c r="AD60" s="310">
        <f t="shared" si="37"/>
        <v>49000000</v>
      </c>
      <c r="AE60" s="310">
        <f t="shared" si="37"/>
        <v>64782000</v>
      </c>
      <c r="AF60" s="310">
        <f>SUM(AF61:AF63)</f>
        <v>49000000</v>
      </c>
      <c r="AG60" s="310">
        <f>SUM(AG61:AG63)</f>
        <v>15782000</v>
      </c>
      <c r="AH60" s="310">
        <f>SUM(AH61:AH63)</f>
        <v>2343530</v>
      </c>
      <c r="AI60" s="265"/>
      <c r="AJ60" s="266"/>
      <c r="AK60" s="267"/>
      <c r="AL60" s="268"/>
      <c r="AM60" s="269"/>
      <c r="AN60" s="270"/>
      <c r="AO60" s="311"/>
      <c r="AP60" s="272"/>
      <c r="AQ60" s="273"/>
      <c r="AR60" s="274"/>
      <c r="AS60" s="275"/>
      <c r="AV60" s="277"/>
    </row>
    <row r="61" spans="1:48" s="305" customFormat="1" ht="80.099999999999994" customHeight="1" x14ac:dyDescent="0.35">
      <c r="A61" s="643" t="s">
        <v>33</v>
      </c>
      <c r="B61" s="665" t="s">
        <v>405</v>
      </c>
      <c r="C61" s="665" t="s">
        <v>405</v>
      </c>
      <c r="D61" s="665" t="s">
        <v>405</v>
      </c>
      <c r="E61" s="665" t="s">
        <v>435</v>
      </c>
      <c r="F61" s="665" t="s">
        <v>426</v>
      </c>
      <c r="G61" s="665" t="s">
        <v>405</v>
      </c>
      <c r="H61" s="677" t="s">
        <v>464</v>
      </c>
      <c r="I61" s="677"/>
      <c r="J61" s="664" t="s">
        <v>105</v>
      </c>
      <c r="K61" s="642"/>
      <c r="L61" s="642"/>
      <c r="M61" s="642"/>
      <c r="N61" s="655"/>
      <c r="O61" s="312">
        <v>50000000</v>
      </c>
      <c r="P61" s="655"/>
      <c r="Q61" s="746">
        <f>3500000+5218000</f>
        <v>8718000</v>
      </c>
      <c r="R61" s="655">
        <f t="shared" si="12"/>
        <v>41282000</v>
      </c>
      <c r="S61" s="656">
        <v>1000000</v>
      </c>
      <c r="T61" s="656">
        <v>2500000</v>
      </c>
      <c r="U61" s="656"/>
      <c r="V61" s="656">
        <f t="shared" si="13"/>
        <v>2500000</v>
      </c>
      <c r="W61" s="644"/>
      <c r="X61" s="644"/>
      <c r="Y61" s="658">
        <f t="shared" si="14"/>
        <v>2500000</v>
      </c>
      <c r="Z61" s="313"/>
      <c r="AA61" s="644">
        <f t="shared" si="15"/>
        <v>37782000</v>
      </c>
      <c r="AB61" s="660">
        <v>22000000</v>
      </c>
      <c r="AC61" s="660"/>
      <c r="AD61" s="644">
        <f t="shared" si="16"/>
        <v>22000000</v>
      </c>
      <c r="AE61" s="659">
        <f t="shared" si="26"/>
        <v>37782000</v>
      </c>
      <c r="AF61" s="659">
        <v>22000000</v>
      </c>
      <c r="AG61" s="659">
        <f t="shared" si="27"/>
        <v>15782000</v>
      </c>
      <c r="AH61" s="661">
        <f t="shared" si="28"/>
        <v>1000000</v>
      </c>
      <c r="AI61" s="645">
        <f>AC61/(AC61+AF61+AG61)</f>
        <v>0</v>
      </c>
      <c r="AJ61" s="646"/>
      <c r="AK61" s="647"/>
      <c r="AL61" s="648" t="e">
        <f>SUM(AE61-AF61-#REF!-#REF!)</f>
        <v>#REF!</v>
      </c>
      <c r="AM61" s="649">
        <f>SUM(R61-(AE61+Y61))/R61</f>
        <v>2.4223632575941088E-2</v>
      </c>
      <c r="AN61" s="640"/>
      <c r="AO61" s="283"/>
      <c r="AP61" s="651"/>
      <c r="AQ61" s="239"/>
      <c r="AR61" s="749">
        <v>5218000</v>
      </c>
      <c r="AS61" s="304"/>
      <c r="AV61" s="306"/>
    </row>
    <row r="62" spans="1:48" s="305" customFormat="1" ht="80.099999999999994" customHeight="1" x14ac:dyDescent="0.35">
      <c r="A62" s="643"/>
      <c r="B62" s="665" t="s">
        <v>405</v>
      </c>
      <c r="C62" s="665" t="s">
        <v>405</v>
      </c>
      <c r="D62" s="665" t="s">
        <v>405</v>
      </c>
      <c r="E62" s="665" t="s">
        <v>435</v>
      </c>
      <c r="F62" s="665" t="s">
        <v>426</v>
      </c>
      <c r="G62" s="665" t="s">
        <v>478</v>
      </c>
      <c r="H62" s="677"/>
      <c r="I62" s="677"/>
      <c r="J62" s="664" t="s">
        <v>1184</v>
      </c>
      <c r="K62" s="642"/>
      <c r="L62" s="642"/>
      <c r="M62" s="642"/>
      <c r="N62" s="655"/>
      <c r="O62" s="312"/>
      <c r="P62" s="746">
        <v>1000000</v>
      </c>
      <c r="Q62" s="655"/>
      <c r="R62" s="655">
        <f t="shared" si="12"/>
        <v>1000000</v>
      </c>
      <c r="S62" s="656"/>
      <c r="T62" s="656">
        <v>1000000</v>
      </c>
      <c r="U62" s="657">
        <v>343530</v>
      </c>
      <c r="V62" s="656">
        <f t="shared" si="13"/>
        <v>656470</v>
      </c>
      <c r="W62" s="644"/>
      <c r="X62" s="644"/>
      <c r="Y62" s="658">
        <f t="shared" si="14"/>
        <v>656470</v>
      </c>
      <c r="Z62" s="313"/>
      <c r="AA62" s="644">
        <f t="shared" si="15"/>
        <v>0</v>
      </c>
      <c r="AB62" s="660"/>
      <c r="AC62" s="660"/>
      <c r="AD62" s="644"/>
      <c r="AE62" s="659">
        <f t="shared" si="26"/>
        <v>0</v>
      </c>
      <c r="AF62" s="659"/>
      <c r="AG62" s="638">
        <f t="shared" si="27"/>
        <v>0</v>
      </c>
      <c r="AH62" s="661">
        <f t="shared" si="28"/>
        <v>343530</v>
      </c>
      <c r="AI62" s="645" t="e">
        <f>AC62/(AC62+AF62+AG62)</f>
        <v>#DIV/0!</v>
      </c>
      <c r="AJ62" s="646"/>
      <c r="AK62" s="647"/>
      <c r="AL62" s="648"/>
      <c r="AM62" s="649"/>
      <c r="AN62" s="640"/>
      <c r="AO62" s="283"/>
      <c r="AP62" s="651"/>
      <c r="AQ62" s="748">
        <v>1000000</v>
      </c>
      <c r="AR62" s="641"/>
      <c r="AS62" s="304"/>
      <c r="AV62" s="306"/>
    </row>
    <row r="63" spans="1:48" s="305" customFormat="1" ht="75.599999999999994" customHeight="1" x14ac:dyDescent="0.35">
      <c r="A63" s="643" t="s">
        <v>33</v>
      </c>
      <c r="B63" s="665" t="s">
        <v>405</v>
      </c>
      <c r="C63" s="665" t="s">
        <v>405</v>
      </c>
      <c r="D63" s="665" t="s">
        <v>405</v>
      </c>
      <c r="E63" s="665" t="s">
        <v>435</v>
      </c>
      <c r="F63" s="665" t="s">
        <v>426</v>
      </c>
      <c r="G63" s="665" t="s">
        <v>465</v>
      </c>
      <c r="H63" s="677"/>
      <c r="I63" s="677"/>
      <c r="J63" s="664" t="s">
        <v>135</v>
      </c>
      <c r="K63" s="642"/>
      <c r="L63" s="642"/>
      <c r="M63" s="642"/>
      <c r="N63" s="655"/>
      <c r="O63" s="312">
        <v>27000000</v>
      </c>
      <c r="P63" s="655">
        <v>3500000</v>
      </c>
      <c r="Q63" s="655"/>
      <c r="R63" s="655">
        <f t="shared" si="12"/>
        <v>30500000</v>
      </c>
      <c r="S63" s="656">
        <v>1000000</v>
      </c>
      <c r="T63" s="656">
        <v>2500000</v>
      </c>
      <c r="U63" s="656"/>
      <c r="V63" s="656">
        <f t="shared" si="13"/>
        <v>2500000</v>
      </c>
      <c r="W63" s="644"/>
      <c r="X63" s="644"/>
      <c r="Y63" s="658">
        <f t="shared" si="14"/>
        <v>2500000</v>
      </c>
      <c r="Z63" s="313"/>
      <c r="AA63" s="644">
        <f t="shared" si="15"/>
        <v>27000000</v>
      </c>
      <c r="AB63" s="660">
        <v>27000000</v>
      </c>
      <c r="AC63" s="660"/>
      <c r="AD63" s="644">
        <f t="shared" si="16"/>
        <v>27000000</v>
      </c>
      <c r="AE63" s="659">
        <f t="shared" si="26"/>
        <v>27000000</v>
      </c>
      <c r="AF63" s="659">
        <v>27000000</v>
      </c>
      <c r="AG63" s="659">
        <f t="shared" si="27"/>
        <v>0</v>
      </c>
      <c r="AH63" s="661">
        <f t="shared" si="28"/>
        <v>1000000</v>
      </c>
      <c r="AI63" s="645">
        <f>AC63/(AC63+AF63+AG63)</f>
        <v>0</v>
      </c>
      <c r="AJ63" s="646"/>
      <c r="AK63" s="647"/>
      <c r="AL63" s="648" t="e">
        <f>SUM(AE63-AF63-#REF!-#REF!)</f>
        <v>#REF!</v>
      </c>
      <c r="AM63" s="649">
        <f>SUM(R63-(AE63+Y63))/R63</f>
        <v>3.2786885245901641E-2</v>
      </c>
      <c r="AN63" s="640"/>
      <c r="AO63" s="283"/>
      <c r="AP63" s="651"/>
      <c r="AQ63" s="239"/>
      <c r="AR63" s="641"/>
      <c r="AS63" s="304"/>
      <c r="AV63" s="306"/>
    </row>
    <row r="64" spans="1:48" s="276" customFormat="1" ht="121.5" x14ac:dyDescent="0.35">
      <c r="A64" s="258"/>
      <c r="B64" s="607" t="s">
        <v>405</v>
      </c>
      <c r="C64" s="607" t="s">
        <v>405</v>
      </c>
      <c r="D64" s="607" t="s">
        <v>405</v>
      </c>
      <c r="E64" s="607" t="s">
        <v>409</v>
      </c>
      <c r="F64" s="607"/>
      <c r="G64" s="607"/>
      <c r="H64" s="679"/>
      <c r="I64" s="679"/>
      <c r="J64" s="592" t="s">
        <v>466</v>
      </c>
      <c r="K64" s="262"/>
      <c r="L64" s="262"/>
      <c r="M64" s="262"/>
      <c r="N64" s="309">
        <v>364281326</v>
      </c>
      <c r="O64" s="310">
        <f>SUM(O65:O75)</f>
        <v>364281326</v>
      </c>
      <c r="P64" s="310">
        <f>SUM(P65:P75)</f>
        <v>15318000</v>
      </c>
      <c r="Q64" s="310">
        <f t="shared" ref="Q64:AM64" si="38">SUM(Q65:Q75)</f>
        <v>17979577</v>
      </c>
      <c r="R64" s="310">
        <f>SUM(R65:R75)</f>
        <v>361619749</v>
      </c>
      <c r="S64" s="310">
        <f t="shared" si="38"/>
        <v>3000000</v>
      </c>
      <c r="T64" s="310">
        <f>SUM(T65:T75)</f>
        <v>19317050</v>
      </c>
      <c r="U64" s="310">
        <f>SUM(U65:U75)</f>
        <v>3140332</v>
      </c>
      <c r="V64" s="310">
        <f>SUM(V65:V75)</f>
        <v>16176718</v>
      </c>
      <c r="W64" s="310">
        <f t="shared" si="38"/>
        <v>142000000</v>
      </c>
      <c r="X64" s="310">
        <f t="shared" si="38"/>
        <v>154281326</v>
      </c>
      <c r="Y64" s="310">
        <f>SUM(Y65:Y75)</f>
        <v>16176718</v>
      </c>
      <c r="Z64" s="310">
        <f t="shared" si="38"/>
        <v>0</v>
      </c>
      <c r="AA64" s="310">
        <f>SUM(AA65:AA75)</f>
        <v>43021373</v>
      </c>
      <c r="AB64" s="310">
        <f t="shared" si="38"/>
        <v>43000000</v>
      </c>
      <c r="AC64" s="310">
        <f t="shared" si="38"/>
        <v>3000000</v>
      </c>
      <c r="AD64" s="310">
        <f t="shared" si="38"/>
        <v>40000000</v>
      </c>
      <c r="AE64" s="310">
        <f>SUM(AE65:AE75)</f>
        <v>40021373</v>
      </c>
      <c r="AF64" s="310">
        <f t="shared" si="38"/>
        <v>40000000</v>
      </c>
      <c r="AG64" s="310">
        <f>SUM(AG65:AG75)</f>
        <v>21373</v>
      </c>
      <c r="AH64" s="310">
        <f>SUM(AH65:AH75)</f>
        <v>305421658</v>
      </c>
      <c r="AI64" s="310" t="e">
        <f t="shared" si="38"/>
        <v>#DIV/0!</v>
      </c>
      <c r="AJ64" s="310">
        <f t="shared" si="38"/>
        <v>0</v>
      </c>
      <c r="AK64" s="310">
        <f t="shared" si="38"/>
        <v>0</v>
      </c>
      <c r="AL64" s="310" t="e">
        <f t="shared" si="38"/>
        <v>#REF!</v>
      </c>
      <c r="AM64" s="310" t="e">
        <f t="shared" si="38"/>
        <v>#DIV/0!</v>
      </c>
      <c r="AN64" s="270"/>
      <c r="AO64" s="311"/>
      <c r="AP64" s="272"/>
      <c r="AQ64" s="273"/>
      <c r="AR64" s="274"/>
      <c r="AS64" s="275"/>
      <c r="AV64" s="277"/>
    </row>
    <row r="65" spans="1:48" s="305" customFormat="1" ht="59.1" customHeight="1" x14ac:dyDescent="0.35">
      <c r="A65" s="643" t="s">
        <v>33</v>
      </c>
      <c r="B65" s="665" t="s">
        <v>405</v>
      </c>
      <c r="C65" s="665" t="s">
        <v>405</v>
      </c>
      <c r="D65" s="665" t="s">
        <v>405</v>
      </c>
      <c r="E65" s="665" t="s">
        <v>409</v>
      </c>
      <c r="F65" s="665" t="s">
        <v>415</v>
      </c>
      <c r="G65" s="665"/>
      <c r="H65" s="677"/>
      <c r="I65" s="677"/>
      <c r="J65" s="664" t="s">
        <v>467</v>
      </c>
      <c r="K65" s="642"/>
      <c r="L65" s="642"/>
      <c r="M65" s="642"/>
      <c r="N65" s="655"/>
      <c r="O65" s="312"/>
      <c r="P65" s="655"/>
      <c r="Q65" s="655"/>
      <c r="R65" s="655">
        <f t="shared" si="12"/>
        <v>0</v>
      </c>
      <c r="S65" s="656"/>
      <c r="T65" s="656"/>
      <c r="U65" s="656"/>
      <c r="V65" s="656">
        <f t="shared" si="13"/>
        <v>0</v>
      </c>
      <c r="W65" s="644"/>
      <c r="X65" s="644"/>
      <c r="Y65" s="658">
        <f t="shared" si="14"/>
        <v>0</v>
      </c>
      <c r="Z65" s="313"/>
      <c r="AA65" s="644">
        <f t="shared" si="15"/>
        <v>0</v>
      </c>
      <c r="AB65" s="660"/>
      <c r="AC65" s="660"/>
      <c r="AD65" s="644">
        <f t="shared" si="16"/>
        <v>0</v>
      </c>
      <c r="AE65" s="659">
        <f t="shared" si="26"/>
        <v>0</v>
      </c>
      <c r="AF65" s="659"/>
      <c r="AG65" s="659">
        <f t="shared" si="27"/>
        <v>0</v>
      </c>
      <c r="AH65" s="661">
        <f t="shared" si="28"/>
        <v>0</v>
      </c>
      <c r="AI65" s="645" t="e">
        <f t="shared" ref="AI65:AI75" si="39">AC65/(AC65+AF65+AG65)</f>
        <v>#DIV/0!</v>
      </c>
      <c r="AJ65" s="646"/>
      <c r="AK65" s="647"/>
      <c r="AL65" s="648" t="e">
        <f>SUM(AE65-AF65-#REF!-#REF!)</f>
        <v>#REF!</v>
      </c>
      <c r="AM65" s="649" t="e">
        <f t="shared" ref="AM65:AM75" si="40">SUM(R65-(AE65+Y65))/R65</f>
        <v>#DIV/0!</v>
      </c>
      <c r="AN65" s="640"/>
      <c r="AO65" s="283"/>
      <c r="AP65" s="651"/>
      <c r="AQ65" s="239"/>
      <c r="AR65" s="641"/>
      <c r="AS65" s="304"/>
      <c r="AV65" s="306"/>
    </row>
    <row r="66" spans="1:48" s="305" customFormat="1" ht="40.5" x14ac:dyDescent="0.35">
      <c r="A66" s="643" t="s">
        <v>33</v>
      </c>
      <c r="B66" s="665" t="s">
        <v>405</v>
      </c>
      <c r="C66" s="665" t="s">
        <v>405</v>
      </c>
      <c r="D66" s="665" t="s">
        <v>405</v>
      </c>
      <c r="E66" s="665" t="s">
        <v>409</v>
      </c>
      <c r="F66" s="665" t="s">
        <v>415</v>
      </c>
      <c r="G66" s="665" t="s">
        <v>403</v>
      </c>
      <c r="H66" s="677"/>
      <c r="I66" s="677"/>
      <c r="J66" s="664" t="s">
        <v>468</v>
      </c>
      <c r="K66" s="642"/>
      <c r="L66" s="642"/>
      <c r="M66" s="642"/>
      <c r="N66" s="655"/>
      <c r="O66" s="312"/>
      <c r="P66" s="655"/>
      <c r="Q66" s="655"/>
      <c r="R66" s="655">
        <f t="shared" si="12"/>
        <v>0</v>
      </c>
      <c r="S66" s="656"/>
      <c r="T66" s="656"/>
      <c r="U66" s="656"/>
      <c r="V66" s="656">
        <f t="shared" si="13"/>
        <v>0</v>
      </c>
      <c r="W66" s="644"/>
      <c r="X66" s="644"/>
      <c r="Y66" s="658">
        <f t="shared" si="14"/>
        <v>0</v>
      </c>
      <c r="Z66" s="313"/>
      <c r="AA66" s="644">
        <f t="shared" si="15"/>
        <v>0</v>
      </c>
      <c r="AB66" s="660"/>
      <c r="AC66" s="660"/>
      <c r="AD66" s="644">
        <f t="shared" si="16"/>
        <v>0</v>
      </c>
      <c r="AE66" s="659">
        <f t="shared" si="26"/>
        <v>0</v>
      </c>
      <c r="AF66" s="659"/>
      <c r="AG66" s="659">
        <f t="shared" si="27"/>
        <v>0</v>
      </c>
      <c r="AH66" s="661">
        <f t="shared" si="28"/>
        <v>0</v>
      </c>
      <c r="AI66" s="645" t="e">
        <f t="shared" si="39"/>
        <v>#DIV/0!</v>
      </c>
      <c r="AJ66" s="646"/>
      <c r="AK66" s="647"/>
      <c r="AL66" s="648" t="e">
        <f>SUM(AE66-AF66-#REF!-#REF!)</f>
        <v>#REF!</v>
      </c>
      <c r="AM66" s="649" t="e">
        <f t="shared" si="40"/>
        <v>#DIV/0!</v>
      </c>
      <c r="AN66" s="640"/>
      <c r="AO66" s="283"/>
      <c r="AP66" s="651"/>
      <c r="AQ66" s="239"/>
      <c r="AR66" s="641"/>
      <c r="AS66" s="304"/>
      <c r="AV66" s="306"/>
    </row>
    <row r="67" spans="1:48" s="305" customFormat="1" ht="26.25" x14ac:dyDescent="0.35">
      <c r="A67" s="643" t="s">
        <v>33</v>
      </c>
      <c r="B67" s="665" t="s">
        <v>405</v>
      </c>
      <c r="C67" s="665" t="s">
        <v>405</v>
      </c>
      <c r="D67" s="665" t="s">
        <v>405</v>
      </c>
      <c r="E67" s="665" t="s">
        <v>409</v>
      </c>
      <c r="F67" s="665" t="s">
        <v>415</v>
      </c>
      <c r="G67" s="665" t="s">
        <v>405</v>
      </c>
      <c r="H67" s="677"/>
      <c r="I67" s="677"/>
      <c r="J67" s="664" t="s">
        <v>469</v>
      </c>
      <c r="K67" s="642"/>
      <c r="L67" s="642"/>
      <c r="M67" s="642"/>
      <c r="N67" s="655"/>
      <c r="O67" s="312"/>
      <c r="P67" s="655"/>
      <c r="Q67" s="655"/>
      <c r="R67" s="655">
        <f t="shared" si="12"/>
        <v>0</v>
      </c>
      <c r="S67" s="656"/>
      <c r="T67" s="656"/>
      <c r="U67" s="656"/>
      <c r="V67" s="656">
        <f t="shared" si="13"/>
        <v>0</v>
      </c>
      <c r="W67" s="644"/>
      <c r="X67" s="644"/>
      <c r="Y67" s="658">
        <f t="shared" si="14"/>
        <v>0</v>
      </c>
      <c r="Z67" s="313"/>
      <c r="AA67" s="644">
        <f t="shared" si="15"/>
        <v>0</v>
      </c>
      <c r="AB67" s="660"/>
      <c r="AC67" s="660"/>
      <c r="AD67" s="644">
        <f t="shared" si="16"/>
        <v>0</v>
      </c>
      <c r="AE67" s="659">
        <f t="shared" si="26"/>
        <v>0</v>
      </c>
      <c r="AF67" s="659"/>
      <c r="AG67" s="659">
        <f t="shared" si="27"/>
        <v>0</v>
      </c>
      <c r="AH67" s="661">
        <f t="shared" si="28"/>
        <v>0</v>
      </c>
      <c r="AI67" s="645" t="e">
        <f t="shared" si="39"/>
        <v>#DIV/0!</v>
      </c>
      <c r="AJ67" s="646"/>
      <c r="AK67" s="647"/>
      <c r="AL67" s="648" t="e">
        <f>SUM(AE67-AF67-#REF!-#REF!)</f>
        <v>#REF!</v>
      </c>
      <c r="AM67" s="649" t="e">
        <f t="shared" si="40"/>
        <v>#DIV/0!</v>
      </c>
      <c r="AN67" s="640"/>
      <c r="AO67" s="283"/>
      <c r="AP67" s="651"/>
      <c r="AQ67" s="239"/>
      <c r="AR67" s="641"/>
      <c r="AS67" s="304"/>
      <c r="AV67" s="306"/>
    </row>
    <row r="68" spans="1:48" s="305" customFormat="1" ht="26.25" x14ac:dyDescent="0.35">
      <c r="A68" s="643" t="s">
        <v>33</v>
      </c>
      <c r="B68" s="665" t="s">
        <v>405</v>
      </c>
      <c r="C68" s="665" t="s">
        <v>405</v>
      </c>
      <c r="D68" s="665" t="s">
        <v>405</v>
      </c>
      <c r="E68" s="665" t="s">
        <v>409</v>
      </c>
      <c r="F68" s="665" t="s">
        <v>415</v>
      </c>
      <c r="G68" s="665" t="s">
        <v>445</v>
      </c>
      <c r="H68" s="677"/>
      <c r="I68" s="677"/>
      <c r="J68" s="664" t="s">
        <v>470</v>
      </c>
      <c r="K68" s="642"/>
      <c r="L68" s="642"/>
      <c r="M68" s="642"/>
      <c r="N68" s="655"/>
      <c r="O68" s="312">
        <v>15000000</v>
      </c>
      <c r="P68" s="655">
        <v>5000000</v>
      </c>
      <c r="Q68" s="746">
        <f>1000000+1979577</f>
        <v>2979577</v>
      </c>
      <c r="R68" s="655">
        <f t="shared" si="12"/>
        <v>17020423</v>
      </c>
      <c r="S68" s="656">
        <v>3000000</v>
      </c>
      <c r="T68" s="656">
        <v>14000000</v>
      </c>
      <c r="U68" s="657">
        <f>66050+525432</f>
        <v>591482</v>
      </c>
      <c r="V68" s="656">
        <f t="shared" si="13"/>
        <v>13408518</v>
      </c>
      <c r="W68" s="644"/>
      <c r="X68" s="644"/>
      <c r="Y68" s="658">
        <f t="shared" si="14"/>
        <v>13408518</v>
      </c>
      <c r="Z68" s="313"/>
      <c r="AA68" s="644">
        <f t="shared" si="15"/>
        <v>20423</v>
      </c>
      <c r="AB68" s="660"/>
      <c r="AC68" s="660"/>
      <c r="AD68" s="644">
        <f t="shared" si="16"/>
        <v>0</v>
      </c>
      <c r="AE68" s="659">
        <f t="shared" si="26"/>
        <v>20423</v>
      </c>
      <c r="AF68" s="659"/>
      <c r="AG68" s="659">
        <f t="shared" si="27"/>
        <v>20423</v>
      </c>
      <c r="AH68" s="661">
        <f t="shared" si="28"/>
        <v>3591482</v>
      </c>
      <c r="AI68" s="645">
        <f t="shared" si="39"/>
        <v>0</v>
      </c>
      <c r="AJ68" s="646"/>
      <c r="AK68" s="647"/>
      <c r="AL68" s="648" t="e">
        <f>SUM(AE68-AF68-#REF!-#REF!)</f>
        <v>#REF!</v>
      </c>
      <c r="AM68" s="649">
        <f t="shared" si="40"/>
        <v>0.2110101493952295</v>
      </c>
      <c r="AN68" s="640"/>
      <c r="AO68" s="283"/>
      <c r="AP68" s="651"/>
      <c r="AQ68" s="239"/>
      <c r="AR68" s="747">
        <v>1979577</v>
      </c>
      <c r="AS68" s="304"/>
      <c r="AV68" s="306"/>
    </row>
    <row r="69" spans="1:48" s="305" customFormat="1" ht="60.75" x14ac:dyDescent="0.35">
      <c r="A69" s="643" t="s">
        <v>33</v>
      </c>
      <c r="B69" s="665" t="s">
        <v>405</v>
      </c>
      <c r="C69" s="665" t="s">
        <v>405</v>
      </c>
      <c r="D69" s="665" t="s">
        <v>405</v>
      </c>
      <c r="E69" s="665" t="s">
        <v>409</v>
      </c>
      <c r="F69" s="665" t="s">
        <v>415</v>
      </c>
      <c r="G69" s="665" t="s">
        <v>429</v>
      </c>
      <c r="H69" s="677"/>
      <c r="I69" s="677"/>
      <c r="J69" s="664" t="s">
        <v>471</v>
      </c>
      <c r="K69" s="642"/>
      <c r="L69" s="642"/>
      <c r="M69" s="642"/>
      <c r="N69" s="655"/>
      <c r="O69" s="312">
        <v>15000000</v>
      </c>
      <c r="P69" s="655"/>
      <c r="Q69" s="746">
        <f>10000000+5000000</f>
        <v>15000000</v>
      </c>
      <c r="R69" s="655">
        <f t="shared" si="12"/>
        <v>0</v>
      </c>
      <c r="S69" s="656"/>
      <c r="T69" s="656"/>
      <c r="U69" s="656"/>
      <c r="V69" s="656">
        <f t="shared" si="13"/>
        <v>0</v>
      </c>
      <c r="W69" s="644"/>
      <c r="X69" s="644"/>
      <c r="Y69" s="658">
        <f t="shared" si="14"/>
        <v>0</v>
      </c>
      <c r="Z69" s="313"/>
      <c r="AA69" s="644">
        <f t="shared" si="15"/>
        <v>0</v>
      </c>
      <c r="AB69" s="660"/>
      <c r="AC69" s="660"/>
      <c r="AD69" s="644">
        <f t="shared" si="16"/>
        <v>0</v>
      </c>
      <c r="AE69" s="659">
        <f t="shared" si="26"/>
        <v>0</v>
      </c>
      <c r="AF69" s="659"/>
      <c r="AG69" s="659">
        <f t="shared" si="27"/>
        <v>0</v>
      </c>
      <c r="AH69" s="661">
        <f t="shared" si="28"/>
        <v>0</v>
      </c>
      <c r="AI69" s="645" t="e">
        <f t="shared" si="39"/>
        <v>#DIV/0!</v>
      </c>
      <c r="AJ69" s="646"/>
      <c r="AK69" s="647"/>
      <c r="AL69" s="648" t="e">
        <f>SUM(AE69-AF69-#REF!-#REF!)</f>
        <v>#REF!</v>
      </c>
      <c r="AM69" s="649" t="e">
        <f t="shared" si="40"/>
        <v>#DIV/0!</v>
      </c>
      <c r="AN69" s="640"/>
      <c r="AO69" s="314" t="s">
        <v>919</v>
      </c>
      <c r="AP69" s="651"/>
      <c r="AQ69" s="239"/>
      <c r="AR69" s="747">
        <v>5000000</v>
      </c>
      <c r="AS69" s="304"/>
      <c r="AV69" s="306"/>
    </row>
    <row r="70" spans="1:48" s="305" customFormat="1" ht="40.5" x14ac:dyDescent="0.35">
      <c r="A70" s="643" t="s">
        <v>33</v>
      </c>
      <c r="B70" s="665" t="s">
        <v>405</v>
      </c>
      <c r="C70" s="665" t="s">
        <v>405</v>
      </c>
      <c r="D70" s="665" t="s">
        <v>405</v>
      </c>
      <c r="E70" s="665" t="s">
        <v>409</v>
      </c>
      <c r="F70" s="665" t="s">
        <v>426</v>
      </c>
      <c r="G70" s="665"/>
      <c r="H70" s="677"/>
      <c r="I70" s="677"/>
      <c r="J70" s="664" t="s">
        <v>128</v>
      </c>
      <c r="K70" s="642"/>
      <c r="L70" s="642"/>
      <c r="M70" s="642"/>
      <c r="N70" s="655"/>
      <c r="O70" s="312">
        <v>35000000</v>
      </c>
      <c r="P70" s="655">
        <v>6000000</v>
      </c>
      <c r="Q70" s="655"/>
      <c r="R70" s="655">
        <f t="shared" si="12"/>
        <v>41000000</v>
      </c>
      <c r="S70" s="656"/>
      <c r="T70" s="656">
        <v>1000000</v>
      </c>
      <c r="U70" s="657">
        <f>176500+25000</f>
        <v>201500</v>
      </c>
      <c r="V70" s="656">
        <f t="shared" si="13"/>
        <v>798500</v>
      </c>
      <c r="W70" s="644"/>
      <c r="X70" s="644"/>
      <c r="Y70" s="658">
        <f t="shared" si="14"/>
        <v>798500</v>
      </c>
      <c r="Z70" s="313"/>
      <c r="AA70" s="644">
        <f t="shared" si="15"/>
        <v>40000000</v>
      </c>
      <c r="AB70" s="660">
        <v>40000000</v>
      </c>
      <c r="AC70" s="660">
        <v>3000000</v>
      </c>
      <c r="AD70" s="644">
        <f t="shared" si="16"/>
        <v>37000000</v>
      </c>
      <c r="AE70" s="659">
        <f t="shared" si="26"/>
        <v>37000000</v>
      </c>
      <c r="AF70" s="659">
        <v>37000000</v>
      </c>
      <c r="AG70" s="659">
        <f t="shared" si="27"/>
        <v>0</v>
      </c>
      <c r="AH70" s="661">
        <f t="shared" si="28"/>
        <v>3201500</v>
      </c>
      <c r="AI70" s="645">
        <f t="shared" si="39"/>
        <v>7.4999999999999997E-2</v>
      </c>
      <c r="AJ70" s="646"/>
      <c r="AK70" s="647"/>
      <c r="AL70" s="648" t="e">
        <f>SUM(AE70-AF70-#REF!-#REF!)</f>
        <v>#REF!</v>
      </c>
      <c r="AM70" s="649">
        <f t="shared" si="40"/>
        <v>7.8085365853658537E-2</v>
      </c>
      <c r="AN70" s="640"/>
      <c r="AO70" s="283"/>
      <c r="AP70" s="651"/>
      <c r="AQ70" s="239"/>
      <c r="AR70" s="641"/>
      <c r="AS70" s="304"/>
      <c r="AV70" s="306"/>
    </row>
    <row r="71" spans="1:48" s="305" customFormat="1" ht="40.5" x14ac:dyDescent="0.35">
      <c r="A71" s="643" t="s">
        <v>33</v>
      </c>
      <c r="B71" s="665" t="s">
        <v>405</v>
      </c>
      <c r="C71" s="665" t="s">
        <v>405</v>
      </c>
      <c r="D71" s="665" t="s">
        <v>405</v>
      </c>
      <c r="E71" s="665" t="s">
        <v>409</v>
      </c>
      <c r="F71" s="665" t="s">
        <v>435</v>
      </c>
      <c r="G71" s="665"/>
      <c r="H71" s="677"/>
      <c r="I71" s="677"/>
      <c r="J71" s="664" t="s">
        <v>99</v>
      </c>
      <c r="K71" s="642"/>
      <c r="L71" s="642"/>
      <c r="M71" s="642"/>
      <c r="N71" s="655"/>
      <c r="O71" s="312">
        <v>3000000</v>
      </c>
      <c r="P71" s="655"/>
      <c r="Q71" s="655"/>
      <c r="R71" s="655">
        <f t="shared" si="12"/>
        <v>3000000</v>
      </c>
      <c r="S71" s="656"/>
      <c r="T71" s="656"/>
      <c r="U71" s="656"/>
      <c r="V71" s="656">
        <f t="shared" si="13"/>
        <v>0</v>
      </c>
      <c r="W71" s="644"/>
      <c r="X71" s="644"/>
      <c r="Y71" s="658">
        <f t="shared" si="14"/>
        <v>0</v>
      </c>
      <c r="Z71" s="313"/>
      <c r="AA71" s="644">
        <f t="shared" si="15"/>
        <v>3000000</v>
      </c>
      <c r="AB71" s="660">
        <v>3000000</v>
      </c>
      <c r="AC71" s="660"/>
      <c r="AD71" s="644">
        <f t="shared" si="16"/>
        <v>3000000</v>
      </c>
      <c r="AE71" s="659">
        <f t="shared" si="26"/>
        <v>3000000</v>
      </c>
      <c r="AF71" s="659">
        <v>3000000</v>
      </c>
      <c r="AG71" s="659">
        <f t="shared" si="27"/>
        <v>0</v>
      </c>
      <c r="AH71" s="661">
        <f t="shared" si="28"/>
        <v>0</v>
      </c>
      <c r="AI71" s="645">
        <f t="shared" si="39"/>
        <v>0</v>
      </c>
      <c r="AJ71" s="646"/>
      <c r="AK71" s="647"/>
      <c r="AL71" s="648" t="e">
        <f>SUM(AE71-AF71-#REF!-#REF!)</f>
        <v>#REF!</v>
      </c>
      <c r="AM71" s="649">
        <f t="shared" si="40"/>
        <v>0</v>
      </c>
      <c r="AN71" s="640"/>
      <c r="AO71" s="283"/>
      <c r="AP71" s="651"/>
      <c r="AQ71" s="239"/>
      <c r="AR71" s="641"/>
      <c r="AS71" s="304"/>
      <c r="AV71" s="306"/>
    </row>
    <row r="72" spans="1:48" s="305" customFormat="1" ht="56.45" customHeight="1" x14ac:dyDescent="0.35">
      <c r="A72" s="643"/>
      <c r="B72" s="665" t="s">
        <v>405</v>
      </c>
      <c r="C72" s="665" t="s">
        <v>405</v>
      </c>
      <c r="D72" s="665" t="s">
        <v>405</v>
      </c>
      <c r="E72" s="665" t="s">
        <v>409</v>
      </c>
      <c r="F72" s="665" t="s">
        <v>443</v>
      </c>
      <c r="G72" s="665" t="s">
        <v>431</v>
      </c>
      <c r="H72" s="677"/>
      <c r="I72" s="677"/>
      <c r="J72" s="664" t="s">
        <v>1185</v>
      </c>
      <c r="K72" s="642"/>
      <c r="L72" s="642"/>
      <c r="M72" s="642"/>
      <c r="N72" s="655"/>
      <c r="O72" s="312"/>
      <c r="P72" s="746">
        <v>2318000</v>
      </c>
      <c r="Q72" s="655"/>
      <c r="R72" s="655">
        <f t="shared" si="12"/>
        <v>2318000</v>
      </c>
      <c r="S72" s="656"/>
      <c r="T72" s="656">
        <v>2317050</v>
      </c>
      <c r="U72" s="691">
        <v>2317050</v>
      </c>
      <c r="V72" s="656">
        <f t="shared" si="13"/>
        <v>0</v>
      </c>
      <c r="W72" s="644"/>
      <c r="X72" s="644"/>
      <c r="Y72" s="658">
        <f t="shared" si="14"/>
        <v>0</v>
      </c>
      <c r="Z72" s="313"/>
      <c r="AA72" s="644">
        <f t="shared" si="15"/>
        <v>950</v>
      </c>
      <c r="AB72" s="660"/>
      <c r="AC72" s="660"/>
      <c r="AD72" s="644"/>
      <c r="AE72" s="659">
        <f t="shared" si="26"/>
        <v>950</v>
      </c>
      <c r="AF72" s="659"/>
      <c r="AG72" s="638">
        <f t="shared" si="27"/>
        <v>950</v>
      </c>
      <c r="AH72" s="661">
        <f t="shared" si="28"/>
        <v>2317050</v>
      </c>
      <c r="AI72" s="645">
        <f t="shared" si="39"/>
        <v>0</v>
      </c>
      <c r="AJ72" s="646"/>
      <c r="AK72" s="647"/>
      <c r="AL72" s="648"/>
      <c r="AM72" s="649"/>
      <c r="AN72" s="640"/>
      <c r="AO72" s="283"/>
      <c r="AP72" s="651"/>
      <c r="AQ72" s="748">
        <v>2318000</v>
      </c>
      <c r="AR72" s="641"/>
      <c r="AS72" s="304"/>
      <c r="AV72" s="306"/>
    </row>
    <row r="73" spans="1:48" s="305" customFormat="1" ht="26.25" x14ac:dyDescent="0.35">
      <c r="A73" s="643" t="s">
        <v>33</v>
      </c>
      <c r="B73" s="665" t="s">
        <v>405</v>
      </c>
      <c r="C73" s="665" t="s">
        <v>405</v>
      </c>
      <c r="D73" s="665" t="s">
        <v>405</v>
      </c>
      <c r="E73" s="665" t="s">
        <v>409</v>
      </c>
      <c r="F73" s="665" t="s">
        <v>417</v>
      </c>
      <c r="G73" s="665"/>
      <c r="H73" s="677"/>
      <c r="I73" s="677"/>
      <c r="J73" s="664" t="s">
        <v>472</v>
      </c>
      <c r="K73" s="642"/>
      <c r="L73" s="642"/>
      <c r="M73" s="642"/>
      <c r="N73" s="655"/>
      <c r="O73" s="312">
        <f>154281326</f>
        <v>154281326</v>
      </c>
      <c r="P73" s="746">
        <v>2000000</v>
      </c>
      <c r="Q73" s="655"/>
      <c r="R73" s="655">
        <f t="shared" si="12"/>
        <v>156281326</v>
      </c>
      <c r="S73" s="656"/>
      <c r="T73" s="656">
        <v>2000000</v>
      </c>
      <c r="U73" s="657">
        <v>30300</v>
      </c>
      <c r="V73" s="656">
        <f t="shared" si="13"/>
        <v>1969700</v>
      </c>
      <c r="W73" s="644"/>
      <c r="X73" s="644">
        <v>154281326</v>
      </c>
      <c r="Y73" s="658">
        <f t="shared" si="14"/>
        <v>1969700</v>
      </c>
      <c r="Z73" s="313"/>
      <c r="AA73" s="644">
        <f t="shared" si="15"/>
        <v>0</v>
      </c>
      <c r="AB73" s="660"/>
      <c r="AC73" s="660"/>
      <c r="AD73" s="644">
        <f t="shared" si="16"/>
        <v>0</v>
      </c>
      <c r="AE73" s="659">
        <f t="shared" si="26"/>
        <v>0</v>
      </c>
      <c r="AF73" s="659"/>
      <c r="AG73" s="638">
        <f t="shared" si="27"/>
        <v>0</v>
      </c>
      <c r="AH73" s="661">
        <f t="shared" si="28"/>
        <v>154311626</v>
      </c>
      <c r="AI73" s="645" t="e">
        <f t="shared" si="39"/>
        <v>#DIV/0!</v>
      </c>
      <c r="AJ73" s="646"/>
      <c r="AK73" s="647"/>
      <c r="AL73" s="648" t="e">
        <f>SUM(AE73-AF73-#REF!-#REF!)</f>
        <v>#REF!</v>
      </c>
      <c r="AM73" s="649">
        <f t="shared" si="40"/>
        <v>0.98739644684100003</v>
      </c>
      <c r="AN73" s="640"/>
      <c r="AO73" s="283"/>
      <c r="AP73" s="651"/>
      <c r="AQ73" s="748">
        <v>2000000</v>
      </c>
      <c r="AR73" s="641"/>
      <c r="AS73" s="304"/>
      <c r="AV73" s="306"/>
    </row>
    <row r="74" spans="1:48" s="305" customFormat="1" ht="81" x14ac:dyDescent="0.35">
      <c r="A74" s="643" t="s">
        <v>33</v>
      </c>
      <c r="B74" s="665" t="s">
        <v>405</v>
      </c>
      <c r="C74" s="665" t="s">
        <v>405</v>
      </c>
      <c r="D74" s="665" t="s">
        <v>405</v>
      </c>
      <c r="E74" s="665" t="s">
        <v>409</v>
      </c>
      <c r="F74" s="665" t="s">
        <v>473</v>
      </c>
      <c r="G74" s="665" t="s">
        <v>403</v>
      </c>
      <c r="H74" s="677"/>
      <c r="I74" s="677"/>
      <c r="J74" s="664" t="s">
        <v>474</v>
      </c>
      <c r="K74" s="642"/>
      <c r="L74" s="642"/>
      <c r="M74" s="642"/>
      <c r="N74" s="655"/>
      <c r="O74" s="312">
        <v>130000000</v>
      </c>
      <c r="P74" s="655"/>
      <c r="Q74" s="655"/>
      <c r="R74" s="655">
        <f t="shared" si="12"/>
        <v>130000000</v>
      </c>
      <c r="S74" s="656"/>
      <c r="T74" s="656"/>
      <c r="U74" s="656"/>
      <c r="V74" s="656">
        <f t="shared" si="13"/>
        <v>0</v>
      </c>
      <c r="W74" s="644">
        <v>130000000</v>
      </c>
      <c r="X74" s="644"/>
      <c r="Y74" s="658">
        <f t="shared" si="14"/>
        <v>0</v>
      </c>
      <c r="Z74" s="313"/>
      <c r="AA74" s="644">
        <f t="shared" si="15"/>
        <v>0</v>
      </c>
      <c r="AB74" s="660"/>
      <c r="AC74" s="660"/>
      <c r="AD74" s="644">
        <f t="shared" si="16"/>
        <v>0</v>
      </c>
      <c r="AE74" s="659">
        <f t="shared" si="26"/>
        <v>0</v>
      </c>
      <c r="AF74" s="659"/>
      <c r="AG74" s="659">
        <f t="shared" si="27"/>
        <v>0</v>
      </c>
      <c r="AH74" s="661">
        <f t="shared" si="28"/>
        <v>130000000</v>
      </c>
      <c r="AI74" s="645" t="e">
        <f t="shared" si="39"/>
        <v>#DIV/0!</v>
      </c>
      <c r="AJ74" s="646"/>
      <c r="AK74" s="647"/>
      <c r="AL74" s="648" t="e">
        <f>SUM(AE74-AF74-#REF!-#REF!)</f>
        <v>#REF!</v>
      </c>
      <c r="AM74" s="649">
        <f t="shared" si="40"/>
        <v>1</v>
      </c>
      <c r="AN74" s="640"/>
      <c r="AO74" s="283"/>
      <c r="AP74" s="651"/>
      <c r="AQ74" s="239"/>
      <c r="AR74" s="641"/>
      <c r="AS74" s="304"/>
      <c r="AV74" s="306"/>
    </row>
    <row r="75" spans="1:48" s="305" customFormat="1" ht="40.5" x14ac:dyDescent="0.35">
      <c r="A75" s="643" t="s">
        <v>33</v>
      </c>
      <c r="B75" s="665" t="s">
        <v>405</v>
      </c>
      <c r="C75" s="665" t="s">
        <v>405</v>
      </c>
      <c r="D75" s="665" t="s">
        <v>405</v>
      </c>
      <c r="E75" s="665" t="s">
        <v>409</v>
      </c>
      <c r="F75" s="665" t="s">
        <v>473</v>
      </c>
      <c r="G75" s="665" t="s">
        <v>405</v>
      </c>
      <c r="H75" s="677"/>
      <c r="I75" s="677"/>
      <c r="J75" s="664" t="s">
        <v>475</v>
      </c>
      <c r="K75" s="642"/>
      <c r="L75" s="642"/>
      <c r="M75" s="642"/>
      <c r="N75" s="655"/>
      <c r="O75" s="312">
        <v>12000000</v>
      </c>
      <c r="P75" s="655"/>
      <c r="Q75" s="655"/>
      <c r="R75" s="655">
        <f t="shared" si="12"/>
        <v>12000000</v>
      </c>
      <c r="S75" s="656"/>
      <c r="T75" s="656"/>
      <c r="U75" s="656"/>
      <c r="V75" s="656">
        <f t="shared" si="13"/>
        <v>0</v>
      </c>
      <c r="W75" s="644">
        <v>12000000</v>
      </c>
      <c r="X75" s="644"/>
      <c r="Y75" s="658">
        <f t="shared" si="14"/>
        <v>0</v>
      </c>
      <c r="Z75" s="313"/>
      <c r="AA75" s="644">
        <f t="shared" si="15"/>
        <v>0</v>
      </c>
      <c r="AB75" s="660"/>
      <c r="AC75" s="660"/>
      <c r="AD75" s="644">
        <f t="shared" si="16"/>
        <v>0</v>
      </c>
      <c r="AE75" s="659">
        <f t="shared" si="26"/>
        <v>0</v>
      </c>
      <c r="AF75" s="659"/>
      <c r="AG75" s="659">
        <f t="shared" si="27"/>
        <v>0</v>
      </c>
      <c r="AH75" s="661">
        <f t="shared" si="28"/>
        <v>12000000</v>
      </c>
      <c r="AI75" s="645" t="e">
        <f t="shared" si="39"/>
        <v>#DIV/0!</v>
      </c>
      <c r="AJ75" s="646"/>
      <c r="AK75" s="647"/>
      <c r="AL75" s="648" t="e">
        <f>SUM(AE75-AF75-#REF!-#REF!)</f>
        <v>#REF!</v>
      </c>
      <c r="AM75" s="649">
        <f t="shared" si="40"/>
        <v>1</v>
      </c>
      <c r="AN75" s="640"/>
      <c r="AO75" s="283"/>
      <c r="AP75" s="651"/>
      <c r="AQ75" s="239"/>
      <c r="AR75" s="641"/>
      <c r="AS75" s="304"/>
      <c r="AV75" s="306"/>
    </row>
    <row r="76" spans="1:48" s="276" customFormat="1" ht="60.75" x14ac:dyDescent="0.35">
      <c r="A76" s="258"/>
      <c r="B76" s="607" t="s">
        <v>405</v>
      </c>
      <c r="C76" s="607" t="s">
        <v>405</v>
      </c>
      <c r="D76" s="607" t="s">
        <v>405</v>
      </c>
      <c r="E76" s="607" t="s">
        <v>443</v>
      </c>
      <c r="F76" s="607"/>
      <c r="G76" s="607"/>
      <c r="H76" s="679"/>
      <c r="I76" s="679"/>
      <c r="J76" s="592" t="s">
        <v>476</v>
      </c>
      <c r="K76" s="262"/>
      <c r="L76" s="262"/>
      <c r="M76" s="262"/>
      <c r="N76" s="309">
        <v>23000000</v>
      </c>
      <c r="O76" s="310">
        <f>SUM(O77:O79)</f>
        <v>23000000</v>
      </c>
      <c r="P76" s="310">
        <f t="shared" ref="P76:AM76" si="41">SUM(P77:P79)</f>
        <v>0</v>
      </c>
      <c r="Q76" s="310">
        <f t="shared" si="41"/>
        <v>0</v>
      </c>
      <c r="R76" s="310">
        <f t="shared" si="41"/>
        <v>23000000</v>
      </c>
      <c r="S76" s="310">
        <f t="shared" si="41"/>
        <v>0</v>
      </c>
      <c r="T76" s="310">
        <f t="shared" si="41"/>
        <v>4500000</v>
      </c>
      <c r="U76" s="310">
        <f t="shared" si="41"/>
        <v>0</v>
      </c>
      <c r="V76" s="310">
        <f t="shared" si="41"/>
        <v>4500000</v>
      </c>
      <c r="W76" s="310">
        <f>SUM(W77:W79)</f>
        <v>7000000</v>
      </c>
      <c r="X76" s="310">
        <f t="shared" si="41"/>
        <v>0</v>
      </c>
      <c r="Y76" s="310">
        <f t="shared" si="41"/>
        <v>4500000</v>
      </c>
      <c r="Z76" s="310">
        <f t="shared" si="41"/>
        <v>0</v>
      </c>
      <c r="AA76" s="310">
        <f>SUM(AA77:AA79)</f>
        <v>11500000</v>
      </c>
      <c r="AB76" s="310">
        <f t="shared" si="41"/>
        <v>8500000</v>
      </c>
      <c r="AC76" s="310">
        <f t="shared" si="41"/>
        <v>0</v>
      </c>
      <c r="AD76" s="310">
        <f t="shared" si="41"/>
        <v>8500000</v>
      </c>
      <c r="AE76" s="310">
        <f>SUM(AE77:AE79)</f>
        <v>11500000</v>
      </c>
      <c r="AF76" s="310">
        <f t="shared" si="41"/>
        <v>8500000</v>
      </c>
      <c r="AG76" s="310">
        <f>SUM(AG77:AG79)</f>
        <v>3000000</v>
      </c>
      <c r="AH76" s="310">
        <f t="shared" si="41"/>
        <v>7000000</v>
      </c>
      <c r="AI76" s="310" t="e">
        <f t="shared" si="41"/>
        <v>#DIV/0!</v>
      </c>
      <c r="AJ76" s="310">
        <f t="shared" si="41"/>
        <v>0</v>
      </c>
      <c r="AK76" s="310">
        <f t="shared" si="41"/>
        <v>0</v>
      </c>
      <c r="AL76" s="310" t="e">
        <f t="shared" si="41"/>
        <v>#REF!</v>
      </c>
      <c r="AM76" s="310">
        <f t="shared" si="41"/>
        <v>1</v>
      </c>
      <c r="AN76" s="270"/>
      <c r="AO76" s="311"/>
      <c r="AP76" s="272"/>
      <c r="AQ76" s="273"/>
      <c r="AR76" s="274"/>
      <c r="AS76" s="275"/>
      <c r="AV76" s="277"/>
    </row>
    <row r="77" spans="1:48" s="305" customFormat="1" ht="60.75" x14ac:dyDescent="0.35">
      <c r="A77" s="643" t="s">
        <v>33</v>
      </c>
      <c r="B77" s="665" t="s">
        <v>405</v>
      </c>
      <c r="C77" s="665" t="s">
        <v>405</v>
      </c>
      <c r="D77" s="665" t="s">
        <v>405</v>
      </c>
      <c r="E77" s="665" t="s">
        <v>443</v>
      </c>
      <c r="F77" s="665" t="s">
        <v>407</v>
      </c>
      <c r="G77" s="665" t="s">
        <v>445</v>
      </c>
      <c r="H77" s="677" t="s">
        <v>477</v>
      </c>
      <c r="I77" s="677" t="s">
        <v>478</v>
      </c>
      <c r="J77" s="664" t="s">
        <v>113</v>
      </c>
      <c r="K77" s="642"/>
      <c r="L77" s="642"/>
      <c r="M77" s="642"/>
      <c r="N77" s="655"/>
      <c r="O77" s="312">
        <v>8500000</v>
      </c>
      <c r="P77" s="655"/>
      <c r="Q77" s="655"/>
      <c r="R77" s="655">
        <f t="shared" si="12"/>
        <v>8500000</v>
      </c>
      <c r="S77" s="656"/>
      <c r="T77" s="656"/>
      <c r="U77" s="656"/>
      <c r="V77" s="656">
        <f t="shared" si="13"/>
        <v>0</v>
      </c>
      <c r="W77" s="644"/>
      <c r="X77" s="644"/>
      <c r="Y77" s="658">
        <f t="shared" si="14"/>
        <v>0</v>
      </c>
      <c r="Z77" s="313"/>
      <c r="AA77" s="644">
        <f t="shared" si="15"/>
        <v>8500000</v>
      </c>
      <c r="AB77" s="660">
        <v>8500000</v>
      </c>
      <c r="AC77" s="660"/>
      <c r="AD77" s="644">
        <f t="shared" si="16"/>
        <v>8500000</v>
      </c>
      <c r="AE77" s="659">
        <f t="shared" si="26"/>
        <v>8500000</v>
      </c>
      <c r="AF77" s="659">
        <v>8500000</v>
      </c>
      <c r="AG77" s="659">
        <f t="shared" si="27"/>
        <v>0</v>
      </c>
      <c r="AH77" s="661">
        <f t="shared" si="28"/>
        <v>0</v>
      </c>
      <c r="AI77" s="645">
        <f>AC77/(AC77+AF77+AG77)</f>
        <v>0</v>
      </c>
      <c r="AJ77" s="646"/>
      <c r="AK77" s="647"/>
      <c r="AL77" s="648" t="e">
        <f>SUM(AE77-AF77-#REF!-#REF!)</f>
        <v>#REF!</v>
      </c>
      <c r="AM77" s="649">
        <f>SUM(R77-(AE77+Y77))/R77</f>
        <v>0</v>
      </c>
      <c r="AN77" s="640"/>
      <c r="AO77" s="283"/>
      <c r="AP77" s="651"/>
      <c r="AQ77" s="239"/>
      <c r="AR77" s="641"/>
      <c r="AS77" s="304"/>
      <c r="AV77" s="306"/>
    </row>
    <row r="78" spans="1:48" s="305" customFormat="1" ht="60.75" x14ac:dyDescent="0.35">
      <c r="A78" s="643" t="s">
        <v>33</v>
      </c>
      <c r="B78" s="665" t="s">
        <v>405</v>
      </c>
      <c r="C78" s="665" t="s">
        <v>405</v>
      </c>
      <c r="D78" s="665" t="s">
        <v>405</v>
      </c>
      <c r="E78" s="665" t="s">
        <v>443</v>
      </c>
      <c r="F78" s="665" t="s">
        <v>407</v>
      </c>
      <c r="G78" s="665" t="s">
        <v>445</v>
      </c>
      <c r="H78" s="677" t="s">
        <v>477</v>
      </c>
      <c r="I78" s="677" t="s">
        <v>479</v>
      </c>
      <c r="J78" s="664" t="s">
        <v>97</v>
      </c>
      <c r="K78" s="642"/>
      <c r="L78" s="642"/>
      <c r="M78" s="642"/>
      <c r="N78" s="655"/>
      <c r="O78" s="312">
        <v>7500000</v>
      </c>
      <c r="P78" s="655"/>
      <c r="Q78" s="655"/>
      <c r="R78" s="655">
        <f t="shared" ref="R78:R87" si="42">SUM(O78+P78-Q78)</f>
        <v>7500000</v>
      </c>
      <c r="S78" s="656"/>
      <c r="T78" s="656">
        <v>4500000</v>
      </c>
      <c r="U78" s="656"/>
      <c r="V78" s="656">
        <f t="shared" si="13"/>
        <v>4500000</v>
      </c>
      <c r="W78" s="644"/>
      <c r="X78" s="644"/>
      <c r="Y78" s="658">
        <f t="shared" si="14"/>
        <v>4500000</v>
      </c>
      <c r="Z78" s="313"/>
      <c r="AA78" s="644">
        <f t="shared" si="15"/>
        <v>3000000</v>
      </c>
      <c r="AB78" s="660"/>
      <c r="AC78" s="660"/>
      <c r="AD78" s="644">
        <f t="shared" si="16"/>
        <v>0</v>
      </c>
      <c r="AE78" s="659">
        <f t="shared" si="26"/>
        <v>3000000</v>
      </c>
      <c r="AF78" s="659"/>
      <c r="AG78" s="659">
        <f t="shared" si="27"/>
        <v>3000000</v>
      </c>
      <c r="AH78" s="661">
        <f t="shared" si="28"/>
        <v>0</v>
      </c>
      <c r="AI78" s="645">
        <f>AC78/(AC78+AF78+AG78)</f>
        <v>0</v>
      </c>
      <c r="AJ78" s="646"/>
      <c r="AK78" s="647"/>
      <c r="AL78" s="648" t="e">
        <f>SUM(AE78-AF78-#REF!-#REF!)</f>
        <v>#REF!</v>
      </c>
      <c r="AM78" s="649">
        <f>SUM(R78-(AE78+Y78))/R78</f>
        <v>0</v>
      </c>
      <c r="AN78" s="640"/>
      <c r="AO78" s="283"/>
      <c r="AP78" s="651"/>
      <c r="AQ78" s="239"/>
      <c r="AR78" s="641"/>
      <c r="AS78" s="304"/>
      <c r="AV78" s="306"/>
    </row>
    <row r="79" spans="1:48" s="305" customFormat="1" ht="81" x14ac:dyDescent="0.35">
      <c r="A79" s="643" t="s">
        <v>33</v>
      </c>
      <c r="B79" s="665" t="s">
        <v>405</v>
      </c>
      <c r="C79" s="665" t="s">
        <v>405</v>
      </c>
      <c r="D79" s="665" t="s">
        <v>405</v>
      </c>
      <c r="E79" s="665" t="s">
        <v>443</v>
      </c>
      <c r="F79" s="665" t="s">
        <v>449</v>
      </c>
      <c r="G79" s="665" t="s">
        <v>403</v>
      </c>
      <c r="H79" s="677" t="s">
        <v>420</v>
      </c>
      <c r="I79" s="677"/>
      <c r="J79" s="664" t="s">
        <v>480</v>
      </c>
      <c r="K79" s="642"/>
      <c r="L79" s="642"/>
      <c r="M79" s="642"/>
      <c r="N79" s="655"/>
      <c r="O79" s="312">
        <v>7000000</v>
      </c>
      <c r="P79" s="655"/>
      <c r="Q79" s="655"/>
      <c r="R79" s="655">
        <f t="shared" si="42"/>
        <v>7000000</v>
      </c>
      <c r="S79" s="656"/>
      <c r="T79" s="656"/>
      <c r="U79" s="656"/>
      <c r="V79" s="656">
        <f t="shared" si="13"/>
        <v>0</v>
      </c>
      <c r="W79" s="644">
        <v>7000000</v>
      </c>
      <c r="X79" s="644"/>
      <c r="Y79" s="658">
        <f t="shared" si="14"/>
        <v>0</v>
      </c>
      <c r="Z79" s="313"/>
      <c r="AA79" s="644">
        <f t="shared" si="15"/>
        <v>0</v>
      </c>
      <c r="AB79" s="660"/>
      <c r="AC79" s="660"/>
      <c r="AD79" s="644">
        <f t="shared" si="16"/>
        <v>0</v>
      </c>
      <c r="AE79" s="659">
        <f t="shared" si="26"/>
        <v>0</v>
      </c>
      <c r="AF79" s="659"/>
      <c r="AG79" s="659">
        <f t="shared" si="27"/>
        <v>0</v>
      </c>
      <c r="AH79" s="661">
        <f t="shared" si="28"/>
        <v>7000000</v>
      </c>
      <c r="AI79" s="645" t="e">
        <f>AC79/(AC79+AF79+AG79)</f>
        <v>#DIV/0!</v>
      </c>
      <c r="AJ79" s="646"/>
      <c r="AK79" s="647"/>
      <c r="AL79" s="648" t="e">
        <f>SUM(AE79-AF79-#REF!-#REF!)</f>
        <v>#REF!</v>
      </c>
      <c r="AM79" s="649">
        <f>SUM(R79-(AE79+Y79))/R79</f>
        <v>1</v>
      </c>
      <c r="AN79" s="640"/>
      <c r="AO79" s="283"/>
      <c r="AP79" s="651"/>
      <c r="AQ79" s="239"/>
      <c r="AR79" s="641"/>
      <c r="AS79" s="304"/>
      <c r="AV79" s="306"/>
    </row>
    <row r="80" spans="1:48" s="276" customFormat="1" ht="60.75" x14ac:dyDescent="0.35">
      <c r="A80" s="258"/>
      <c r="B80" s="607" t="s">
        <v>405</v>
      </c>
      <c r="C80" s="607" t="s">
        <v>405</v>
      </c>
      <c r="D80" s="607" t="s">
        <v>405</v>
      </c>
      <c r="E80" s="607" t="s">
        <v>417</v>
      </c>
      <c r="F80" s="607"/>
      <c r="G80" s="607"/>
      <c r="H80" s="679"/>
      <c r="I80" s="679"/>
      <c r="J80" s="592" t="s">
        <v>481</v>
      </c>
      <c r="K80" s="262"/>
      <c r="L80" s="262"/>
      <c r="M80" s="262"/>
      <c r="N80" s="309">
        <v>1691587290.0000002</v>
      </c>
      <c r="O80" s="310">
        <f t="shared" ref="O80:AM80" si="43">SUM(O81:O95)</f>
        <v>1691587290.0000002</v>
      </c>
      <c r="P80" s="310">
        <f t="shared" si="43"/>
        <v>71522227</v>
      </c>
      <c r="Q80" s="310">
        <f t="shared" si="43"/>
        <v>76042650</v>
      </c>
      <c r="R80" s="310">
        <f t="shared" si="43"/>
        <v>1687066867.0000002</v>
      </c>
      <c r="S80" s="310">
        <f t="shared" si="43"/>
        <v>2000000</v>
      </c>
      <c r="T80" s="310">
        <f t="shared" si="43"/>
        <v>8600000</v>
      </c>
      <c r="U80" s="310">
        <f t="shared" si="43"/>
        <v>1169017</v>
      </c>
      <c r="V80" s="310">
        <f t="shared" si="43"/>
        <v>7430983</v>
      </c>
      <c r="W80" s="310">
        <f t="shared" si="43"/>
        <v>118000000</v>
      </c>
      <c r="X80" s="310">
        <f t="shared" si="43"/>
        <v>725113558.64999998</v>
      </c>
      <c r="Y80" s="310">
        <f t="shared" si="43"/>
        <v>7430983</v>
      </c>
      <c r="Z80" s="310">
        <f t="shared" si="43"/>
        <v>58682227</v>
      </c>
      <c r="AA80" s="310">
        <f t="shared" si="43"/>
        <v>774671081.35000002</v>
      </c>
      <c r="AB80" s="310">
        <f t="shared" si="43"/>
        <v>780179341.46000004</v>
      </c>
      <c r="AC80" s="310">
        <f t="shared" si="43"/>
        <v>116642905</v>
      </c>
      <c r="AD80" s="310">
        <f t="shared" si="43"/>
        <v>658661436.46000004</v>
      </c>
      <c r="AE80" s="310">
        <f t="shared" si="43"/>
        <v>658028176.3499999</v>
      </c>
      <c r="AF80" s="310">
        <f t="shared" si="43"/>
        <v>653939341.46000004</v>
      </c>
      <c r="AG80" s="310">
        <f t="shared" si="43"/>
        <v>4088834.8900000006</v>
      </c>
      <c r="AH80" s="310">
        <f t="shared" si="43"/>
        <v>1021607707.65</v>
      </c>
      <c r="AI80" s="310" t="e">
        <f t="shared" si="43"/>
        <v>#DIV/0!</v>
      </c>
      <c r="AJ80" s="310">
        <f t="shared" si="43"/>
        <v>0</v>
      </c>
      <c r="AK80" s="310">
        <f t="shared" si="43"/>
        <v>0</v>
      </c>
      <c r="AL80" s="310" t="e">
        <f t="shared" si="43"/>
        <v>#REF!</v>
      </c>
      <c r="AM80" s="310" t="e">
        <f t="shared" si="43"/>
        <v>#DIV/0!</v>
      </c>
      <c r="AN80" s="270"/>
      <c r="AO80" s="311"/>
      <c r="AP80" s="272"/>
      <c r="AQ80" s="273"/>
      <c r="AR80" s="274"/>
      <c r="AS80" s="275"/>
      <c r="AV80" s="277"/>
    </row>
    <row r="81" spans="1:48" s="305" customFormat="1" ht="40.5" x14ac:dyDescent="0.35">
      <c r="A81" s="643" t="s">
        <v>33</v>
      </c>
      <c r="B81" s="665" t="s">
        <v>405</v>
      </c>
      <c r="C81" s="665" t="s">
        <v>405</v>
      </c>
      <c r="D81" s="665" t="s">
        <v>405</v>
      </c>
      <c r="E81" s="665" t="s">
        <v>417</v>
      </c>
      <c r="F81" s="665" t="s">
        <v>449</v>
      </c>
      <c r="G81" s="665" t="s">
        <v>403</v>
      </c>
      <c r="H81" s="677"/>
      <c r="I81" s="677"/>
      <c r="J81" s="664" t="s">
        <v>159</v>
      </c>
      <c r="K81" s="642"/>
      <c r="L81" s="642"/>
      <c r="M81" s="642"/>
      <c r="N81" s="655"/>
      <c r="O81" s="312">
        <v>22500000</v>
      </c>
      <c r="P81" s="655">
        <v>240000</v>
      </c>
      <c r="Q81" s="747">
        <v>7850423</v>
      </c>
      <c r="R81" s="655">
        <f t="shared" si="42"/>
        <v>14889577</v>
      </c>
      <c r="S81" s="656"/>
      <c r="T81" s="656"/>
      <c r="U81" s="656"/>
      <c r="V81" s="656">
        <f t="shared" si="13"/>
        <v>0</v>
      </c>
      <c r="W81" s="644"/>
      <c r="X81" s="644"/>
      <c r="Y81" s="658">
        <f t="shared" si="14"/>
        <v>0</v>
      </c>
      <c r="Z81" s="313"/>
      <c r="AA81" s="644">
        <f t="shared" si="15"/>
        <v>14889577</v>
      </c>
      <c r="AB81" s="660">
        <v>22740000</v>
      </c>
      <c r="AC81" s="660">
        <v>14889577</v>
      </c>
      <c r="AD81" s="644">
        <f t="shared" ref="AD81:AD82" si="44">SUM(AB81-AC81)</f>
        <v>7850423</v>
      </c>
      <c r="AE81" s="659">
        <f t="shared" ref="AE81:AE82" si="45">SUM(AA81-AC81)</f>
        <v>0</v>
      </c>
      <c r="AF81" s="659"/>
      <c r="AG81" s="659">
        <f t="shared" si="27"/>
        <v>0</v>
      </c>
      <c r="AH81" s="661">
        <f t="shared" si="28"/>
        <v>14889577</v>
      </c>
      <c r="AI81" s="645">
        <f t="shared" ref="AI81:AI95" si="46">AC81/(AC81+AF81+AG81)</f>
        <v>1</v>
      </c>
      <c r="AJ81" s="646"/>
      <c r="AK81" s="647"/>
      <c r="AL81" s="648" t="e">
        <f>SUM(AE81-AF81-#REF!-#REF!)</f>
        <v>#REF!</v>
      </c>
      <c r="AM81" s="649">
        <f t="shared" ref="AM81:AM93" si="47">SUM(R81-(AE81+Y81))/R81</f>
        <v>1</v>
      </c>
      <c r="AN81" s="640"/>
      <c r="AO81" s="283"/>
      <c r="AP81" s="651"/>
      <c r="AQ81" s="239"/>
      <c r="AR81" s="747">
        <v>7850423</v>
      </c>
      <c r="AS81" s="304"/>
      <c r="AV81" s="306"/>
    </row>
    <row r="82" spans="1:48" s="305" customFormat="1" ht="86.1" customHeight="1" x14ac:dyDescent="0.35">
      <c r="A82" s="643" t="s">
        <v>33</v>
      </c>
      <c r="B82" s="665" t="s">
        <v>405</v>
      </c>
      <c r="C82" s="665" t="s">
        <v>405</v>
      </c>
      <c r="D82" s="665" t="s">
        <v>405</v>
      </c>
      <c r="E82" s="665" t="s">
        <v>417</v>
      </c>
      <c r="F82" s="665" t="s">
        <v>415</v>
      </c>
      <c r="G82" s="665" t="s">
        <v>403</v>
      </c>
      <c r="H82" s="677" t="s">
        <v>420</v>
      </c>
      <c r="I82" s="677"/>
      <c r="J82" s="664" t="s">
        <v>161</v>
      </c>
      <c r="K82" s="642"/>
      <c r="L82" s="642"/>
      <c r="M82" s="642"/>
      <c r="N82" s="655"/>
      <c r="O82" s="312">
        <v>112800000</v>
      </c>
      <c r="P82" s="746">
        <f>3400000+17000000</f>
        <v>20400000</v>
      </c>
      <c r="Q82" s="655"/>
      <c r="R82" s="655">
        <f t="shared" si="42"/>
        <v>133200000</v>
      </c>
      <c r="S82" s="656"/>
      <c r="T82" s="656"/>
      <c r="U82" s="656"/>
      <c r="V82" s="656">
        <f t="shared" si="13"/>
        <v>0</v>
      </c>
      <c r="W82" s="644"/>
      <c r="X82" s="644"/>
      <c r="Y82" s="658">
        <f t="shared" si="14"/>
        <v>0</v>
      </c>
      <c r="Z82" s="313">
        <v>3400000</v>
      </c>
      <c r="AA82" s="644">
        <f t="shared" si="15"/>
        <v>129800000</v>
      </c>
      <c r="AB82" s="660">
        <v>129800000</v>
      </c>
      <c r="AC82" s="660">
        <v>94200000</v>
      </c>
      <c r="AD82" s="644">
        <f t="shared" si="44"/>
        <v>35600000</v>
      </c>
      <c r="AE82" s="659">
        <f t="shared" si="45"/>
        <v>35600000</v>
      </c>
      <c r="AF82" s="659">
        <v>35600000</v>
      </c>
      <c r="AG82" s="638">
        <f t="shared" si="27"/>
        <v>0</v>
      </c>
      <c r="AH82" s="661">
        <f t="shared" si="28"/>
        <v>97600000</v>
      </c>
      <c r="AI82" s="645">
        <f t="shared" si="46"/>
        <v>0.72573189522342063</v>
      </c>
      <c r="AJ82" s="646"/>
      <c r="AK82" s="647"/>
      <c r="AL82" s="648" t="e">
        <f>SUM(AE82-AF82-#REF!-#REF!)</f>
        <v>#REF!</v>
      </c>
      <c r="AM82" s="649">
        <f t="shared" si="47"/>
        <v>0.73273273273273276</v>
      </c>
      <c r="AN82" s="640"/>
      <c r="AO82" s="283"/>
      <c r="AP82" s="651"/>
      <c r="AQ82" s="748">
        <v>17000000</v>
      </c>
      <c r="AR82" s="641"/>
      <c r="AS82" s="304"/>
      <c r="AV82" s="306"/>
    </row>
    <row r="83" spans="1:48" s="305" customFormat="1" ht="66.95" customHeight="1" x14ac:dyDescent="0.35">
      <c r="A83" s="643" t="s">
        <v>33</v>
      </c>
      <c r="B83" s="665" t="s">
        <v>405</v>
      </c>
      <c r="C83" s="665" t="s">
        <v>405</v>
      </c>
      <c r="D83" s="665" t="s">
        <v>405</v>
      </c>
      <c r="E83" s="665" t="s">
        <v>417</v>
      </c>
      <c r="F83" s="665" t="s">
        <v>415</v>
      </c>
      <c r="G83" s="665" t="s">
        <v>403</v>
      </c>
      <c r="H83" s="677" t="s">
        <v>482</v>
      </c>
      <c r="I83" s="677"/>
      <c r="J83" s="664" t="s">
        <v>148</v>
      </c>
      <c r="K83" s="642"/>
      <c r="L83" s="642"/>
      <c r="M83" s="642"/>
      <c r="N83" s="655"/>
      <c r="O83" s="312">
        <v>303489341.45999998</v>
      </c>
      <c r="P83" s="655"/>
      <c r="Q83" s="655"/>
      <c r="R83" s="655">
        <f t="shared" si="42"/>
        <v>303489341.45999998</v>
      </c>
      <c r="S83" s="656"/>
      <c r="T83" s="656"/>
      <c r="U83" s="656"/>
      <c r="V83" s="656">
        <f t="shared" si="13"/>
        <v>0</v>
      </c>
      <c r="W83" s="644"/>
      <c r="X83" s="644"/>
      <c r="Y83" s="658">
        <f t="shared" si="14"/>
        <v>0</v>
      </c>
      <c r="Z83" s="313"/>
      <c r="AA83" s="644">
        <f t="shared" si="15"/>
        <v>303489341.45999998</v>
      </c>
      <c r="AB83" s="660">
        <v>303489341.45999998</v>
      </c>
      <c r="AC83" s="660"/>
      <c r="AD83" s="644">
        <f t="shared" si="16"/>
        <v>303489341.45999998</v>
      </c>
      <c r="AE83" s="659">
        <f t="shared" si="26"/>
        <v>303489341.45999998</v>
      </c>
      <c r="AF83" s="659">
        <v>303489341.45999998</v>
      </c>
      <c r="AG83" s="659">
        <f t="shared" si="27"/>
        <v>0</v>
      </c>
      <c r="AH83" s="661">
        <f t="shared" si="28"/>
        <v>0</v>
      </c>
      <c r="AI83" s="645">
        <f t="shared" si="46"/>
        <v>0</v>
      </c>
      <c r="AJ83" s="646"/>
      <c r="AK83" s="647"/>
      <c r="AL83" s="648" t="e">
        <f>SUM(AE83-AF83-#REF!-#REF!)</f>
        <v>#REF!</v>
      </c>
      <c r="AM83" s="649">
        <f t="shared" si="47"/>
        <v>0</v>
      </c>
      <c r="AN83" s="640"/>
      <c r="AO83" s="283"/>
      <c r="AP83" s="651"/>
      <c r="AQ83" s="239"/>
      <c r="AR83" s="641"/>
      <c r="AS83" s="304"/>
      <c r="AV83" s="306"/>
    </row>
    <row r="84" spans="1:48" s="305" customFormat="1" ht="75" customHeight="1" x14ac:dyDescent="0.35">
      <c r="A84" s="643" t="s">
        <v>33</v>
      </c>
      <c r="B84" s="665" t="s">
        <v>405</v>
      </c>
      <c r="C84" s="665" t="s">
        <v>405</v>
      </c>
      <c r="D84" s="665" t="s">
        <v>405</v>
      </c>
      <c r="E84" s="665" t="s">
        <v>417</v>
      </c>
      <c r="F84" s="665" t="s">
        <v>426</v>
      </c>
      <c r="G84" s="665"/>
      <c r="H84" s="677"/>
      <c r="I84" s="677"/>
      <c r="J84" s="664" t="s">
        <v>483</v>
      </c>
      <c r="K84" s="642"/>
      <c r="L84" s="642"/>
      <c r="M84" s="642"/>
      <c r="N84" s="655"/>
      <c r="O84" s="312"/>
      <c r="P84" s="655"/>
      <c r="Q84" s="655"/>
      <c r="R84" s="655">
        <f t="shared" si="42"/>
        <v>0</v>
      </c>
      <c r="S84" s="656"/>
      <c r="T84" s="656"/>
      <c r="U84" s="656"/>
      <c r="V84" s="656">
        <f t="shared" si="13"/>
        <v>0</v>
      </c>
      <c r="W84" s="644"/>
      <c r="X84" s="644"/>
      <c r="Y84" s="658">
        <f t="shared" si="14"/>
        <v>0</v>
      </c>
      <c r="Z84" s="313"/>
      <c r="AA84" s="644">
        <f t="shared" si="15"/>
        <v>0</v>
      </c>
      <c r="AB84" s="660"/>
      <c r="AC84" s="660"/>
      <c r="AD84" s="644">
        <f t="shared" si="16"/>
        <v>0</v>
      </c>
      <c r="AE84" s="659">
        <f t="shared" si="26"/>
        <v>0</v>
      </c>
      <c r="AF84" s="659"/>
      <c r="AG84" s="659">
        <f t="shared" si="27"/>
        <v>0</v>
      </c>
      <c r="AH84" s="661">
        <f t="shared" si="28"/>
        <v>0</v>
      </c>
      <c r="AI84" s="645" t="e">
        <f t="shared" si="46"/>
        <v>#DIV/0!</v>
      </c>
      <c r="AJ84" s="646"/>
      <c r="AK84" s="647"/>
      <c r="AL84" s="648" t="e">
        <f>SUM(AE84-AF84-#REF!-#REF!)</f>
        <v>#REF!</v>
      </c>
      <c r="AM84" s="649" t="e">
        <f t="shared" si="47"/>
        <v>#DIV/0!</v>
      </c>
      <c r="AN84" s="640"/>
      <c r="AO84" s="283"/>
      <c r="AP84" s="651"/>
      <c r="AQ84" s="239"/>
      <c r="AR84" s="641"/>
      <c r="AS84" s="304"/>
      <c r="AV84" s="306"/>
    </row>
    <row r="85" spans="1:48" s="305" customFormat="1" ht="56.1" customHeight="1" x14ac:dyDescent="0.35">
      <c r="A85" s="643" t="s">
        <v>33</v>
      </c>
      <c r="B85" s="665" t="s">
        <v>405</v>
      </c>
      <c r="C85" s="665" t="s">
        <v>405</v>
      </c>
      <c r="D85" s="665" t="s">
        <v>405</v>
      </c>
      <c r="E85" s="665" t="s">
        <v>417</v>
      </c>
      <c r="F85" s="665" t="s">
        <v>426</v>
      </c>
      <c r="G85" s="665" t="s">
        <v>403</v>
      </c>
      <c r="H85" s="677"/>
      <c r="I85" s="677"/>
      <c r="J85" s="664" t="s">
        <v>484</v>
      </c>
      <c r="K85" s="642"/>
      <c r="L85" s="642"/>
      <c r="M85" s="642"/>
      <c r="N85" s="655"/>
      <c r="O85" s="312">
        <v>118000000</v>
      </c>
      <c r="P85" s="655"/>
      <c r="Q85" s="655"/>
      <c r="R85" s="655">
        <f t="shared" si="42"/>
        <v>118000000</v>
      </c>
      <c r="S85" s="656"/>
      <c r="T85" s="656"/>
      <c r="U85" s="656"/>
      <c r="V85" s="656">
        <f t="shared" si="13"/>
        <v>0</v>
      </c>
      <c r="W85" s="644">
        <v>118000000</v>
      </c>
      <c r="X85" s="644"/>
      <c r="Y85" s="658">
        <f t="shared" si="14"/>
        <v>0</v>
      </c>
      <c r="Z85" s="313"/>
      <c r="AA85" s="644">
        <f t="shared" si="15"/>
        <v>0</v>
      </c>
      <c r="AB85" s="660"/>
      <c r="AC85" s="660"/>
      <c r="AD85" s="644">
        <f t="shared" si="16"/>
        <v>0</v>
      </c>
      <c r="AE85" s="659">
        <f t="shared" si="26"/>
        <v>0</v>
      </c>
      <c r="AF85" s="659"/>
      <c r="AG85" s="659">
        <f t="shared" si="27"/>
        <v>0</v>
      </c>
      <c r="AH85" s="661">
        <f t="shared" si="28"/>
        <v>118000000</v>
      </c>
      <c r="AI85" s="645" t="e">
        <f t="shared" si="46"/>
        <v>#DIV/0!</v>
      </c>
      <c r="AJ85" s="646"/>
      <c r="AK85" s="647"/>
      <c r="AL85" s="648" t="e">
        <f>SUM(AE85-AF85-#REF!-#REF!)</f>
        <v>#REF!</v>
      </c>
      <c r="AM85" s="649">
        <f t="shared" si="47"/>
        <v>1</v>
      </c>
      <c r="AN85" s="640"/>
      <c r="AO85" s="283"/>
      <c r="AP85" s="651"/>
      <c r="AQ85" s="239"/>
      <c r="AR85" s="641"/>
      <c r="AS85" s="304"/>
      <c r="AV85" s="306"/>
    </row>
    <row r="86" spans="1:48" s="305" customFormat="1" ht="52.5" customHeight="1" x14ac:dyDescent="0.35">
      <c r="A86" s="643" t="s">
        <v>33</v>
      </c>
      <c r="B86" s="665" t="s">
        <v>405</v>
      </c>
      <c r="C86" s="665" t="s">
        <v>405</v>
      </c>
      <c r="D86" s="665" t="s">
        <v>405</v>
      </c>
      <c r="E86" s="665" t="s">
        <v>417</v>
      </c>
      <c r="F86" s="665" t="s">
        <v>426</v>
      </c>
      <c r="G86" s="665" t="s">
        <v>405</v>
      </c>
      <c r="H86" s="677"/>
      <c r="I86" s="677"/>
      <c r="J86" s="664" t="s">
        <v>485</v>
      </c>
      <c r="K86" s="642"/>
      <c r="L86" s="642"/>
      <c r="M86" s="642"/>
      <c r="N86" s="655"/>
      <c r="O86" s="312">
        <f>319277710.28+36000000</f>
        <v>355277710.27999997</v>
      </c>
      <c r="P86" s="655"/>
      <c r="Q86" s="655"/>
      <c r="R86" s="655">
        <f t="shared" si="42"/>
        <v>355277710.27999997</v>
      </c>
      <c r="S86" s="656"/>
      <c r="T86" s="656"/>
      <c r="U86" s="656"/>
      <c r="V86" s="656">
        <f t="shared" si="13"/>
        <v>0</v>
      </c>
      <c r="W86" s="644"/>
      <c r="X86" s="644">
        <f>192185696+127092014.28</f>
        <v>319277710.27999997</v>
      </c>
      <c r="Y86" s="658">
        <f t="shared" si="14"/>
        <v>0</v>
      </c>
      <c r="Z86" s="313"/>
      <c r="AA86" s="644">
        <f t="shared" si="15"/>
        <v>36000000</v>
      </c>
      <c r="AB86" s="660">
        <v>36000000</v>
      </c>
      <c r="AC86" s="660"/>
      <c r="AD86" s="644">
        <f t="shared" si="16"/>
        <v>36000000</v>
      </c>
      <c r="AE86" s="659">
        <f t="shared" si="26"/>
        <v>36000000</v>
      </c>
      <c r="AF86" s="659">
        <v>36000000</v>
      </c>
      <c r="AG86" s="659">
        <f t="shared" si="27"/>
        <v>0</v>
      </c>
      <c r="AH86" s="661">
        <f t="shared" si="28"/>
        <v>319277710.27999997</v>
      </c>
      <c r="AI86" s="645">
        <f t="shared" si="46"/>
        <v>0</v>
      </c>
      <c r="AJ86" s="646"/>
      <c r="AK86" s="647"/>
      <c r="AL86" s="648" t="e">
        <f>SUM(AE86-AF86-#REF!-#REF!)</f>
        <v>#REF!</v>
      </c>
      <c r="AM86" s="649">
        <f t="shared" si="47"/>
        <v>0.89867081733996812</v>
      </c>
      <c r="AN86" s="640"/>
      <c r="AO86" s="283"/>
      <c r="AP86" s="651"/>
      <c r="AQ86" s="239"/>
      <c r="AR86" s="641"/>
      <c r="AS86" s="304"/>
      <c r="AV86" s="306"/>
    </row>
    <row r="87" spans="1:48" s="305" customFormat="1" ht="40.5" x14ac:dyDescent="0.35">
      <c r="A87" s="643" t="s">
        <v>33</v>
      </c>
      <c r="B87" s="665" t="s">
        <v>405</v>
      </c>
      <c r="C87" s="665" t="s">
        <v>405</v>
      </c>
      <c r="D87" s="665" t="s">
        <v>405</v>
      </c>
      <c r="E87" s="665" t="s">
        <v>417</v>
      </c>
      <c r="F87" s="665" t="s">
        <v>435</v>
      </c>
      <c r="G87" s="665"/>
      <c r="H87" s="677"/>
      <c r="I87" s="677"/>
      <c r="J87" s="664" t="s">
        <v>95</v>
      </c>
      <c r="K87" s="642"/>
      <c r="L87" s="642"/>
      <c r="M87" s="642"/>
      <c r="N87" s="655"/>
      <c r="O87" s="312">
        <f>157229749.9+23850000</f>
        <v>181079749.90000001</v>
      </c>
      <c r="P87" s="655"/>
      <c r="Q87" s="655"/>
      <c r="R87" s="655">
        <f t="shared" si="42"/>
        <v>181079749.90000001</v>
      </c>
      <c r="S87" s="656"/>
      <c r="T87" s="656"/>
      <c r="U87" s="656"/>
      <c r="V87" s="656">
        <f t="shared" si="13"/>
        <v>0</v>
      </c>
      <c r="W87" s="644"/>
      <c r="X87" s="644">
        <v>157229749.90000001</v>
      </c>
      <c r="Y87" s="658">
        <f t="shared" si="14"/>
        <v>0</v>
      </c>
      <c r="Z87" s="313"/>
      <c r="AA87" s="644">
        <f t="shared" si="15"/>
        <v>23850000</v>
      </c>
      <c r="AB87" s="660">
        <v>23850000</v>
      </c>
      <c r="AC87" s="660"/>
      <c r="AD87" s="644">
        <f t="shared" si="16"/>
        <v>23850000</v>
      </c>
      <c r="AE87" s="659">
        <f t="shared" si="26"/>
        <v>23850000</v>
      </c>
      <c r="AF87" s="659">
        <v>23850000</v>
      </c>
      <c r="AG87" s="659">
        <f t="shared" si="27"/>
        <v>0</v>
      </c>
      <c r="AH87" s="661">
        <f t="shared" si="28"/>
        <v>157229749.90000001</v>
      </c>
      <c r="AI87" s="645">
        <f t="shared" si="46"/>
        <v>0</v>
      </c>
      <c r="AJ87" s="646"/>
      <c r="AK87" s="647"/>
      <c r="AL87" s="648" t="e">
        <f>SUM(AE87-AF87-#REF!-#REF!)</f>
        <v>#REF!</v>
      </c>
      <c r="AM87" s="649">
        <f t="shared" si="47"/>
        <v>0.86829007653715562</v>
      </c>
      <c r="AN87" s="640"/>
      <c r="AO87" s="283"/>
      <c r="AP87" s="651"/>
      <c r="AQ87" s="239"/>
      <c r="AR87" s="641"/>
      <c r="AS87" s="304"/>
      <c r="AV87" s="306"/>
    </row>
    <row r="88" spans="1:48" s="305" customFormat="1" ht="40.5" x14ac:dyDescent="0.35">
      <c r="A88" s="643" t="s">
        <v>33</v>
      </c>
      <c r="B88" s="665" t="s">
        <v>405</v>
      </c>
      <c r="C88" s="665" t="s">
        <v>405</v>
      </c>
      <c r="D88" s="665" t="s">
        <v>405</v>
      </c>
      <c r="E88" s="665" t="s">
        <v>417</v>
      </c>
      <c r="F88" s="665" t="s">
        <v>435</v>
      </c>
      <c r="G88" s="665" t="s">
        <v>405</v>
      </c>
      <c r="H88" s="677"/>
      <c r="I88" s="677"/>
      <c r="J88" s="664" t="s">
        <v>351</v>
      </c>
      <c r="K88" s="642"/>
      <c r="L88" s="642"/>
      <c r="M88" s="642"/>
      <c r="N88" s="655"/>
      <c r="O88" s="312">
        <f>199123498.47+17000000</f>
        <v>216123498.47</v>
      </c>
      <c r="P88" s="655"/>
      <c r="Q88" s="655"/>
      <c r="R88" s="655">
        <f t="shared" si="12"/>
        <v>216123498.47</v>
      </c>
      <c r="S88" s="656"/>
      <c r="T88" s="656"/>
      <c r="U88" s="656"/>
      <c r="V88" s="656">
        <f t="shared" si="13"/>
        <v>0</v>
      </c>
      <c r="W88" s="644"/>
      <c r="X88" s="644">
        <v>199123498.47</v>
      </c>
      <c r="Y88" s="658">
        <f t="shared" si="14"/>
        <v>0</v>
      </c>
      <c r="Z88" s="313"/>
      <c r="AA88" s="644">
        <f t="shared" si="15"/>
        <v>17000000</v>
      </c>
      <c r="AB88" s="660">
        <v>17000000</v>
      </c>
      <c r="AC88" s="660"/>
      <c r="AD88" s="644">
        <f t="shared" si="16"/>
        <v>17000000</v>
      </c>
      <c r="AE88" s="659">
        <f t="shared" si="26"/>
        <v>17000000</v>
      </c>
      <c r="AF88" s="659">
        <v>17000000</v>
      </c>
      <c r="AG88" s="659">
        <f t="shared" si="27"/>
        <v>0</v>
      </c>
      <c r="AH88" s="661">
        <f t="shared" si="28"/>
        <v>199123498.47</v>
      </c>
      <c r="AI88" s="645">
        <f t="shared" si="46"/>
        <v>0</v>
      </c>
      <c r="AJ88" s="646"/>
      <c r="AK88" s="647"/>
      <c r="AL88" s="648" t="e">
        <f>SUM(AE88-AF88-#REF!-#REF!)</f>
        <v>#REF!</v>
      </c>
      <c r="AM88" s="649">
        <f t="shared" si="47"/>
        <v>0.92134126959656004</v>
      </c>
      <c r="AN88" s="640"/>
      <c r="AO88" s="283"/>
      <c r="AP88" s="651"/>
      <c r="AQ88" s="239"/>
      <c r="AR88" s="641"/>
      <c r="AS88" s="304"/>
      <c r="AV88" s="306"/>
    </row>
    <row r="89" spans="1:48" s="305" customFormat="1" ht="113.45" customHeight="1" x14ac:dyDescent="0.35">
      <c r="A89" s="643" t="s">
        <v>33</v>
      </c>
      <c r="B89" s="665" t="s">
        <v>405</v>
      </c>
      <c r="C89" s="665" t="s">
        <v>405</v>
      </c>
      <c r="D89" s="665" t="s">
        <v>405</v>
      </c>
      <c r="E89" s="665" t="s">
        <v>417</v>
      </c>
      <c r="F89" s="665" t="s">
        <v>443</v>
      </c>
      <c r="G89" s="665" t="s">
        <v>403</v>
      </c>
      <c r="H89" s="677"/>
      <c r="I89" s="677"/>
      <c r="J89" s="664" t="s">
        <v>89</v>
      </c>
      <c r="K89" s="642"/>
      <c r="L89" s="642"/>
      <c r="M89" s="642"/>
      <c r="N89" s="655"/>
      <c r="O89" s="312">
        <f>41500000+62034389.89</f>
        <v>103534389.89</v>
      </c>
      <c r="P89" s="655"/>
      <c r="Q89" s="746">
        <f>52422227+10400000</f>
        <v>62822227</v>
      </c>
      <c r="R89" s="655">
        <f t="shared" si="12"/>
        <v>40712162.890000001</v>
      </c>
      <c r="S89" s="656"/>
      <c r="T89" s="656"/>
      <c r="U89" s="656"/>
      <c r="V89" s="656">
        <f t="shared" si="13"/>
        <v>0</v>
      </c>
      <c r="W89" s="644"/>
      <c r="X89" s="644"/>
      <c r="Y89" s="658">
        <f t="shared" si="14"/>
        <v>0</v>
      </c>
      <c r="Z89" s="313"/>
      <c r="AA89" s="644">
        <f t="shared" si="15"/>
        <v>40712162.890000001</v>
      </c>
      <c r="AB89" s="660">
        <v>40000000</v>
      </c>
      <c r="AC89" s="660"/>
      <c r="AD89" s="644">
        <f t="shared" si="16"/>
        <v>40000000</v>
      </c>
      <c r="AE89" s="659">
        <f t="shared" si="26"/>
        <v>40712162.890000001</v>
      </c>
      <c r="AF89" s="659">
        <v>40000000</v>
      </c>
      <c r="AG89" s="659">
        <f t="shared" si="27"/>
        <v>712162.8900000006</v>
      </c>
      <c r="AH89" s="661">
        <f t="shared" si="28"/>
        <v>0</v>
      </c>
      <c r="AI89" s="645">
        <f t="shared" si="46"/>
        <v>0</v>
      </c>
      <c r="AJ89" s="646"/>
      <c r="AK89" s="647"/>
      <c r="AL89" s="648" t="e">
        <f>SUM(AE89-AF89-#REF!-#REF!)</f>
        <v>#REF!</v>
      </c>
      <c r="AM89" s="649">
        <f t="shared" si="47"/>
        <v>0</v>
      </c>
      <c r="AN89" s="640"/>
      <c r="AO89" s="283"/>
      <c r="AP89" s="620"/>
      <c r="AQ89" s="239"/>
      <c r="AR89" s="749">
        <v>10400000</v>
      </c>
      <c r="AS89" s="304"/>
      <c r="AV89" s="306"/>
    </row>
    <row r="90" spans="1:48" s="305" customFormat="1" ht="93.6" customHeight="1" x14ac:dyDescent="0.35">
      <c r="A90" s="643"/>
      <c r="B90" s="665" t="s">
        <v>405</v>
      </c>
      <c r="C90" s="665" t="s">
        <v>405</v>
      </c>
      <c r="D90" s="665" t="s">
        <v>405</v>
      </c>
      <c r="E90" s="665" t="s">
        <v>417</v>
      </c>
      <c r="F90" s="665" t="s">
        <v>443</v>
      </c>
      <c r="G90" s="665" t="s">
        <v>403</v>
      </c>
      <c r="H90" s="677" t="s">
        <v>422</v>
      </c>
      <c r="I90" s="677"/>
      <c r="J90" s="664" t="s">
        <v>1186</v>
      </c>
      <c r="K90" s="642"/>
      <c r="L90" s="642"/>
      <c r="M90" s="642"/>
      <c r="N90" s="655"/>
      <c r="O90" s="312"/>
      <c r="P90" s="746">
        <v>2000000</v>
      </c>
      <c r="Q90" s="655"/>
      <c r="R90" s="655">
        <f t="shared" si="12"/>
        <v>2000000</v>
      </c>
      <c r="S90" s="656"/>
      <c r="T90" s="656">
        <v>2000000</v>
      </c>
      <c r="U90" s="657">
        <v>174930</v>
      </c>
      <c r="V90" s="656">
        <f t="shared" si="13"/>
        <v>1825070</v>
      </c>
      <c r="W90" s="644"/>
      <c r="X90" s="644"/>
      <c r="Y90" s="658">
        <f t="shared" si="14"/>
        <v>1825070</v>
      </c>
      <c r="Z90" s="313"/>
      <c r="AA90" s="644">
        <f t="shared" si="15"/>
        <v>0</v>
      </c>
      <c r="AB90" s="660"/>
      <c r="AC90" s="660"/>
      <c r="AD90" s="644"/>
      <c r="AE90" s="659">
        <f t="shared" si="26"/>
        <v>0</v>
      </c>
      <c r="AF90" s="659"/>
      <c r="AG90" s="638">
        <f t="shared" si="27"/>
        <v>0</v>
      </c>
      <c r="AH90" s="661">
        <f t="shared" si="28"/>
        <v>174930</v>
      </c>
      <c r="AI90" s="645" t="e">
        <f t="shared" si="46"/>
        <v>#DIV/0!</v>
      </c>
      <c r="AJ90" s="646"/>
      <c r="AK90" s="647"/>
      <c r="AL90" s="648"/>
      <c r="AM90" s="649"/>
      <c r="AN90" s="640"/>
      <c r="AO90" s="283"/>
      <c r="AP90" s="620"/>
      <c r="AQ90" s="748">
        <v>2000000</v>
      </c>
      <c r="AR90" s="692"/>
      <c r="AS90" s="304"/>
      <c r="AV90" s="306"/>
    </row>
    <row r="91" spans="1:48" s="653" customFormat="1" ht="120.95" customHeight="1" x14ac:dyDescent="0.35">
      <c r="A91" s="643" t="s">
        <v>33</v>
      </c>
      <c r="B91" s="665" t="s">
        <v>405</v>
      </c>
      <c r="C91" s="665" t="s">
        <v>405</v>
      </c>
      <c r="D91" s="665" t="s">
        <v>405</v>
      </c>
      <c r="E91" s="665" t="s">
        <v>417</v>
      </c>
      <c r="F91" s="665" t="s">
        <v>443</v>
      </c>
      <c r="G91" s="665" t="s">
        <v>403</v>
      </c>
      <c r="H91" s="677" t="s">
        <v>482</v>
      </c>
      <c r="I91" s="677"/>
      <c r="J91" s="664" t="s">
        <v>125</v>
      </c>
      <c r="K91" s="642"/>
      <c r="L91" s="642"/>
      <c r="M91" s="642"/>
      <c r="N91" s="655"/>
      <c r="O91" s="312">
        <v>185000000</v>
      </c>
      <c r="P91" s="746">
        <f>15282227+1000000+19000000+1000000</f>
        <v>36282227</v>
      </c>
      <c r="Q91" s="655"/>
      <c r="R91" s="655">
        <f t="shared" si="12"/>
        <v>221282227</v>
      </c>
      <c r="S91" s="656"/>
      <c r="T91" s="656">
        <v>2000000</v>
      </c>
      <c r="U91" s="691">
        <f>359999+166000</f>
        <v>525999</v>
      </c>
      <c r="V91" s="656">
        <f t="shared" si="13"/>
        <v>1474001</v>
      </c>
      <c r="W91" s="644"/>
      <c r="X91" s="644"/>
      <c r="Y91" s="658">
        <f t="shared" si="14"/>
        <v>1474001</v>
      </c>
      <c r="Z91" s="313">
        <v>55282227</v>
      </c>
      <c r="AA91" s="644">
        <f t="shared" si="15"/>
        <v>164000000</v>
      </c>
      <c r="AB91" s="660">
        <v>164000000</v>
      </c>
      <c r="AC91" s="660"/>
      <c r="AD91" s="644">
        <f t="shared" si="16"/>
        <v>164000000</v>
      </c>
      <c r="AE91" s="659">
        <f t="shared" si="26"/>
        <v>164000000</v>
      </c>
      <c r="AF91" s="659">
        <v>164000000</v>
      </c>
      <c r="AG91" s="638">
        <f t="shared" si="27"/>
        <v>0</v>
      </c>
      <c r="AH91" s="661">
        <f t="shared" si="28"/>
        <v>55808226</v>
      </c>
      <c r="AI91" s="645">
        <f t="shared" si="46"/>
        <v>0</v>
      </c>
      <c r="AJ91" s="646"/>
      <c r="AK91" s="647"/>
      <c r="AL91" s="648" t="e">
        <f>SUM(AE91-AF91-#REF!-#REF!)</f>
        <v>#REF!</v>
      </c>
      <c r="AM91" s="649">
        <f t="shared" si="47"/>
        <v>0.25220383379456862</v>
      </c>
      <c r="AN91" s="640"/>
      <c r="AO91" s="283"/>
      <c r="AP91" s="651"/>
      <c r="AQ91" s="748">
        <v>1000000</v>
      </c>
      <c r="AR91" s="641"/>
      <c r="AS91" s="315"/>
      <c r="AT91" s="315"/>
      <c r="AU91" s="315"/>
      <c r="AV91" s="654"/>
    </row>
    <row r="92" spans="1:48" s="653" customFormat="1" ht="106.5" customHeight="1" x14ac:dyDescent="0.35">
      <c r="A92" s="643" t="s">
        <v>33</v>
      </c>
      <c r="B92" s="665" t="s">
        <v>405</v>
      </c>
      <c r="C92" s="665" t="s">
        <v>405</v>
      </c>
      <c r="D92" s="665" t="s">
        <v>405</v>
      </c>
      <c r="E92" s="665" t="s">
        <v>417</v>
      </c>
      <c r="F92" s="665" t="s">
        <v>443</v>
      </c>
      <c r="G92" s="665" t="s">
        <v>403</v>
      </c>
      <c r="H92" s="677" t="s">
        <v>424</v>
      </c>
      <c r="I92" s="677"/>
      <c r="J92" s="664" t="s">
        <v>486</v>
      </c>
      <c r="K92" s="642"/>
      <c r="L92" s="642"/>
      <c r="M92" s="642"/>
      <c r="N92" s="655"/>
      <c r="O92" s="312">
        <f>49482600</f>
        <v>49482600</v>
      </c>
      <c r="P92" s="655"/>
      <c r="Q92" s="655"/>
      <c r="R92" s="655">
        <f t="shared" ref="R92:R97" si="48">SUM(O92+P92-Q92)</f>
        <v>49482600</v>
      </c>
      <c r="S92" s="656"/>
      <c r="T92" s="656"/>
      <c r="U92" s="656"/>
      <c r="V92" s="656">
        <f t="shared" si="13"/>
        <v>0</v>
      </c>
      <c r="W92" s="644"/>
      <c r="X92" s="644">
        <v>49482600</v>
      </c>
      <c r="Y92" s="658">
        <f t="shared" si="14"/>
        <v>0</v>
      </c>
      <c r="Z92" s="313"/>
      <c r="AA92" s="644">
        <f t="shared" si="15"/>
        <v>0</v>
      </c>
      <c r="AB92" s="660"/>
      <c r="AC92" s="660"/>
      <c r="AD92" s="644">
        <f t="shared" si="16"/>
        <v>0</v>
      </c>
      <c r="AE92" s="659">
        <f t="shared" si="26"/>
        <v>0</v>
      </c>
      <c r="AF92" s="659"/>
      <c r="AG92" s="659">
        <f t="shared" si="27"/>
        <v>0</v>
      </c>
      <c r="AH92" s="661">
        <f t="shared" si="28"/>
        <v>49482600</v>
      </c>
      <c r="AI92" s="645" t="e">
        <f t="shared" si="46"/>
        <v>#DIV/0!</v>
      </c>
      <c r="AJ92" s="646"/>
      <c r="AK92" s="647"/>
      <c r="AL92" s="648" t="e">
        <f>SUM(AE92-AF92-#REF!-#REF!)</f>
        <v>#REF!</v>
      </c>
      <c r="AM92" s="649">
        <f t="shared" si="47"/>
        <v>1</v>
      </c>
      <c r="AN92" s="640"/>
      <c r="AO92" s="283"/>
      <c r="AP92" s="651"/>
      <c r="AQ92" s="239"/>
      <c r="AR92" s="641"/>
      <c r="AS92" s="315"/>
      <c r="AT92" s="315"/>
      <c r="AU92" s="315"/>
      <c r="AV92" s="654"/>
    </row>
    <row r="93" spans="1:48" s="653" customFormat="1" ht="113.45" customHeight="1" x14ac:dyDescent="0.35">
      <c r="A93" s="643" t="s">
        <v>33</v>
      </c>
      <c r="B93" s="665" t="s">
        <v>405</v>
      </c>
      <c r="C93" s="665" t="s">
        <v>405</v>
      </c>
      <c r="D93" s="665" t="s">
        <v>405</v>
      </c>
      <c r="E93" s="665" t="s">
        <v>417</v>
      </c>
      <c r="F93" s="665" t="s">
        <v>443</v>
      </c>
      <c r="G93" s="665" t="s">
        <v>403</v>
      </c>
      <c r="H93" s="677" t="s">
        <v>477</v>
      </c>
      <c r="I93" s="677"/>
      <c r="J93" s="664" t="s">
        <v>101</v>
      </c>
      <c r="K93" s="642"/>
      <c r="L93" s="642"/>
      <c r="M93" s="642"/>
      <c r="N93" s="655"/>
      <c r="O93" s="312">
        <v>38300000</v>
      </c>
      <c r="P93" s="655">
        <v>10000000</v>
      </c>
      <c r="Q93" s="746">
        <v>5370000</v>
      </c>
      <c r="R93" s="655">
        <f t="shared" si="48"/>
        <v>42930000</v>
      </c>
      <c r="S93" s="656">
        <v>2000000</v>
      </c>
      <c r="T93" s="656">
        <v>2000000</v>
      </c>
      <c r="U93" s="656"/>
      <c r="V93" s="656">
        <f t="shared" si="13"/>
        <v>2000000</v>
      </c>
      <c r="W93" s="644"/>
      <c r="X93" s="644"/>
      <c r="Y93" s="658">
        <f t="shared" si="14"/>
        <v>2000000</v>
      </c>
      <c r="Z93" s="313"/>
      <c r="AA93" s="644">
        <f t="shared" si="15"/>
        <v>38930000</v>
      </c>
      <c r="AB93" s="660">
        <v>37300000</v>
      </c>
      <c r="AC93" s="660">
        <v>6428328</v>
      </c>
      <c r="AD93" s="644">
        <f t="shared" si="16"/>
        <v>30871672</v>
      </c>
      <c r="AE93" s="659">
        <f t="shared" si="26"/>
        <v>32501672</v>
      </c>
      <c r="AF93" s="659">
        <v>30500000</v>
      </c>
      <c r="AG93" s="659">
        <f t="shared" si="27"/>
        <v>2001672</v>
      </c>
      <c r="AH93" s="661">
        <f t="shared" si="28"/>
        <v>8428328</v>
      </c>
      <c r="AI93" s="645">
        <f t="shared" si="46"/>
        <v>0.16512530182378629</v>
      </c>
      <c r="AJ93" s="646"/>
      <c r="AK93" s="647"/>
      <c r="AL93" s="648" t="e">
        <f>SUM(AE93-AF93-#REF!-#REF!)</f>
        <v>#REF!</v>
      </c>
      <c r="AM93" s="649">
        <f t="shared" si="47"/>
        <v>0.19632723037502911</v>
      </c>
      <c r="AN93" s="640"/>
      <c r="AO93" s="283"/>
      <c r="AP93" s="651"/>
      <c r="AQ93" s="239"/>
      <c r="AR93" s="747">
        <v>5370000</v>
      </c>
      <c r="AS93" s="315"/>
      <c r="AT93" s="315"/>
      <c r="AU93" s="315"/>
      <c r="AV93" s="654"/>
    </row>
    <row r="94" spans="1:48" s="653" customFormat="1" ht="113.45" customHeight="1" x14ac:dyDescent="0.35">
      <c r="A94" s="643" t="s">
        <v>33</v>
      </c>
      <c r="B94" s="665" t="s">
        <v>405</v>
      </c>
      <c r="C94" s="665" t="s">
        <v>405</v>
      </c>
      <c r="D94" s="665" t="s">
        <v>405</v>
      </c>
      <c r="E94" s="665" t="s">
        <v>417</v>
      </c>
      <c r="F94" s="665" t="s">
        <v>443</v>
      </c>
      <c r="G94" s="665" t="s">
        <v>405</v>
      </c>
      <c r="H94" s="677" t="s">
        <v>424</v>
      </c>
      <c r="I94" s="677"/>
      <c r="J94" s="664" t="s">
        <v>1189</v>
      </c>
      <c r="K94" s="642"/>
      <c r="L94" s="642"/>
      <c r="M94" s="642"/>
      <c r="N94" s="655"/>
      <c r="O94" s="312"/>
      <c r="P94" s="746">
        <v>2000000</v>
      </c>
      <c r="Q94" s="655"/>
      <c r="R94" s="655">
        <f t="shared" si="48"/>
        <v>2000000</v>
      </c>
      <c r="S94" s="656"/>
      <c r="T94" s="656">
        <v>2000000</v>
      </c>
      <c r="U94" s="691">
        <v>380000</v>
      </c>
      <c r="V94" s="656">
        <f t="shared" si="13"/>
        <v>1620000</v>
      </c>
      <c r="W94" s="644"/>
      <c r="X94" s="644"/>
      <c r="Y94" s="658">
        <f t="shared" si="14"/>
        <v>1620000</v>
      </c>
      <c r="Z94" s="313"/>
      <c r="AA94" s="644">
        <f t="shared" si="15"/>
        <v>0</v>
      </c>
      <c r="AB94" s="660"/>
      <c r="AC94" s="660"/>
      <c r="AD94" s="644"/>
      <c r="AE94" s="659">
        <f t="shared" si="26"/>
        <v>0</v>
      </c>
      <c r="AF94" s="659"/>
      <c r="AG94" s="638">
        <f t="shared" si="27"/>
        <v>0</v>
      </c>
      <c r="AH94" s="661">
        <f t="shared" si="28"/>
        <v>380000</v>
      </c>
      <c r="AI94" s="645" t="e">
        <f t="shared" si="46"/>
        <v>#DIV/0!</v>
      </c>
      <c r="AJ94" s="646"/>
      <c r="AK94" s="647"/>
      <c r="AL94" s="648"/>
      <c r="AM94" s="649"/>
      <c r="AN94" s="640"/>
      <c r="AO94" s="283"/>
      <c r="AP94" s="651"/>
      <c r="AQ94" s="748">
        <v>2000000</v>
      </c>
      <c r="AR94" s="641"/>
      <c r="AS94" s="315"/>
      <c r="AT94" s="315"/>
      <c r="AU94" s="315"/>
      <c r="AV94" s="654"/>
    </row>
    <row r="95" spans="1:48" s="653" customFormat="1" ht="69.599999999999994" customHeight="1" x14ac:dyDescent="0.35">
      <c r="A95" s="643" t="s">
        <v>33</v>
      </c>
      <c r="B95" s="665" t="s">
        <v>405</v>
      </c>
      <c r="C95" s="665" t="s">
        <v>405</v>
      </c>
      <c r="D95" s="665" t="s">
        <v>405</v>
      </c>
      <c r="E95" s="665" t="s">
        <v>417</v>
      </c>
      <c r="F95" s="665" t="s">
        <v>473</v>
      </c>
      <c r="G95" s="665" t="s">
        <v>403</v>
      </c>
      <c r="H95" s="677"/>
      <c r="I95" s="677"/>
      <c r="J95" s="664" t="s">
        <v>164</v>
      </c>
      <c r="K95" s="642"/>
      <c r="L95" s="642"/>
      <c r="M95" s="642"/>
      <c r="N95" s="655"/>
      <c r="O95" s="312">
        <v>6000000</v>
      </c>
      <c r="P95" s="746">
        <v>600000</v>
      </c>
      <c r="Q95" s="655"/>
      <c r="R95" s="655">
        <f t="shared" ref="R95" si="49">SUM(O95+P95-Q95)</f>
        <v>6600000</v>
      </c>
      <c r="S95" s="656"/>
      <c r="T95" s="656">
        <v>600000</v>
      </c>
      <c r="U95" s="691">
        <v>88088</v>
      </c>
      <c r="V95" s="656">
        <f t="shared" si="13"/>
        <v>511912</v>
      </c>
      <c r="W95" s="644"/>
      <c r="X95" s="644"/>
      <c r="Y95" s="658">
        <f t="shared" si="14"/>
        <v>511912</v>
      </c>
      <c r="Z95" s="313"/>
      <c r="AA95" s="644">
        <f t="shared" si="15"/>
        <v>6000000</v>
      </c>
      <c r="AB95" s="660">
        <v>6000000</v>
      </c>
      <c r="AC95" s="660">
        <v>1125000</v>
      </c>
      <c r="AD95" s="644"/>
      <c r="AE95" s="659">
        <f t="shared" si="26"/>
        <v>4875000</v>
      </c>
      <c r="AF95" s="659">
        <v>3500000</v>
      </c>
      <c r="AG95" s="638">
        <f t="shared" si="27"/>
        <v>1375000</v>
      </c>
      <c r="AH95" s="661">
        <f t="shared" si="28"/>
        <v>1213088</v>
      </c>
      <c r="AI95" s="645">
        <f t="shared" si="46"/>
        <v>0.1875</v>
      </c>
      <c r="AJ95" s="646"/>
      <c r="AK95" s="647"/>
      <c r="AL95" s="648"/>
      <c r="AM95" s="649"/>
      <c r="AN95" s="640"/>
      <c r="AO95" s="283"/>
      <c r="AP95" s="651"/>
      <c r="AQ95" s="748">
        <v>600000</v>
      </c>
      <c r="AR95" s="641"/>
      <c r="AS95" s="315"/>
      <c r="AT95" s="315"/>
      <c r="AU95" s="315"/>
      <c r="AV95" s="654"/>
    </row>
    <row r="96" spans="1:48" s="276" customFormat="1" ht="40.5" x14ac:dyDescent="0.35">
      <c r="A96" s="258"/>
      <c r="B96" s="607" t="s">
        <v>405</v>
      </c>
      <c r="C96" s="607" t="s">
        <v>405</v>
      </c>
      <c r="D96" s="607" t="s">
        <v>405</v>
      </c>
      <c r="E96" s="607" t="s">
        <v>473</v>
      </c>
      <c r="F96" s="607"/>
      <c r="G96" s="607"/>
      <c r="H96" s="679"/>
      <c r="I96" s="679"/>
      <c r="J96" s="592" t="s">
        <v>487</v>
      </c>
      <c r="K96" s="262"/>
      <c r="L96" s="262"/>
      <c r="M96" s="262"/>
      <c r="N96" s="309">
        <v>46500000</v>
      </c>
      <c r="O96" s="310">
        <f t="shared" ref="O96:Z96" si="50">SUM(O97:O103)</f>
        <v>39300000</v>
      </c>
      <c r="P96" s="310">
        <f t="shared" si="50"/>
        <v>16600000</v>
      </c>
      <c r="Q96" s="310">
        <f t="shared" si="50"/>
        <v>6500000</v>
      </c>
      <c r="R96" s="310">
        <f t="shared" si="50"/>
        <v>49400000</v>
      </c>
      <c r="S96" s="310">
        <f t="shared" si="50"/>
        <v>1500000</v>
      </c>
      <c r="T96" s="310">
        <f t="shared" si="50"/>
        <v>5700000</v>
      </c>
      <c r="U96" s="310">
        <f t="shared" si="50"/>
        <v>140556</v>
      </c>
      <c r="V96" s="310">
        <f t="shared" si="50"/>
        <v>5559444</v>
      </c>
      <c r="W96" s="310">
        <f t="shared" si="50"/>
        <v>1300000</v>
      </c>
      <c r="X96" s="310">
        <f t="shared" si="50"/>
        <v>0</v>
      </c>
      <c r="Y96" s="310">
        <f t="shared" si="50"/>
        <v>5559444</v>
      </c>
      <c r="Z96" s="310">
        <f t="shared" si="50"/>
        <v>0</v>
      </c>
      <c r="AA96" s="310">
        <f>SUM(AA97:AA103)</f>
        <v>40900000</v>
      </c>
      <c r="AB96" s="310">
        <f t="shared" ref="AB96:AM96" si="51">SUM(AB97:AB101)</f>
        <v>40400000</v>
      </c>
      <c r="AC96" s="310">
        <f t="shared" si="51"/>
        <v>0</v>
      </c>
      <c r="AD96" s="310">
        <f t="shared" si="51"/>
        <v>38000000</v>
      </c>
      <c r="AE96" s="310">
        <f>SUM(AE97:AE103)</f>
        <v>40900000</v>
      </c>
      <c r="AF96" s="310">
        <f>SUM(AF97:AF103)</f>
        <v>40400000</v>
      </c>
      <c r="AG96" s="310">
        <f>SUM(AG97:AG103)</f>
        <v>500000</v>
      </c>
      <c r="AH96" s="310">
        <f>SUM(AH97:AH103)</f>
        <v>2940556</v>
      </c>
      <c r="AI96" s="310" t="e">
        <f t="shared" si="51"/>
        <v>#DIV/0!</v>
      </c>
      <c r="AJ96" s="310">
        <f t="shared" si="51"/>
        <v>0</v>
      </c>
      <c r="AK96" s="310">
        <f t="shared" si="51"/>
        <v>0</v>
      </c>
      <c r="AL96" s="310" t="e">
        <f t="shared" si="51"/>
        <v>#REF!</v>
      </c>
      <c r="AM96" s="310" t="e">
        <f t="shared" si="51"/>
        <v>#DIV/0!</v>
      </c>
      <c r="AN96" s="270"/>
      <c r="AO96" s="311"/>
      <c r="AP96" s="272"/>
      <c r="AQ96" s="273"/>
      <c r="AR96" s="274"/>
      <c r="AS96" s="316"/>
      <c r="AT96" s="316"/>
      <c r="AU96" s="316"/>
      <c r="AV96" s="277"/>
    </row>
    <row r="97" spans="1:48" s="653" customFormat="1" ht="96.6" customHeight="1" x14ac:dyDescent="0.35">
      <c r="A97" s="643" t="s">
        <v>33</v>
      </c>
      <c r="B97" s="665" t="s">
        <v>405</v>
      </c>
      <c r="C97" s="665" t="s">
        <v>405</v>
      </c>
      <c r="D97" s="665" t="s">
        <v>405</v>
      </c>
      <c r="E97" s="665" t="s">
        <v>473</v>
      </c>
      <c r="F97" s="665" t="s">
        <v>449</v>
      </c>
      <c r="G97" s="665" t="s">
        <v>431</v>
      </c>
      <c r="H97" s="677"/>
      <c r="I97" s="677"/>
      <c r="J97" s="664" t="s">
        <v>200</v>
      </c>
      <c r="K97" s="642"/>
      <c r="L97" s="642"/>
      <c r="M97" s="642"/>
      <c r="N97" s="655"/>
      <c r="O97" s="312"/>
      <c r="P97" s="655"/>
      <c r="Q97" s="655"/>
      <c r="R97" s="655">
        <f t="shared" si="48"/>
        <v>0</v>
      </c>
      <c r="S97" s="656"/>
      <c r="T97" s="656"/>
      <c r="U97" s="656"/>
      <c r="V97" s="656">
        <f t="shared" si="13"/>
        <v>0</v>
      </c>
      <c r="W97" s="644"/>
      <c r="X97" s="644"/>
      <c r="Y97" s="658">
        <f t="shared" si="14"/>
        <v>0</v>
      </c>
      <c r="Z97" s="313"/>
      <c r="AA97" s="644">
        <f t="shared" si="15"/>
        <v>0</v>
      </c>
      <c r="AB97" s="660"/>
      <c r="AC97" s="660"/>
      <c r="AD97" s="644">
        <f t="shared" si="16"/>
        <v>0</v>
      </c>
      <c r="AE97" s="659">
        <f t="shared" si="26"/>
        <v>0</v>
      </c>
      <c r="AF97" s="659"/>
      <c r="AG97" s="659">
        <f t="shared" si="27"/>
        <v>0</v>
      </c>
      <c r="AH97" s="661">
        <f t="shared" si="28"/>
        <v>0</v>
      </c>
      <c r="AI97" s="645" t="e">
        <f>AC97/(AC97+AF97+AG97)</f>
        <v>#DIV/0!</v>
      </c>
      <c r="AJ97" s="646"/>
      <c r="AK97" s="647"/>
      <c r="AL97" s="648" t="e">
        <f>SUM(AE97-AF97-#REF!-#REF!)</f>
        <v>#REF!</v>
      </c>
      <c r="AM97" s="649" t="e">
        <f>SUM(R97-(AE97+Y97))/R97</f>
        <v>#DIV/0!</v>
      </c>
      <c r="AN97" s="640"/>
      <c r="AO97" s="283"/>
      <c r="AP97" s="651"/>
      <c r="AQ97" s="239"/>
      <c r="AR97" s="641"/>
      <c r="AS97" s="315"/>
      <c r="AT97" s="315"/>
      <c r="AU97" s="315"/>
      <c r="AV97" s="654"/>
    </row>
    <row r="98" spans="1:48" s="653" customFormat="1" ht="137.1" customHeight="1" x14ac:dyDescent="0.35">
      <c r="A98" s="643" t="s">
        <v>33</v>
      </c>
      <c r="B98" s="665" t="s">
        <v>405</v>
      </c>
      <c r="C98" s="665" t="s">
        <v>405</v>
      </c>
      <c r="D98" s="665" t="s">
        <v>405</v>
      </c>
      <c r="E98" s="665" t="s">
        <v>473</v>
      </c>
      <c r="F98" s="665" t="s">
        <v>426</v>
      </c>
      <c r="G98" s="665"/>
      <c r="H98" s="677"/>
      <c r="I98" s="677"/>
      <c r="J98" s="664" t="s">
        <v>488</v>
      </c>
      <c r="K98" s="642"/>
      <c r="L98" s="642"/>
      <c r="M98" s="642"/>
      <c r="N98" s="655"/>
      <c r="O98" s="312"/>
      <c r="P98" s="655">
        <v>5500000</v>
      </c>
      <c r="Q98" s="655">
        <v>5500000</v>
      </c>
      <c r="R98" s="655">
        <f t="shared" si="12"/>
        <v>0</v>
      </c>
      <c r="S98" s="656"/>
      <c r="T98" s="656"/>
      <c r="U98" s="656"/>
      <c r="V98" s="656">
        <f t="shared" si="13"/>
        <v>0</v>
      </c>
      <c r="W98" s="644"/>
      <c r="X98" s="644"/>
      <c r="Y98" s="658">
        <f t="shared" si="14"/>
        <v>0</v>
      </c>
      <c r="Z98" s="659"/>
      <c r="AA98" s="644">
        <f t="shared" si="15"/>
        <v>0</v>
      </c>
      <c r="AB98" s="660"/>
      <c r="AC98" s="660"/>
      <c r="AD98" s="644">
        <f t="shared" si="16"/>
        <v>0</v>
      </c>
      <c r="AE98" s="659">
        <f t="shared" si="26"/>
        <v>0</v>
      </c>
      <c r="AF98" s="659"/>
      <c r="AG98" s="659">
        <f t="shared" si="27"/>
        <v>0</v>
      </c>
      <c r="AH98" s="661">
        <f t="shared" si="28"/>
        <v>0</v>
      </c>
      <c r="AI98" s="645" t="e">
        <f>AC98/(AC98+AF98+AG98)</f>
        <v>#DIV/0!</v>
      </c>
      <c r="AJ98" s="646"/>
      <c r="AK98" s="647"/>
      <c r="AL98" s="648" t="e">
        <f>SUM(AE98-AF98-#REF!-#REF!)</f>
        <v>#REF!</v>
      </c>
      <c r="AM98" s="649" t="e">
        <f>SUM(R98-(AE98+Y98))/R98</f>
        <v>#DIV/0!</v>
      </c>
      <c r="AN98" s="640"/>
      <c r="AO98" s="283"/>
      <c r="AP98" s="651"/>
      <c r="AQ98" s="239"/>
      <c r="AR98" s="641"/>
      <c r="AS98" s="652"/>
      <c r="AU98" s="662"/>
      <c r="AV98" s="654"/>
    </row>
    <row r="99" spans="1:48" s="653" customFormat="1" ht="76.5" customHeight="1" x14ac:dyDescent="0.35">
      <c r="A99" s="643" t="s">
        <v>33</v>
      </c>
      <c r="B99" s="665" t="s">
        <v>405</v>
      </c>
      <c r="C99" s="665" t="s">
        <v>405</v>
      </c>
      <c r="D99" s="665" t="s">
        <v>405</v>
      </c>
      <c r="E99" s="665" t="s">
        <v>473</v>
      </c>
      <c r="F99" s="665" t="s">
        <v>426</v>
      </c>
      <c r="G99" s="665" t="s">
        <v>405</v>
      </c>
      <c r="H99" s="677"/>
      <c r="I99" s="677"/>
      <c r="J99" s="664" t="s">
        <v>489</v>
      </c>
      <c r="K99" s="642"/>
      <c r="L99" s="642"/>
      <c r="M99" s="642"/>
      <c r="N99" s="655"/>
      <c r="O99" s="655">
        <v>1300000</v>
      </c>
      <c r="P99" s="655">
        <f>1700000+5500000</f>
        <v>7200000</v>
      </c>
      <c r="Q99" s="655">
        <v>1000000</v>
      </c>
      <c r="R99" s="655">
        <f t="shared" si="12"/>
        <v>7500000</v>
      </c>
      <c r="S99" s="656">
        <v>1500000</v>
      </c>
      <c r="T99" s="656">
        <v>4700000</v>
      </c>
      <c r="U99" s="657"/>
      <c r="V99" s="656">
        <f t="shared" si="13"/>
        <v>4700000</v>
      </c>
      <c r="W99" s="644">
        <v>1300000</v>
      </c>
      <c r="X99" s="644"/>
      <c r="Y99" s="658">
        <f t="shared" si="14"/>
        <v>4700000</v>
      </c>
      <c r="Z99" s="659"/>
      <c r="AA99" s="644">
        <f t="shared" si="15"/>
        <v>0</v>
      </c>
      <c r="AB99" s="660"/>
      <c r="AC99" s="660"/>
      <c r="AD99" s="644">
        <f t="shared" si="16"/>
        <v>0</v>
      </c>
      <c r="AE99" s="659">
        <f t="shared" si="26"/>
        <v>0</v>
      </c>
      <c r="AF99" s="659"/>
      <c r="AG99" s="659">
        <f t="shared" si="27"/>
        <v>0</v>
      </c>
      <c r="AH99" s="661">
        <f t="shared" si="28"/>
        <v>2800000</v>
      </c>
      <c r="AI99" s="645" t="e">
        <f>AC99/(AC99+AF99+AG99)</f>
        <v>#DIV/0!</v>
      </c>
      <c r="AJ99" s="646"/>
      <c r="AK99" s="647"/>
      <c r="AL99" s="648" t="e">
        <f>SUM(AE99-AF99-#REF!-#REF!)</f>
        <v>#REF!</v>
      </c>
      <c r="AM99" s="649">
        <f>SUM(R99-(AE99+Y99))/R99</f>
        <v>0.37333333333333335</v>
      </c>
      <c r="AN99" s="640"/>
      <c r="AO99" s="650"/>
      <c r="AP99" s="651"/>
      <c r="AQ99" s="239"/>
      <c r="AR99" s="641"/>
      <c r="AS99" s="652"/>
      <c r="AU99" s="662"/>
      <c r="AV99" s="654"/>
    </row>
    <row r="100" spans="1:48" s="653" customFormat="1" ht="76.5" customHeight="1" x14ac:dyDescent="0.35">
      <c r="A100" s="643"/>
      <c r="B100" s="665" t="s">
        <v>405</v>
      </c>
      <c r="C100" s="665" t="s">
        <v>405</v>
      </c>
      <c r="D100" s="665" t="s">
        <v>405</v>
      </c>
      <c r="E100" s="665" t="s">
        <v>473</v>
      </c>
      <c r="F100" s="665" t="s">
        <v>426</v>
      </c>
      <c r="G100" s="665" t="s">
        <v>429</v>
      </c>
      <c r="H100" s="677"/>
      <c r="I100" s="677"/>
      <c r="J100" s="664" t="s">
        <v>1092</v>
      </c>
      <c r="K100" s="642"/>
      <c r="L100" s="642"/>
      <c r="M100" s="642"/>
      <c r="N100" s="655"/>
      <c r="O100" s="655"/>
      <c r="P100" s="746">
        <v>2400000</v>
      </c>
      <c r="Q100" s="655"/>
      <c r="R100" s="655">
        <f t="shared" si="12"/>
        <v>2400000</v>
      </c>
      <c r="S100" s="656"/>
      <c r="T100" s="656"/>
      <c r="U100" s="657"/>
      <c r="V100" s="656">
        <f t="shared" si="13"/>
        <v>0</v>
      </c>
      <c r="W100" s="644"/>
      <c r="X100" s="644"/>
      <c r="Y100" s="658">
        <f t="shared" si="14"/>
        <v>0</v>
      </c>
      <c r="Z100" s="659"/>
      <c r="AA100" s="644">
        <f t="shared" si="15"/>
        <v>2400000</v>
      </c>
      <c r="AB100" s="660">
        <v>2400000</v>
      </c>
      <c r="AC100" s="660"/>
      <c r="AD100" s="644"/>
      <c r="AE100" s="659">
        <f t="shared" si="26"/>
        <v>2400000</v>
      </c>
      <c r="AF100" s="659">
        <v>2400000</v>
      </c>
      <c r="AG100" s="638">
        <f t="shared" si="27"/>
        <v>0</v>
      </c>
      <c r="AH100" s="661">
        <f t="shared" si="28"/>
        <v>0</v>
      </c>
      <c r="AI100" s="645">
        <f t="shared" ref="AI100:AI102" si="52">AC100/(AC100+AF100+AG100)</f>
        <v>0</v>
      </c>
      <c r="AJ100" s="646"/>
      <c r="AK100" s="647"/>
      <c r="AL100" s="648"/>
      <c r="AM100" s="649"/>
      <c r="AN100" s="640"/>
      <c r="AO100" s="650"/>
      <c r="AP100" s="651"/>
      <c r="AQ100" s="748">
        <v>2400000</v>
      </c>
      <c r="AR100" s="641"/>
      <c r="AS100" s="652"/>
      <c r="AU100" s="662"/>
      <c r="AV100" s="654"/>
    </row>
    <row r="101" spans="1:48" s="159" customFormat="1" ht="104.1" customHeight="1" x14ac:dyDescent="0.35">
      <c r="A101" s="643">
        <v>0</v>
      </c>
      <c r="B101" s="665" t="s">
        <v>405</v>
      </c>
      <c r="C101" s="665" t="s">
        <v>405</v>
      </c>
      <c r="D101" s="665" t="s">
        <v>405</v>
      </c>
      <c r="E101" s="665" t="s">
        <v>473</v>
      </c>
      <c r="F101" s="665" t="s">
        <v>409</v>
      </c>
      <c r="G101" s="665" t="s">
        <v>431</v>
      </c>
      <c r="H101" s="677"/>
      <c r="I101" s="677"/>
      <c r="J101" s="664" t="s">
        <v>143</v>
      </c>
      <c r="K101" s="317"/>
      <c r="L101" s="317"/>
      <c r="M101" s="317"/>
      <c r="N101" s="318"/>
      <c r="O101" s="655">
        <v>38000000</v>
      </c>
      <c r="P101" s="655"/>
      <c r="Q101" s="655"/>
      <c r="R101" s="655">
        <f t="shared" si="12"/>
        <v>38000000</v>
      </c>
      <c r="S101" s="656"/>
      <c r="T101" s="656"/>
      <c r="U101" s="657"/>
      <c r="V101" s="656">
        <f t="shared" si="13"/>
        <v>0</v>
      </c>
      <c r="W101" s="644"/>
      <c r="X101" s="319"/>
      <c r="Y101" s="658">
        <f t="shared" si="14"/>
        <v>0</v>
      </c>
      <c r="Z101" s="659"/>
      <c r="AA101" s="644">
        <f t="shared" si="15"/>
        <v>38000000</v>
      </c>
      <c r="AB101" s="660">
        <v>38000000</v>
      </c>
      <c r="AC101" s="660"/>
      <c r="AD101" s="644">
        <f t="shared" si="16"/>
        <v>38000000</v>
      </c>
      <c r="AE101" s="659">
        <f t="shared" si="26"/>
        <v>38000000</v>
      </c>
      <c r="AF101" s="659">
        <v>38000000</v>
      </c>
      <c r="AG101" s="659">
        <f t="shared" si="27"/>
        <v>0</v>
      </c>
      <c r="AH101" s="661">
        <f t="shared" si="28"/>
        <v>0</v>
      </c>
      <c r="AI101" s="645">
        <f t="shared" si="52"/>
        <v>0</v>
      </c>
      <c r="AJ101" s="646"/>
      <c r="AK101" s="647"/>
      <c r="AL101" s="648" t="e">
        <f>SUM(AE101-AF101-#REF!-#REF!)</f>
        <v>#REF!</v>
      </c>
      <c r="AM101" s="649">
        <f>SUM(R101-(AE101+Y101))/R101</f>
        <v>0</v>
      </c>
      <c r="AN101" s="640"/>
      <c r="AO101" s="283"/>
      <c r="AP101" s="651"/>
      <c r="AQ101" s="239"/>
      <c r="AR101" s="641"/>
      <c r="AS101" s="83"/>
      <c r="AU101" s="662"/>
      <c r="AV101" s="84"/>
    </row>
    <row r="102" spans="1:48" s="159" customFormat="1" ht="104.1" customHeight="1" x14ac:dyDescent="0.35">
      <c r="A102" s="643"/>
      <c r="B102" s="665" t="s">
        <v>405</v>
      </c>
      <c r="C102" s="665" t="s">
        <v>405</v>
      </c>
      <c r="D102" s="665" t="s">
        <v>405</v>
      </c>
      <c r="E102" s="665" t="s">
        <v>473</v>
      </c>
      <c r="F102" s="665" t="s">
        <v>443</v>
      </c>
      <c r="G102" s="665" t="s">
        <v>403</v>
      </c>
      <c r="H102" s="677"/>
      <c r="I102" s="677"/>
      <c r="J102" s="664" t="s">
        <v>1187</v>
      </c>
      <c r="K102" s="317"/>
      <c r="L102" s="317"/>
      <c r="M102" s="317"/>
      <c r="N102" s="318"/>
      <c r="O102" s="655"/>
      <c r="P102" s="746">
        <v>500000</v>
      </c>
      <c r="Q102" s="655"/>
      <c r="R102" s="655">
        <f t="shared" si="12"/>
        <v>500000</v>
      </c>
      <c r="S102" s="656"/>
      <c r="T102" s="656">
        <v>500000</v>
      </c>
      <c r="U102" s="691">
        <v>102000</v>
      </c>
      <c r="V102" s="656">
        <f t="shared" si="13"/>
        <v>398000</v>
      </c>
      <c r="W102" s="644"/>
      <c r="X102" s="319"/>
      <c r="Y102" s="658">
        <f t="shared" si="14"/>
        <v>398000</v>
      </c>
      <c r="Z102" s="659"/>
      <c r="AA102" s="644">
        <f t="shared" ref="AA102:AA103" si="53">SUM(R102-S102-U102-W102-X102-Y102-Z102)</f>
        <v>0</v>
      </c>
      <c r="AB102" s="660"/>
      <c r="AC102" s="660"/>
      <c r="AD102" s="644"/>
      <c r="AE102" s="659">
        <f t="shared" si="26"/>
        <v>0</v>
      </c>
      <c r="AF102" s="659"/>
      <c r="AG102" s="638">
        <f t="shared" si="27"/>
        <v>0</v>
      </c>
      <c r="AH102" s="661">
        <f t="shared" si="28"/>
        <v>102000</v>
      </c>
      <c r="AI102" s="645" t="e">
        <f t="shared" si="52"/>
        <v>#DIV/0!</v>
      </c>
      <c r="AJ102" s="646"/>
      <c r="AK102" s="647"/>
      <c r="AL102" s="648"/>
      <c r="AM102" s="649"/>
      <c r="AN102" s="640"/>
      <c r="AO102" s="283"/>
      <c r="AP102" s="651"/>
      <c r="AQ102" s="748">
        <v>500000</v>
      </c>
      <c r="AR102" s="641"/>
      <c r="AS102" s="83"/>
      <c r="AU102" s="662"/>
      <c r="AV102" s="84"/>
    </row>
    <row r="103" spans="1:48" s="159" customFormat="1" ht="104.1" customHeight="1" x14ac:dyDescent="0.35">
      <c r="A103" s="643"/>
      <c r="B103" s="665" t="s">
        <v>405</v>
      </c>
      <c r="C103" s="665" t="s">
        <v>405</v>
      </c>
      <c r="D103" s="665" t="s">
        <v>405</v>
      </c>
      <c r="E103" s="665" t="s">
        <v>473</v>
      </c>
      <c r="F103" s="665" t="s">
        <v>443</v>
      </c>
      <c r="G103" s="665" t="s">
        <v>431</v>
      </c>
      <c r="H103" s="677"/>
      <c r="I103" s="677"/>
      <c r="J103" s="664" t="s">
        <v>916</v>
      </c>
      <c r="K103" s="317"/>
      <c r="L103" s="317"/>
      <c r="M103" s="317"/>
      <c r="N103" s="318"/>
      <c r="O103" s="655"/>
      <c r="P103" s="655">
        <v>1000000</v>
      </c>
      <c r="Q103" s="655"/>
      <c r="R103" s="655">
        <f t="shared" si="12"/>
        <v>1000000</v>
      </c>
      <c r="S103" s="656"/>
      <c r="T103" s="656">
        <v>500000</v>
      </c>
      <c r="U103" s="656">
        <f>38556</f>
        <v>38556</v>
      </c>
      <c r="V103" s="656">
        <f t="shared" si="13"/>
        <v>461444</v>
      </c>
      <c r="W103" s="644"/>
      <c r="X103" s="319"/>
      <c r="Y103" s="658">
        <f t="shared" si="14"/>
        <v>461444</v>
      </c>
      <c r="Z103" s="659"/>
      <c r="AA103" s="644">
        <f t="shared" si="53"/>
        <v>500000</v>
      </c>
      <c r="AB103" s="660"/>
      <c r="AC103" s="660"/>
      <c r="AD103" s="644"/>
      <c r="AE103" s="659">
        <f t="shared" si="26"/>
        <v>500000</v>
      </c>
      <c r="AF103" s="659"/>
      <c r="AG103" s="659">
        <f t="shared" si="27"/>
        <v>500000</v>
      </c>
      <c r="AH103" s="661">
        <f t="shared" si="28"/>
        <v>38556</v>
      </c>
      <c r="AI103" s="645">
        <f>AC103/(AC103+AF103+AG103)</f>
        <v>0</v>
      </c>
      <c r="AJ103" s="646"/>
      <c r="AK103" s="647"/>
      <c r="AL103" s="648"/>
      <c r="AM103" s="649"/>
      <c r="AN103" s="640"/>
      <c r="AO103" s="283"/>
      <c r="AP103" s="651"/>
      <c r="AQ103" s="239"/>
      <c r="AR103" s="641"/>
      <c r="AS103" s="83"/>
      <c r="AU103" s="662"/>
      <c r="AV103" s="84"/>
    </row>
    <row r="104" spans="1:48" s="276" customFormat="1" ht="40.5" x14ac:dyDescent="0.35">
      <c r="A104" s="258" t="s">
        <v>33</v>
      </c>
      <c r="B104" s="607" t="s">
        <v>405</v>
      </c>
      <c r="C104" s="607" t="s">
        <v>405</v>
      </c>
      <c r="D104" s="607" t="s">
        <v>405</v>
      </c>
      <c r="E104" s="607" t="s">
        <v>490</v>
      </c>
      <c r="F104" s="607"/>
      <c r="G104" s="607"/>
      <c r="H104" s="679"/>
      <c r="I104" s="679"/>
      <c r="J104" s="592" t="s">
        <v>491</v>
      </c>
      <c r="K104" s="262"/>
      <c r="L104" s="262"/>
      <c r="M104" s="262"/>
      <c r="N104" s="309">
        <f>SUM(N105)</f>
        <v>25000000</v>
      </c>
      <c r="O104" s="309">
        <f t="shared" ref="O104:AG104" si="54">SUM(O105)</f>
        <v>25000000</v>
      </c>
      <c r="P104" s="309">
        <f t="shared" si="54"/>
        <v>3000000</v>
      </c>
      <c r="Q104" s="309">
        <f t="shared" si="54"/>
        <v>0</v>
      </c>
      <c r="R104" s="309">
        <f t="shared" si="54"/>
        <v>28000000</v>
      </c>
      <c r="S104" s="309">
        <f t="shared" si="54"/>
        <v>1000000</v>
      </c>
      <c r="T104" s="309">
        <f t="shared" si="54"/>
        <v>2000000</v>
      </c>
      <c r="U104" s="309">
        <f t="shared" si="54"/>
        <v>397324.5</v>
      </c>
      <c r="V104" s="309">
        <f t="shared" si="54"/>
        <v>1602675.5</v>
      </c>
      <c r="W104" s="309">
        <f t="shared" si="54"/>
        <v>0</v>
      </c>
      <c r="X104" s="309">
        <f t="shared" si="54"/>
        <v>0</v>
      </c>
      <c r="Y104" s="309">
        <f t="shared" si="54"/>
        <v>1602675.5</v>
      </c>
      <c r="Z104" s="309">
        <f t="shared" si="54"/>
        <v>25000000</v>
      </c>
      <c r="AA104" s="309">
        <f t="shared" si="54"/>
        <v>0</v>
      </c>
      <c r="AB104" s="309">
        <f t="shared" si="54"/>
        <v>0</v>
      </c>
      <c r="AC104" s="309">
        <f t="shared" si="54"/>
        <v>0</v>
      </c>
      <c r="AD104" s="309">
        <f t="shared" si="54"/>
        <v>0</v>
      </c>
      <c r="AE104" s="309">
        <f t="shared" si="54"/>
        <v>0</v>
      </c>
      <c r="AF104" s="309">
        <f t="shared" si="54"/>
        <v>0</v>
      </c>
      <c r="AG104" s="309">
        <f t="shared" si="54"/>
        <v>0</v>
      </c>
      <c r="AH104" s="266">
        <f t="shared" si="14"/>
        <v>0</v>
      </c>
      <c r="AI104" s="266">
        <f>SUM(AF104)</f>
        <v>0</v>
      </c>
      <c r="AJ104" s="266">
        <f>SUM(AG104)</f>
        <v>0</v>
      </c>
      <c r="AK104" s="266">
        <f>SUM(AH104)</f>
        <v>0</v>
      </c>
      <c r="AL104" s="266">
        <f t="shared" si="14"/>
        <v>0</v>
      </c>
      <c r="AM104" s="266">
        <f t="shared" si="14"/>
        <v>0</v>
      </c>
      <c r="AN104" s="270"/>
      <c r="AO104" s="271"/>
      <c r="AP104" s="272"/>
      <c r="AQ104" s="273"/>
      <c r="AR104" s="274"/>
      <c r="AS104" s="275"/>
      <c r="AU104" s="320"/>
      <c r="AV104" s="277"/>
    </row>
    <row r="105" spans="1:48" s="159" customFormat="1" ht="65.45" customHeight="1" x14ac:dyDescent="0.35">
      <c r="A105" s="643" t="s">
        <v>33</v>
      </c>
      <c r="B105" s="665"/>
      <c r="C105" s="665"/>
      <c r="D105" s="665"/>
      <c r="E105" s="665"/>
      <c r="F105" s="665"/>
      <c r="G105" s="665"/>
      <c r="H105" s="677"/>
      <c r="I105" s="677"/>
      <c r="J105" s="594" t="s">
        <v>536</v>
      </c>
      <c r="K105" s="642"/>
      <c r="L105" s="642"/>
      <c r="M105" s="642"/>
      <c r="N105" s="655">
        <v>25000000</v>
      </c>
      <c r="O105" s="655">
        <v>25000000</v>
      </c>
      <c r="P105" s="655">
        <v>3000000</v>
      </c>
      <c r="Q105" s="655"/>
      <c r="R105" s="655">
        <f t="shared" si="12"/>
        <v>28000000</v>
      </c>
      <c r="S105" s="656">
        <v>1000000</v>
      </c>
      <c r="T105" s="656">
        <v>2000000</v>
      </c>
      <c r="U105" s="657">
        <f>273726.5+123598</f>
        <v>397324.5</v>
      </c>
      <c r="V105" s="656">
        <f t="shared" ref="V105" si="55">SUM(T105-U105)</f>
        <v>1602675.5</v>
      </c>
      <c r="W105" s="644"/>
      <c r="X105" s="319"/>
      <c r="Y105" s="658">
        <f t="shared" ref="Y105" si="56">SUM(V105)</f>
        <v>1602675.5</v>
      </c>
      <c r="Z105" s="659">
        <v>25000000</v>
      </c>
      <c r="AA105" s="644">
        <f t="shared" ref="AA105" si="57">SUM(R105-S105-U105-W105-X105-Y105-Z105)</f>
        <v>0</v>
      </c>
      <c r="AB105" s="660">
        <v>0</v>
      </c>
      <c r="AC105" s="660"/>
      <c r="AD105" s="644">
        <f t="shared" ref="AD105" si="58">SUM(AB105-AC105)</f>
        <v>0</v>
      </c>
      <c r="AE105" s="659">
        <f t="shared" ref="AE105" si="59">SUM(AA105-AC105)</f>
        <v>0</v>
      </c>
      <c r="AF105" s="659">
        <v>0</v>
      </c>
      <c r="AG105" s="659">
        <f t="shared" ref="AG105" si="60">SUM(AE105-AF105)</f>
        <v>0</v>
      </c>
      <c r="AH105" s="661">
        <f t="shared" si="28"/>
        <v>26397324.5</v>
      </c>
      <c r="AI105" s="645" t="e">
        <f>AC105/(AC105+AF105+AG105)</f>
        <v>#DIV/0!</v>
      </c>
      <c r="AJ105" s="646"/>
      <c r="AK105" s="647"/>
      <c r="AL105" s="648" t="e">
        <f>SUM(AE105-AF105-#REF!-#REF!)</f>
        <v>#REF!</v>
      </c>
      <c r="AM105" s="649">
        <f>SUM(R105-(AE105+Y105))/R105</f>
        <v>0.9427615892857143</v>
      </c>
      <c r="AN105" s="640"/>
      <c r="AO105" s="650"/>
      <c r="AP105" s="651"/>
      <c r="AQ105" s="239"/>
      <c r="AR105" s="641"/>
      <c r="AS105" s="83"/>
      <c r="AU105" s="662"/>
      <c r="AV105" s="84"/>
    </row>
    <row r="106" spans="1:48" s="302" customFormat="1" ht="42.95" customHeight="1" x14ac:dyDescent="0.35">
      <c r="A106" s="284"/>
      <c r="B106" s="680"/>
      <c r="C106" s="680"/>
      <c r="D106" s="680"/>
      <c r="E106" s="680"/>
      <c r="F106" s="680"/>
      <c r="G106" s="680"/>
      <c r="H106" s="681"/>
      <c r="I106" s="681"/>
      <c r="J106" s="597"/>
      <c r="K106" s="288">
        <f>SUM(K41:K105)</f>
        <v>0</v>
      </c>
      <c r="L106" s="288">
        <f>SUM(L41:L105)</f>
        <v>0</v>
      </c>
      <c r="M106" s="288">
        <f>SUM(M41:M105)</f>
        <v>0</v>
      </c>
      <c r="N106" s="290"/>
      <c r="O106" s="290"/>
      <c r="P106" s="290"/>
      <c r="Q106" s="290"/>
      <c r="R106" s="290"/>
      <c r="S106" s="173"/>
      <c r="T106" s="173"/>
      <c r="U106" s="173"/>
      <c r="V106" s="173"/>
      <c r="W106" s="292"/>
      <c r="X106" s="292"/>
      <c r="Y106" s="322"/>
      <c r="Z106" s="293"/>
      <c r="AA106" s="293"/>
      <c r="AB106" s="292"/>
      <c r="AC106" s="292"/>
      <c r="AD106" s="292">
        <f>SUM(AD41:AD105)</f>
        <v>3685505745.8400002</v>
      </c>
      <c r="AE106" s="293"/>
      <c r="AF106" s="293"/>
      <c r="AG106" s="293"/>
      <c r="AH106" s="323"/>
      <c r="AI106" s="294"/>
      <c r="AJ106" s="293"/>
      <c r="AK106" s="293"/>
      <c r="AL106" s="324"/>
      <c r="AM106" s="325"/>
      <c r="AN106" s="326"/>
      <c r="AO106" s="298"/>
      <c r="AP106" s="299"/>
      <c r="AQ106" s="300"/>
      <c r="AR106" s="300"/>
      <c r="AS106" s="301"/>
      <c r="AV106" s="303"/>
    </row>
    <row r="107" spans="1:48" s="159" customFormat="1" ht="29.25" customHeight="1" x14ac:dyDescent="0.35">
      <c r="A107" s="643"/>
      <c r="B107" s="682"/>
      <c r="C107" s="682"/>
      <c r="D107" s="682"/>
      <c r="E107" s="682"/>
      <c r="F107" s="682"/>
      <c r="G107" s="682"/>
      <c r="H107" s="682"/>
      <c r="I107" s="682"/>
      <c r="J107" s="594" t="s">
        <v>492</v>
      </c>
      <c r="K107" s="327"/>
      <c r="L107" s="327"/>
      <c r="M107" s="327"/>
      <c r="N107" s="328">
        <f>SUM(N15)</f>
        <v>2540000000</v>
      </c>
      <c r="O107" s="328">
        <f>SUM(O15)</f>
        <v>2532800000</v>
      </c>
      <c r="P107" s="328">
        <f>SUM(P15)</f>
        <v>127940227</v>
      </c>
      <c r="Q107" s="328">
        <f>SUM(Q15)</f>
        <v>151381227</v>
      </c>
      <c r="R107" s="328">
        <f>SUM(O107+P107-Q107)</f>
        <v>2509359000</v>
      </c>
      <c r="S107" s="328">
        <f t="shared" ref="S107:AH107" si="61">SUM(S15)</f>
        <v>10500000</v>
      </c>
      <c r="T107" s="328">
        <f t="shared" si="61"/>
        <v>48617050</v>
      </c>
      <c r="U107" s="328">
        <f t="shared" si="61"/>
        <v>5272759.5</v>
      </c>
      <c r="V107" s="328">
        <f t="shared" si="61"/>
        <v>43344290.5</v>
      </c>
      <c r="W107" s="328">
        <f t="shared" si="61"/>
        <v>268300000</v>
      </c>
      <c r="X107" s="328">
        <f t="shared" si="61"/>
        <v>919826268.64999998</v>
      </c>
      <c r="Y107" s="328">
        <f t="shared" si="61"/>
        <v>43344290.5</v>
      </c>
      <c r="Z107" s="328">
        <f t="shared" si="61"/>
        <v>83682227</v>
      </c>
      <c r="AA107" s="328">
        <f t="shared" si="61"/>
        <v>1178433454.3499999</v>
      </c>
      <c r="AB107" s="328">
        <f t="shared" si="61"/>
        <v>1139779341.46</v>
      </c>
      <c r="AC107" s="328">
        <f t="shared" si="61"/>
        <v>130127705</v>
      </c>
      <c r="AD107" s="328">
        <f t="shared" si="61"/>
        <v>1009651636.46</v>
      </c>
      <c r="AE107" s="328">
        <f t="shared" si="61"/>
        <v>1048305749.3499999</v>
      </c>
      <c r="AF107" s="328">
        <f t="shared" si="61"/>
        <v>1000039341.46</v>
      </c>
      <c r="AG107" s="328">
        <f t="shared" si="61"/>
        <v>48266407.890000001</v>
      </c>
      <c r="AH107" s="328">
        <f t="shared" si="61"/>
        <v>1417708960.1500001</v>
      </c>
      <c r="AI107" s="329">
        <f>AC107/(AC107+AF107+AG107)</f>
        <v>0.11042431332855854</v>
      </c>
      <c r="AJ107" s="330"/>
      <c r="AK107" s="331"/>
      <c r="AL107" s="332" t="e">
        <f>SUM(AE107-AF107-#REF!-#REF!)</f>
        <v>#REF!</v>
      </c>
      <c r="AM107" s="333">
        <f t="shared" ref="AM107:AM109" si="62">SUM(R107-(AE107+Y107))/R107</f>
        <v>0.5649685677298466</v>
      </c>
      <c r="AN107" s="334"/>
      <c r="AO107" s="650"/>
      <c r="AP107" s="651"/>
      <c r="AQ107" s="239"/>
      <c r="AR107" s="239"/>
      <c r="AS107" s="83"/>
      <c r="AV107" s="84"/>
    </row>
    <row r="108" spans="1:48" s="159" customFormat="1" x14ac:dyDescent="0.35">
      <c r="A108" s="643"/>
      <c r="B108" s="682"/>
      <c r="C108" s="682"/>
      <c r="D108" s="682"/>
      <c r="E108" s="682"/>
      <c r="F108" s="682"/>
      <c r="G108" s="682"/>
      <c r="H108" s="682"/>
      <c r="I108" s="682"/>
      <c r="J108" s="594" t="s">
        <v>493</v>
      </c>
      <c r="K108" s="327"/>
      <c r="L108" s="327"/>
      <c r="M108" s="327"/>
      <c r="N108" s="328">
        <f>SUM(N7)</f>
        <v>39000000</v>
      </c>
      <c r="O108" s="328">
        <f>SUM(O7)</f>
        <v>39000000</v>
      </c>
      <c r="P108" s="328">
        <f>SUM(P7)</f>
        <v>0</v>
      </c>
      <c r="Q108" s="328">
        <f>SUM(Q7)</f>
        <v>0</v>
      </c>
      <c r="R108" s="328">
        <f t="shared" si="12"/>
        <v>39000000</v>
      </c>
      <c r="S108" s="335">
        <f t="shared" ref="S108:AH108" si="63">SUM(S7)</f>
        <v>0</v>
      </c>
      <c r="T108" s="335">
        <f t="shared" si="63"/>
        <v>0</v>
      </c>
      <c r="U108" s="335">
        <f t="shared" si="63"/>
        <v>0</v>
      </c>
      <c r="V108" s="335">
        <f t="shared" si="63"/>
        <v>0</v>
      </c>
      <c r="W108" s="335">
        <f t="shared" si="63"/>
        <v>39641000</v>
      </c>
      <c r="X108" s="335">
        <f t="shared" si="63"/>
        <v>0</v>
      </c>
      <c r="Y108" s="335">
        <f t="shared" si="63"/>
        <v>0</v>
      </c>
      <c r="Z108" s="335">
        <f t="shared" si="63"/>
        <v>0</v>
      </c>
      <c r="AA108" s="335">
        <f t="shared" si="63"/>
        <v>-641000</v>
      </c>
      <c r="AB108" s="335">
        <f t="shared" si="63"/>
        <v>0</v>
      </c>
      <c r="AC108" s="335">
        <f t="shared" si="63"/>
        <v>0</v>
      </c>
      <c r="AD108" s="335">
        <f t="shared" si="63"/>
        <v>0</v>
      </c>
      <c r="AE108" s="335">
        <f t="shared" si="63"/>
        <v>-641000</v>
      </c>
      <c r="AF108" s="335">
        <f t="shared" si="63"/>
        <v>0</v>
      </c>
      <c r="AG108" s="335">
        <f t="shared" si="63"/>
        <v>-641000</v>
      </c>
      <c r="AH108" s="335">
        <f t="shared" si="63"/>
        <v>39641000</v>
      </c>
      <c r="AI108" s="329"/>
      <c r="AJ108" s="330"/>
      <c r="AK108" s="331"/>
      <c r="AL108" s="332" t="e">
        <f>SUM(AE108-AF108-#REF!-#REF!)</f>
        <v>#REF!</v>
      </c>
      <c r="AM108" s="333">
        <f t="shared" si="62"/>
        <v>1.0164358974358974</v>
      </c>
      <c r="AN108" s="334"/>
      <c r="AO108" s="650"/>
      <c r="AP108" s="651"/>
      <c r="AQ108" s="239"/>
      <c r="AR108" s="239"/>
      <c r="AS108" s="83"/>
      <c r="AV108" s="84"/>
    </row>
    <row r="109" spans="1:48" s="159" customFormat="1" x14ac:dyDescent="0.35">
      <c r="A109" s="643"/>
      <c r="B109" s="682"/>
      <c r="C109" s="682"/>
      <c r="D109" s="682"/>
      <c r="E109" s="682"/>
      <c r="F109" s="682"/>
      <c r="G109" s="682"/>
      <c r="H109" s="682"/>
      <c r="I109" s="682"/>
      <c r="J109" s="594" t="s">
        <v>494</v>
      </c>
      <c r="K109" s="327"/>
      <c r="L109" s="327"/>
      <c r="M109" s="327"/>
      <c r="N109" s="328">
        <f>SUM(N107:N108)</f>
        <v>2579000000</v>
      </c>
      <c r="O109" s="328">
        <f t="shared" ref="O109:Q109" si="64">SUM(O107:O108)</f>
        <v>2571800000</v>
      </c>
      <c r="P109" s="328">
        <f t="shared" si="64"/>
        <v>127940227</v>
      </c>
      <c r="Q109" s="328">
        <f t="shared" si="64"/>
        <v>151381227</v>
      </c>
      <c r="R109" s="328">
        <f t="shared" si="12"/>
        <v>2548359000</v>
      </c>
      <c r="S109" s="335">
        <f t="shared" ref="S109:AH109" si="65">SUM(S107:S108)</f>
        <v>10500000</v>
      </c>
      <c r="T109" s="335">
        <f t="shared" si="65"/>
        <v>48617050</v>
      </c>
      <c r="U109" s="335">
        <f t="shared" si="65"/>
        <v>5272759.5</v>
      </c>
      <c r="V109" s="335">
        <f t="shared" si="65"/>
        <v>43344290.5</v>
      </c>
      <c r="W109" s="335">
        <f t="shared" si="65"/>
        <v>307941000</v>
      </c>
      <c r="X109" s="335">
        <f t="shared" si="65"/>
        <v>919826268.64999998</v>
      </c>
      <c r="Y109" s="335">
        <f t="shared" si="65"/>
        <v>43344290.5</v>
      </c>
      <c r="Z109" s="335">
        <f t="shared" si="65"/>
        <v>83682227</v>
      </c>
      <c r="AA109" s="335">
        <f t="shared" si="65"/>
        <v>1177792454.3499999</v>
      </c>
      <c r="AB109" s="335">
        <f t="shared" si="65"/>
        <v>1139779341.46</v>
      </c>
      <c r="AC109" s="335">
        <f t="shared" si="65"/>
        <v>130127705</v>
      </c>
      <c r="AD109" s="335">
        <f t="shared" si="65"/>
        <v>1009651636.46</v>
      </c>
      <c r="AE109" s="335">
        <f t="shared" si="65"/>
        <v>1047664749.3499999</v>
      </c>
      <c r="AF109" s="335">
        <f t="shared" si="65"/>
        <v>1000039341.46</v>
      </c>
      <c r="AG109" s="335">
        <f t="shared" si="65"/>
        <v>47625407.890000001</v>
      </c>
      <c r="AH109" s="335">
        <f t="shared" si="65"/>
        <v>1457349960.1500001</v>
      </c>
      <c r="AI109" s="329">
        <f>AC109/(AC109+AF109+AG109)</f>
        <v>0.11048441049133301</v>
      </c>
      <c r="AJ109" s="330"/>
      <c r="AK109" s="331"/>
      <c r="AL109" s="332" t="e">
        <f>SUM(AE109-AF109-#REF!-#REF!)</f>
        <v>#REF!</v>
      </c>
      <c r="AM109" s="333">
        <f t="shared" si="62"/>
        <v>0.57187780848381253</v>
      </c>
      <c r="AN109" s="334"/>
      <c r="AO109" s="650"/>
      <c r="AP109" s="336"/>
      <c r="AQ109" s="239"/>
      <c r="AR109" s="239"/>
      <c r="AS109" s="83"/>
      <c r="AV109" s="84"/>
    </row>
    <row r="110" spans="1:48" s="159" customFormat="1" ht="27" customHeight="1" x14ac:dyDescent="0.35">
      <c r="A110" s="337"/>
      <c r="B110" s="780" t="s">
        <v>398</v>
      </c>
      <c r="C110" s="781"/>
      <c r="D110" s="781"/>
      <c r="E110" s="781"/>
      <c r="F110" s="781"/>
      <c r="G110" s="781"/>
      <c r="H110" s="781"/>
      <c r="I110" s="782"/>
      <c r="J110" s="321"/>
      <c r="K110" s="288"/>
      <c r="L110" s="288"/>
      <c r="M110" s="789" t="s">
        <v>495</v>
      </c>
      <c r="N110" s="743"/>
      <c r="O110" s="338"/>
      <c r="P110" s="338"/>
      <c r="Q110" s="338"/>
      <c r="R110" s="338">
        <f>SUM(O107+P107-Q107)</f>
        <v>2509359000</v>
      </c>
      <c r="S110" s="339"/>
      <c r="T110" s="339"/>
      <c r="U110" s="339"/>
      <c r="V110" s="339">
        <f>SUM(T109-U109)</f>
        <v>43344290.5</v>
      </c>
      <c r="W110" s="340">
        <f>SUM(W109)</f>
        <v>307941000</v>
      </c>
      <c r="X110" s="338"/>
      <c r="Y110" s="341"/>
      <c r="Z110" s="342"/>
      <c r="AA110" s="174">
        <f>SUM(R107-S107-U107-W107-X107-Y107-Z107)</f>
        <v>1178433454.3499999</v>
      </c>
      <c r="AB110" s="343"/>
      <c r="AC110" s="174"/>
      <c r="AD110" s="174">
        <f>SUM(AB109-AC109)</f>
        <v>1009651636.46</v>
      </c>
      <c r="AE110" s="342">
        <f>(AA107-AC107)</f>
        <v>1048305749.3499999</v>
      </c>
      <c r="AF110" s="342" t="e">
        <f>SUM(#REF!+AF40+AF106+#REF!+#REF!+#REF!+#REF!+#REF!+#REF!)</f>
        <v>#REF!</v>
      </c>
      <c r="AG110" s="342"/>
      <c r="AH110" s="344"/>
      <c r="AI110" s="345"/>
      <c r="AJ110" s="346"/>
      <c r="AK110" s="347"/>
      <c r="AL110" s="348" t="e">
        <f>SUM(AE110-AF110-#REF!-#REF!)</f>
        <v>#REF!</v>
      </c>
      <c r="AM110" s="345"/>
      <c r="AN110" s="640"/>
      <c r="AO110" s="349"/>
      <c r="AP110" s="350"/>
      <c r="AQ110" s="351"/>
      <c r="AR110" s="352"/>
      <c r="AS110" s="83"/>
      <c r="AV110" s="84"/>
    </row>
    <row r="111" spans="1:48" s="159" customFormat="1" ht="17.25" customHeight="1" x14ac:dyDescent="0.35">
      <c r="A111" s="337"/>
      <c r="B111" s="783"/>
      <c r="C111" s="784"/>
      <c r="D111" s="784"/>
      <c r="E111" s="784"/>
      <c r="F111" s="784"/>
      <c r="G111" s="784"/>
      <c r="H111" s="784"/>
      <c r="I111" s="785"/>
      <c r="J111" s="321"/>
      <c r="K111" s="288"/>
      <c r="L111" s="288"/>
      <c r="M111" s="789"/>
      <c r="N111" s="743"/>
      <c r="O111" s="338"/>
      <c r="P111" s="338"/>
      <c r="Q111" s="338"/>
      <c r="R111" s="338" t="e">
        <f>SUM(#REF!+#REF!-#REF!)</f>
        <v>#REF!</v>
      </c>
      <c r="S111" s="339"/>
      <c r="T111" s="339"/>
      <c r="U111" s="339"/>
      <c r="V111" s="339"/>
      <c r="W111" s="340"/>
      <c r="X111" s="338"/>
      <c r="Y111" s="353"/>
      <c r="Z111" s="354"/>
      <c r="AA111" s="174" t="e">
        <f>SUM(#REF!-#REF!-#REF!-#REF!-#REF!-#REF!-#REF!)</f>
        <v>#REF!</v>
      </c>
      <c r="AB111" s="343"/>
      <c r="AC111" s="174"/>
      <c r="AD111" s="174"/>
      <c r="AE111" s="342" t="e">
        <f>SUM(#REF!-#REF!)</f>
        <v>#REF!</v>
      </c>
      <c r="AF111" s="355"/>
      <c r="AG111" s="354"/>
      <c r="AH111" s="356"/>
      <c r="AI111" s="357"/>
      <c r="AJ111" s="358"/>
      <c r="AK111" s="347"/>
      <c r="AL111" s="348" t="e">
        <f>SUM(AE111-AF111-#REF!-#REF!)</f>
        <v>#REF!</v>
      </c>
      <c r="AM111" s="359"/>
      <c r="AN111" s="360"/>
      <c r="AO111" s="349"/>
      <c r="AP111" s="347"/>
      <c r="AQ111" s="352"/>
      <c r="AR111" s="352"/>
      <c r="AS111" s="83"/>
      <c r="AV111" s="84"/>
    </row>
    <row r="112" spans="1:48" s="159" customFormat="1" ht="17.25" customHeight="1" x14ac:dyDescent="0.35">
      <c r="A112" s="337"/>
      <c r="B112" s="786"/>
      <c r="C112" s="787"/>
      <c r="D112" s="787"/>
      <c r="E112" s="787"/>
      <c r="F112" s="787"/>
      <c r="G112" s="787"/>
      <c r="H112" s="787"/>
      <c r="I112" s="788"/>
      <c r="J112" s="321"/>
      <c r="K112" s="288"/>
      <c r="L112" s="288"/>
      <c r="M112" s="789"/>
      <c r="N112" s="743"/>
      <c r="O112" s="338"/>
      <c r="P112" s="338"/>
      <c r="Q112" s="338">
        <f>SUM(O109+P109-Q109)</f>
        <v>2548359000</v>
      </c>
      <c r="R112" s="338">
        <f>SUM(O108+P108-Q108)</f>
        <v>39000000</v>
      </c>
      <c r="S112" s="339"/>
      <c r="T112" s="339"/>
      <c r="U112" s="339"/>
      <c r="V112" s="339"/>
      <c r="W112" s="340"/>
      <c r="X112" s="338"/>
      <c r="Y112" s="353"/>
      <c r="Z112" s="354"/>
      <c r="AA112" s="174">
        <f>SUM(R108-S108-U108-W108-X108-Y108-Z108)</f>
        <v>-641000</v>
      </c>
      <c r="AB112" s="343"/>
      <c r="AC112" s="174"/>
      <c r="AD112" s="174"/>
      <c r="AE112" s="342">
        <f>SUM(AA108-AC108)</f>
        <v>-641000</v>
      </c>
      <c r="AF112" s="355" t="e">
        <f>SUM(AA108-AC108-#REF!)</f>
        <v>#REF!</v>
      </c>
      <c r="AG112" s="354"/>
      <c r="AH112" s="356"/>
      <c r="AI112" s="357"/>
      <c r="AJ112" s="358"/>
      <c r="AK112" s="347"/>
      <c r="AL112" s="348" t="e">
        <f>SUM(AE112-AF112-#REF!-#REF!)</f>
        <v>#REF!</v>
      </c>
      <c r="AM112" s="359"/>
      <c r="AN112" s="360"/>
      <c r="AO112" s="349"/>
      <c r="AP112" s="347"/>
      <c r="AQ112" s="352"/>
      <c r="AR112" s="352"/>
      <c r="AS112" s="83"/>
      <c r="AV112" s="84"/>
    </row>
    <row r="113" spans="1:48" s="378" customFormat="1" ht="26.25" x14ac:dyDescent="0.35">
      <c r="A113" s="361"/>
      <c r="B113" s="683"/>
      <c r="C113" s="683"/>
      <c r="D113" s="683"/>
      <c r="E113" s="683"/>
      <c r="F113" s="683"/>
      <c r="G113" s="683"/>
      <c r="H113" s="683"/>
      <c r="I113" s="683"/>
      <c r="J113" s="362"/>
      <c r="K113" s="363"/>
      <c r="L113" s="363"/>
      <c r="M113" s="363"/>
      <c r="N113" s="363"/>
      <c r="O113" s="364"/>
      <c r="P113" s="364"/>
      <c r="Q113" s="364"/>
      <c r="R113" s="364"/>
      <c r="S113" s="364"/>
      <c r="T113" s="364"/>
      <c r="U113" s="364"/>
      <c r="V113" s="364"/>
      <c r="W113" s="364"/>
      <c r="X113" s="364"/>
      <c r="Y113" s="364"/>
      <c r="Z113" s="365"/>
      <c r="AA113" s="365"/>
      <c r="AB113" s="365"/>
      <c r="AC113" s="365"/>
      <c r="AD113" s="365"/>
      <c r="AE113" s="366"/>
      <c r="AF113" s="365"/>
      <c r="AG113" s="365"/>
      <c r="AH113" s="367"/>
      <c r="AI113" s="368"/>
      <c r="AJ113" s="369"/>
      <c r="AK113" s="370"/>
      <c r="AL113" s="371"/>
      <c r="AM113" s="372"/>
      <c r="AN113" s="373"/>
      <c r="AO113" s="374"/>
      <c r="AP113" s="375"/>
      <c r="AQ113" s="376"/>
      <c r="AR113" s="376"/>
      <c r="AS113" s="377"/>
      <c r="AV113" s="379"/>
    </row>
    <row r="114" spans="1:48" s="128" customFormat="1" ht="57.75" customHeight="1" x14ac:dyDescent="0.35">
      <c r="A114" s="380"/>
      <c r="B114" s="790" t="s">
        <v>496</v>
      </c>
      <c r="C114" s="791"/>
      <c r="D114" s="791"/>
      <c r="E114" s="791"/>
      <c r="F114" s="791"/>
      <c r="G114" s="791"/>
      <c r="H114" s="791"/>
      <c r="I114" s="791"/>
      <c r="J114" s="791"/>
      <c r="K114" s="327"/>
      <c r="L114" s="327"/>
      <c r="M114" s="327"/>
      <c r="N114" s="327"/>
      <c r="O114" s="381"/>
      <c r="P114" s="381"/>
      <c r="Q114" s="381"/>
      <c r="R114" s="381"/>
      <c r="S114" s="381"/>
      <c r="T114" s="381"/>
      <c r="U114" s="381"/>
      <c r="V114" s="381"/>
      <c r="W114" s="381"/>
      <c r="X114" s="381"/>
      <c r="Y114" s="382"/>
      <c r="Z114" s="383"/>
      <c r="AA114" s="328"/>
      <c r="AB114" s="328"/>
      <c r="AC114" s="328"/>
      <c r="AD114" s="328"/>
      <c r="AE114" s="383"/>
      <c r="AF114" s="383"/>
      <c r="AG114" s="383"/>
      <c r="AH114" s="384"/>
      <c r="AI114" s="385"/>
      <c r="AJ114" s="386"/>
      <c r="AK114" s="387"/>
      <c r="AL114" s="388"/>
      <c r="AM114" s="389"/>
      <c r="AN114" s="81"/>
      <c r="AO114" s="390"/>
      <c r="AP114" s="391"/>
      <c r="AQ114" s="158"/>
      <c r="AR114" s="158"/>
      <c r="AS114" s="127"/>
      <c r="AV114" s="129"/>
    </row>
    <row r="115" spans="1:48" ht="40.5" customHeight="1" x14ac:dyDescent="0.35">
      <c r="A115" s="392" t="s">
        <v>33</v>
      </c>
      <c r="B115" s="684">
        <v>3</v>
      </c>
      <c r="C115" s="684">
        <v>6</v>
      </c>
      <c r="D115" s="684">
        <v>3</v>
      </c>
      <c r="E115" s="684">
        <v>20</v>
      </c>
      <c r="F115" s="684"/>
      <c r="G115" s="684" t="s">
        <v>497</v>
      </c>
      <c r="H115" s="684">
        <v>10</v>
      </c>
      <c r="I115" s="684" t="s">
        <v>498</v>
      </c>
      <c r="J115" s="186" t="s">
        <v>496</v>
      </c>
      <c r="K115" s="393"/>
      <c r="L115" s="393"/>
      <c r="M115" s="393"/>
      <c r="N115" s="393"/>
      <c r="O115" s="394">
        <v>1174750619</v>
      </c>
      <c r="P115" s="394">
        <v>0</v>
      </c>
      <c r="Q115" s="394">
        <v>1174750619</v>
      </c>
      <c r="R115" s="394">
        <f>SUM(O115+P115-Q115)</f>
        <v>0</v>
      </c>
      <c r="S115" s="394"/>
      <c r="T115" s="381"/>
      <c r="U115" s="381"/>
      <c r="V115" s="381"/>
      <c r="W115" s="381"/>
      <c r="X115" s="381"/>
      <c r="Y115" s="382"/>
      <c r="Z115" s="383"/>
      <c r="AA115" s="166">
        <f>SUM(R115-S115-U115-W115-X115-Y115-Z115)</f>
        <v>0</v>
      </c>
      <c r="AB115" s="328"/>
      <c r="AC115" s="328"/>
      <c r="AD115" s="328"/>
      <c r="AE115" s="383"/>
      <c r="AF115" s="383"/>
      <c r="AG115" s="383"/>
      <c r="AH115" s="384"/>
      <c r="AI115" s="385"/>
      <c r="AJ115" s="386"/>
      <c r="AK115" s="395"/>
      <c r="AL115" s="388" t="e">
        <f>SUM(AE115-AF115-#REF!-#REF!)</f>
        <v>#REF!</v>
      </c>
      <c r="AM115" s="396"/>
      <c r="AO115" s="196"/>
      <c r="AP115" s="80"/>
      <c r="AQ115" s="397"/>
      <c r="AR115" s="397"/>
    </row>
    <row r="116" spans="1:48" s="378" customFormat="1" ht="28.5" customHeight="1" x14ac:dyDescent="0.35">
      <c r="A116" s="361"/>
      <c r="B116" s="683"/>
      <c r="C116" s="683"/>
      <c r="D116" s="683"/>
      <c r="E116" s="683"/>
      <c r="F116" s="683"/>
      <c r="G116" s="683"/>
      <c r="H116" s="683"/>
      <c r="I116" s="683">
        <f>SUBTOTAL(9,R118:R123)</f>
        <v>17389945938</v>
      </c>
      <c r="J116" s="398" t="s">
        <v>499</v>
      </c>
      <c r="K116" s="399"/>
      <c r="L116" s="399"/>
      <c r="M116" s="399"/>
      <c r="N116" s="399"/>
      <c r="O116" s="400">
        <f>SUM(O115:O115)</f>
        <v>1174750619</v>
      </c>
      <c r="P116" s="400">
        <f>SUM(P115:P115)</f>
        <v>0</v>
      </c>
      <c r="Q116" s="400">
        <f>SUM(Q115:Q115)</f>
        <v>1174750619</v>
      </c>
      <c r="R116" s="400">
        <f>SUM(R115:R115)</f>
        <v>0</v>
      </c>
      <c r="S116" s="400"/>
      <c r="T116" s="400"/>
      <c r="U116" s="400">
        <f>SUM(U115:U115)</f>
        <v>0</v>
      </c>
      <c r="V116" s="400"/>
      <c r="W116" s="400">
        <f>SUM(W115:W115)</f>
        <v>0</v>
      </c>
      <c r="X116" s="400"/>
      <c r="Y116" s="382"/>
      <c r="Z116" s="401"/>
      <c r="AA116" s="400">
        <f>SUM(AA115:AA115)</f>
        <v>0</v>
      </c>
      <c r="AB116" s="400">
        <f>SUM(AB115:AB115)</f>
        <v>0</v>
      </c>
      <c r="AC116" s="400"/>
      <c r="AD116" s="400"/>
      <c r="AE116" s="401">
        <f>SUM(AA116-AC116)</f>
        <v>0</v>
      </c>
      <c r="AF116" s="401"/>
      <c r="AG116" s="401"/>
      <c r="AH116" s="402"/>
      <c r="AI116" s="403"/>
      <c r="AJ116" s="401"/>
      <c r="AK116" s="404"/>
      <c r="AL116" s="388" t="e">
        <f>SUM(AE116-AF116-#REF!-#REF!)</f>
        <v>#REF!</v>
      </c>
      <c r="AM116" s="405"/>
      <c r="AN116" s="81"/>
      <c r="AO116" s="406"/>
      <c r="AP116" s="407"/>
      <c r="AQ116" s="408"/>
      <c r="AR116" s="408"/>
      <c r="AS116" s="409"/>
      <c r="AV116" s="379"/>
    </row>
    <row r="117" spans="1:48" s="378" customFormat="1" ht="28.5" customHeight="1" x14ac:dyDescent="0.35">
      <c r="A117" s="361"/>
      <c r="B117" s="792" t="s">
        <v>500</v>
      </c>
      <c r="C117" s="793"/>
      <c r="D117" s="793"/>
      <c r="E117" s="793"/>
      <c r="F117" s="793"/>
      <c r="G117" s="793"/>
      <c r="H117" s="793"/>
      <c r="I117" s="793"/>
      <c r="J117" s="794"/>
      <c r="K117" s="399"/>
      <c r="L117" s="399"/>
      <c r="M117" s="399"/>
      <c r="N117" s="399"/>
      <c r="O117" s="400"/>
      <c r="P117" s="400"/>
      <c r="Q117" s="400"/>
      <c r="R117" s="400"/>
      <c r="S117" s="400"/>
      <c r="T117" s="400"/>
      <c r="U117" s="400"/>
      <c r="V117" s="400"/>
      <c r="W117" s="400"/>
      <c r="X117" s="400"/>
      <c r="Y117" s="382"/>
      <c r="Z117" s="401"/>
      <c r="AA117" s="400"/>
      <c r="AB117" s="400"/>
      <c r="AC117" s="400"/>
      <c r="AD117" s="400"/>
      <c r="AE117" s="401"/>
      <c r="AF117" s="401"/>
      <c r="AG117" s="401"/>
      <c r="AH117" s="403"/>
      <c r="AI117" s="403"/>
      <c r="AJ117" s="401"/>
      <c r="AK117" s="404"/>
      <c r="AL117" s="388"/>
      <c r="AM117" s="405"/>
      <c r="AN117" s="81"/>
      <c r="AO117" s="406"/>
      <c r="AP117" s="407"/>
      <c r="AQ117" s="408">
        <v>0</v>
      </c>
      <c r="AR117" s="408"/>
      <c r="AS117" s="409"/>
      <c r="AV117" s="379"/>
    </row>
    <row r="118" spans="1:48" ht="100.5" customHeight="1" x14ac:dyDescent="0.35">
      <c r="A118" s="392" t="s">
        <v>35</v>
      </c>
      <c r="B118" s="685">
        <v>505</v>
      </c>
      <c r="C118" s="685">
        <v>1000</v>
      </c>
      <c r="D118" s="685">
        <v>1</v>
      </c>
      <c r="E118" s="685" t="s">
        <v>356</v>
      </c>
      <c r="F118" s="685" t="s">
        <v>356</v>
      </c>
      <c r="G118" s="685" t="s">
        <v>497</v>
      </c>
      <c r="H118" s="685">
        <v>11</v>
      </c>
      <c r="I118" s="686" t="s">
        <v>501</v>
      </c>
      <c r="J118" s="410" t="s">
        <v>502</v>
      </c>
      <c r="K118" s="411" t="s">
        <v>503</v>
      </c>
      <c r="L118" s="412" t="s">
        <v>504</v>
      </c>
      <c r="M118" s="412">
        <v>2</v>
      </c>
      <c r="N118" s="413"/>
      <c r="O118" s="636">
        <v>719704000</v>
      </c>
      <c r="P118" s="160"/>
      <c r="Q118" s="160"/>
      <c r="R118" s="160">
        <f t="shared" ref="R118:R124" si="66">SUM(O118+P118-Q118)</f>
        <v>719704000</v>
      </c>
      <c r="S118" s="414"/>
      <c r="T118" s="414"/>
      <c r="U118" s="414"/>
      <c r="V118" s="414"/>
      <c r="W118" s="415"/>
      <c r="X118" s="415"/>
      <c r="Y118" s="416">
        <f t="shared" ref="Y118:Y123" si="67">SUM(V118)</f>
        <v>0</v>
      </c>
      <c r="Z118" s="415">
        <v>371604000</v>
      </c>
      <c r="AA118" s="415">
        <f t="shared" ref="AA118:AA124" si="68">SUM(R118-S118-U118-W118-X118-Y118-Z118)</f>
        <v>348100000</v>
      </c>
      <c r="AB118" s="750">
        <v>306300000</v>
      </c>
      <c r="AC118" s="417">
        <v>256700000</v>
      </c>
      <c r="AD118" s="415">
        <f t="shared" ref="AD118:AD123" si="69">SUM(AB118-AC118)</f>
        <v>49600000</v>
      </c>
      <c r="AE118" s="415">
        <f t="shared" ref="AE118:AE124" si="70">SUM(AA118-AC118)</f>
        <v>91400000</v>
      </c>
      <c r="AF118" s="415">
        <v>63000000</v>
      </c>
      <c r="AG118" s="415">
        <f>SUM(AE118-AF118)</f>
        <v>28400000</v>
      </c>
      <c r="AH118" s="418">
        <f t="shared" ref="AH118:AH122" si="71">SUM(S118+U118+W118+Z118+X118+AC118)</f>
        <v>628304000</v>
      </c>
      <c r="AI118" s="329">
        <f t="shared" ref="AI118:AI124" si="72">AC118/(AC118+AF118+AG118)</f>
        <v>0.73743177247917269</v>
      </c>
      <c r="AJ118" s="419"/>
      <c r="AK118" s="420"/>
      <c r="AL118" s="421" t="e">
        <f>SUM(AE118-AF118-#REF!-#REF!)</f>
        <v>#REF!</v>
      </c>
      <c r="AM118" s="422">
        <f t="shared" ref="AM118:AM125" si="73">SUM(R118-(AE118+Y118))/R118</f>
        <v>0.87300334581994821</v>
      </c>
      <c r="AN118" s="423"/>
      <c r="AO118" s="390"/>
      <c r="AQ118" s="158"/>
      <c r="AR118" s="158"/>
    </row>
    <row r="119" spans="1:48" ht="100.5" customHeight="1" x14ac:dyDescent="0.35">
      <c r="A119" s="392"/>
      <c r="B119" s="685">
        <v>505</v>
      </c>
      <c r="C119" s="685">
        <v>1000</v>
      </c>
      <c r="D119" s="685">
        <v>1</v>
      </c>
      <c r="E119" s="685" t="s">
        <v>356</v>
      </c>
      <c r="F119" s="685" t="s">
        <v>356</v>
      </c>
      <c r="G119" s="685" t="s">
        <v>497</v>
      </c>
      <c r="H119" s="685">
        <v>11</v>
      </c>
      <c r="I119" s="687" t="s">
        <v>498</v>
      </c>
      <c r="J119" s="424" t="s">
        <v>505</v>
      </c>
      <c r="K119" s="411"/>
      <c r="L119" s="412"/>
      <c r="M119" s="412"/>
      <c r="N119" s="413">
        <v>2087421145</v>
      </c>
      <c r="O119" s="413">
        <v>2087421145</v>
      </c>
      <c r="P119" s="160"/>
      <c r="Q119" s="160"/>
      <c r="R119" s="160">
        <f t="shared" si="66"/>
        <v>2087421145</v>
      </c>
      <c r="S119" s="414"/>
      <c r="T119" s="414"/>
      <c r="U119" s="414"/>
      <c r="V119" s="414"/>
      <c r="W119" s="415"/>
      <c r="X119" s="415"/>
      <c r="Y119" s="416"/>
      <c r="Z119" s="415">
        <v>101146146</v>
      </c>
      <c r="AA119" s="415">
        <f t="shared" si="68"/>
        <v>1986274999</v>
      </c>
      <c r="AB119" s="750">
        <v>1975325000</v>
      </c>
      <c r="AC119" s="417">
        <v>1669700000</v>
      </c>
      <c r="AD119" s="415"/>
      <c r="AE119" s="415">
        <f t="shared" si="70"/>
        <v>316574999</v>
      </c>
      <c r="AF119" s="415">
        <v>270600000</v>
      </c>
      <c r="AG119" s="415">
        <f t="shared" ref="AG119:AG124" si="74">SUM(AE119-AF119)</f>
        <v>45974999</v>
      </c>
      <c r="AH119" s="418">
        <f t="shared" si="71"/>
        <v>1770846146</v>
      </c>
      <c r="AI119" s="329">
        <f t="shared" si="72"/>
        <v>0.84061874656863667</v>
      </c>
      <c r="AJ119" s="419"/>
      <c r="AK119" s="420"/>
      <c r="AL119" s="421"/>
      <c r="AM119" s="422">
        <f t="shared" si="73"/>
        <v>0.84834157699403778</v>
      </c>
      <c r="AN119" s="423"/>
      <c r="AO119" s="390"/>
      <c r="AP119" s="425"/>
      <c r="AQ119" s="158"/>
      <c r="AR119" s="158"/>
    </row>
    <row r="120" spans="1:48" ht="98.25" customHeight="1" x14ac:dyDescent="0.35">
      <c r="A120" s="392" t="s">
        <v>35</v>
      </c>
      <c r="B120" s="685">
        <v>505</v>
      </c>
      <c r="C120" s="685">
        <v>1000</v>
      </c>
      <c r="D120" s="685">
        <v>2</v>
      </c>
      <c r="E120" s="685" t="s">
        <v>356</v>
      </c>
      <c r="F120" s="685" t="s">
        <v>356</v>
      </c>
      <c r="G120" s="685" t="s">
        <v>497</v>
      </c>
      <c r="H120" s="685">
        <v>11</v>
      </c>
      <c r="I120" s="686" t="s">
        <v>501</v>
      </c>
      <c r="J120" s="410" t="s">
        <v>506</v>
      </c>
      <c r="K120" s="411"/>
      <c r="L120" s="412"/>
      <c r="M120" s="412"/>
      <c r="N120" s="413"/>
      <c r="O120" s="637">
        <v>6371806000</v>
      </c>
      <c r="P120" s="160"/>
      <c r="Q120" s="160"/>
      <c r="R120" s="160">
        <f t="shared" si="66"/>
        <v>6371806000</v>
      </c>
      <c r="S120" s="414"/>
      <c r="T120" s="414"/>
      <c r="U120" s="414"/>
      <c r="V120" s="414"/>
      <c r="W120" s="415"/>
      <c r="X120" s="415"/>
      <c r="Y120" s="416">
        <f>SUM(V120)</f>
        <v>0</v>
      </c>
      <c r="Z120" s="415">
        <v>40000000</v>
      </c>
      <c r="AA120" s="415">
        <f t="shared" si="68"/>
        <v>6331806000</v>
      </c>
      <c r="AB120" s="750">
        <v>5916331427</v>
      </c>
      <c r="AC120" s="417">
        <v>2750951187.1199999</v>
      </c>
      <c r="AD120" s="415">
        <f>SUM(AB120-AC120)</f>
        <v>3165380239.8800001</v>
      </c>
      <c r="AE120" s="415">
        <f t="shared" si="70"/>
        <v>3580854812.8800001</v>
      </c>
      <c r="AF120" s="415">
        <v>2948582187</v>
      </c>
      <c r="AG120" s="415">
        <f t="shared" si="74"/>
        <v>632272625.88000011</v>
      </c>
      <c r="AH120" s="418">
        <f t="shared" si="71"/>
        <v>2790951187.1199999</v>
      </c>
      <c r="AI120" s="329">
        <f t="shared" si="72"/>
        <v>0.43446548853834116</v>
      </c>
      <c r="AJ120" s="419"/>
      <c r="AK120" s="420"/>
      <c r="AL120" s="421" t="e">
        <f>SUM(AE120-AF120-#REF!-#REF!)</f>
        <v>#REF!</v>
      </c>
      <c r="AM120" s="422">
        <f t="shared" si="73"/>
        <v>0.43801571911009218</v>
      </c>
      <c r="AN120" s="423"/>
      <c r="AO120" s="390"/>
      <c r="AP120" s="426"/>
      <c r="AQ120" s="158"/>
      <c r="AR120" s="158"/>
    </row>
    <row r="121" spans="1:48" ht="102.75" customHeight="1" x14ac:dyDescent="0.35">
      <c r="A121" s="392"/>
      <c r="B121" s="685">
        <v>505</v>
      </c>
      <c r="C121" s="685">
        <v>1000</v>
      </c>
      <c r="D121" s="685">
        <v>2</v>
      </c>
      <c r="E121" s="685" t="s">
        <v>356</v>
      </c>
      <c r="F121" s="685" t="s">
        <v>356</v>
      </c>
      <c r="G121" s="685" t="s">
        <v>497</v>
      </c>
      <c r="H121" s="685">
        <v>11</v>
      </c>
      <c r="I121" s="687" t="s">
        <v>498</v>
      </c>
      <c r="J121" s="424" t="s">
        <v>507</v>
      </c>
      <c r="K121" s="411"/>
      <c r="L121" s="412"/>
      <c r="M121" s="412"/>
      <c r="N121" s="413">
        <v>4002524793</v>
      </c>
      <c r="O121" s="413">
        <v>4002524793</v>
      </c>
      <c r="P121" s="160"/>
      <c r="Q121" s="160"/>
      <c r="R121" s="160">
        <f>SUM(O121+P121-Q121)</f>
        <v>4002524793</v>
      </c>
      <c r="S121" s="414"/>
      <c r="T121" s="414"/>
      <c r="U121" s="414"/>
      <c r="V121" s="414"/>
      <c r="W121" s="415">
        <v>1651615886</v>
      </c>
      <c r="X121" s="415"/>
      <c r="Y121" s="416"/>
      <c r="Z121" s="415"/>
      <c r="AA121" s="415">
        <f t="shared" si="68"/>
        <v>2350908907</v>
      </c>
      <c r="AB121" s="750">
        <v>2347478500</v>
      </c>
      <c r="AC121" s="417">
        <v>2346478500</v>
      </c>
      <c r="AD121" s="415"/>
      <c r="AE121" s="415">
        <f t="shared" si="70"/>
        <v>4430407</v>
      </c>
      <c r="AF121" s="415"/>
      <c r="AG121" s="415">
        <f t="shared" si="74"/>
        <v>4430407</v>
      </c>
      <c r="AH121" s="418">
        <f t="shared" si="71"/>
        <v>3998094386</v>
      </c>
      <c r="AI121" s="329">
        <f t="shared" si="72"/>
        <v>0.998115449311197</v>
      </c>
      <c r="AJ121" s="419"/>
      <c r="AK121" s="420"/>
      <c r="AL121" s="421"/>
      <c r="AM121" s="422">
        <f t="shared" si="73"/>
        <v>0.99889309692528372</v>
      </c>
      <c r="AN121" s="423"/>
      <c r="AO121" s="390"/>
      <c r="AP121" s="425"/>
      <c r="AQ121" s="158"/>
      <c r="AR121" s="158"/>
    </row>
    <row r="122" spans="1:48" ht="78.75" customHeight="1" x14ac:dyDescent="0.35">
      <c r="A122" s="392" t="s">
        <v>35</v>
      </c>
      <c r="B122" s="685">
        <v>599</v>
      </c>
      <c r="C122" s="685">
        <v>1000</v>
      </c>
      <c r="D122" s="685">
        <v>4</v>
      </c>
      <c r="E122" s="685" t="s">
        <v>356</v>
      </c>
      <c r="F122" s="685" t="s">
        <v>356</v>
      </c>
      <c r="G122" s="685" t="s">
        <v>497</v>
      </c>
      <c r="H122" s="685">
        <v>11</v>
      </c>
      <c r="I122" s="687" t="s">
        <v>498</v>
      </c>
      <c r="J122" s="424" t="s">
        <v>508</v>
      </c>
      <c r="K122" s="427"/>
      <c r="L122" s="427"/>
      <c r="M122" s="427"/>
      <c r="N122" s="413">
        <v>300000000</v>
      </c>
      <c r="O122" s="413">
        <v>300000000</v>
      </c>
      <c r="P122" s="160"/>
      <c r="Q122" s="160"/>
      <c r="R122" s="160">
        <f t="shared" si="66"/>
        <v>300000000</v>
      </c>
      <c r="S122" s="414"/>
      <c r="T122" s="414"/>
      <c r="U122" s="414"/>
      <c r="V122" s="414"/>
      <c r="W122" s="415"/>
      <c r="X122" s="415"/>
      <c r="Y122" s="416">
        <f t="shared" si="67"/>
        <v>0</v>
      </c>
      <c r="Z122" s="415"/>
      <c r="AA122" s="415">
        <f t="shared" si="68"/>
        <v>300000000</v>
      </c>
      <c r="AB122" s="750">
        <v>300000000</v>
      </c>
      <c r="AC122" s="417"/>
      <c r="AD122" s="415">
        <f t="shared" si="69"/>
        <v>300000000</v>
      </c>
      <c r="AE122" s="415">
        <f t="shared" si="70"/>
        <v>300000000</v>
      </c>
      <c r="AF122" s="415">
        <v>300000000</v>
      </c>
      <c r="AG122" s="415">
        <f t="shared" si="74"/>
        <v>0</v>
      </c>
      <c r="AH122" s="418">
        <f t="shared" si="71"/>
        <v>0</v>
      </c>
      <c r="AI122" s="329">
        <f>AC122/(AC122+AF122+AG122)</f>
        <v>0</v>
      </c>
      <c r="AJ122" s="330"/>
      <c r="AK122" s="331"/>
      <c r="AL122" s="332" t="e">
        <f>SUM(AE122-AF122-#REF!-#REF!)</f>
        <v>#REF!</v>
      </c>
      <c r="AM122" s="422">
        <f t="shared" si="73"/>
        <v>0</v>
      </c>
      <c r="AN122" s="428"/>
      <c r="AO122" s="390"/>
      <c r="AP122" s="429"/>
      <c r="AQ122" s="158"/>
      <c r="AR122" s="158"/>
    </row>
    <row r="123" spans="1:48" ht="93" customHeight="1" x14ac:dyDescent="0.35">
      <c r="A123" s="392" t="s">
        <v>35</v>
      </c>
      <c r="B123" s="685">
        <v>599</v>
      </c>
      <c r="C123" s="685">
        <v>1000</v>
      </c>
      <c r="D123" s="685">
        <v>5</v>
      </c>
      <c r="E123" s="685" t="s">
        <v>356</v>
      </c>
      <c r="F123" s="685" t="s">
        <v>356</v>
      </c>
      <c r="G123" s="685" t="s">
        <v>497</v>
      </c>
      <c r="H123" s="685">
        <v>11</v>
      </c>
      <c r="I123" s="686" t="s">
        <v>501</v>
      </c>
      <c r="J123" s="410" t="s">
        <v>509</v>
      </c>
      <c r="K123" s="427"/>
      <c r="L123" s="427"/>
      <c r="M123" s="427"/>
      <c r="N123" s="413"/>
      <c r="O123" s="160">
        <v>3908490000</v>
      </c>
      <c r="P123" s="160"/>
      <c r="Q123" s="160"/>
      <c r="R123" s="160">
        <f t="shared" si="66"/>
        <v>3908490000</v>
      </c>
      <c r="S123" s="414"/>
      <c r="T123" s="414"/>
      <c r="U123" s="414"/>
      <c r="V123" s="414"/>
      <c r="W123" s="415"/>
      <c r="X123" s="415"/>
      <c r="Y123" s="416">
        <f t="shared" si="67"/>
        <v>0</v>
      </c>
      <c r="Z123" s="415"/>
      <c r="AA123" s="415">
        <f t="shared" si="68"/>
        <v>3908490000</v>
      </c>
      <c r="AB123" s="750">
        <v>3804524767</v>
      </c>
      <c r="AC123" s="417">
        <v>217125000</v>
      </c>
      <c r="AD123" s="415">
        <f t="shared" si="69"/>
        <v>3587399767</v>
      </c>
      <c r="AE123" s="415">
        <f t="shared" si="70"/>
        <v>3691365000</v>
      </c>
      <c r="AF123" s="415">
        <v>3564974767</v>
      </c>
      <c r="AG123" s="415">
        <f t="shared" si="74"/>
        <v>126390233</v>
      </c>
      <c r="AH123" s="418">
        <f>SUM(S123+U123+W123+Z123+X123+AC123)</f>
        <v>217125000</v>
      </c>
      <c r="AI123" s="329">
        <f t="shared" si="72"/>
        <v>5.5552144178442314E-2</v>
      </c>
      <c r="AJ123" s="330"/>
      <c r="AK123" s="331"/>
      <c r="AL123" s="332" t="e">
        <f>SUM(AE123-AF123-#REF!-#REF!)</f>
        <v>#REF!</v>
      </c>
      <c r="AM123" s="422">
        <f t="shared" si="73"/>
        <v>5.5552144178442314E-2</v>
      </c>
      <c r="AN123" s="428"/>
      <c r="AO123" s="390"/>
      <c r="AP123" s="429"/>
      <c r="AQ123" s="158"/>
      <c r="AR123" s="158"/>
    </row>
    <row r="124" spans="1:48" ht="93" customHeight="1" x14ac:dyDescent="0.35">
      <c r="A124" s="392"/>
      <c r="B124" s="685">
        <v>599</v>
      </c>
      <c r="C124" s="685">
        <v>1000</v>
      </c>
      <c r="D124" s="685">
        <v>5</v>
      </c>
      <c r="E124" s="685" t="s">
        <v>356</v>
      </c>
      <c r="F124" s="685" t="s">
        <v>356</v>
      </c>
      <c r="G124" s="685" t="s">
        <v>497</v>
      </c>
      <c r="H124" s="685">
        <v>11</v>
      </c>
      <c r="I124" s="687" t="s">
        <v>498</v>
      </c>
      <c r="J124" s="424" t="s">
        <v>509</v>
      </c>
      <c r="K124" s="427"/>
      <c r="L124" s="427"/>
      <c r="M124" s="427"/>
      <c r="N124" s="413">
        <v>2538562500</v>
      </c>
      <c r="O124" s="413">
        <v>2538562500</v>
      </c>
      <c r="P124" s="160"/>
      <c r="Q124" s="160"/>
      <c r="R124" s="160">
        <f t="shared" si="66"/>
        <v>2538562500</v>
      </c>
      <c r="S124" s="414"/>
      <c r="T124" s="414"/>
      <c r="U124" s="414"/>
      <c r="V124" s="414"/>
      <c r="W124" s="415">
        <v>974877733</v>
      </c>
      <c r="X124" s="415"/>
      <c r="Y124" s="416"/>
      <c r="Z124" s="415">
        <v>2627520</v>
      </c>
      <c r="AA124" s="415">
        <f t="shared" si="68"/>
        <v>1561057247</v>
      </c>
      <c r="AB124" s="750">
        <v>1857177980</v>
      </c>
      <c r="AC124" s="417">
        <v>632407839.58999991</v>
      </c>
      <c r="AD124" s="415"/>
      <c r="AE124" s="415">
        <f t="shared" si="70"/>
        <v>928649407.41000009</v>
      </c>
      <c r="AF124" s="415">
        <v>923187980</v>
      </c>
      <c r="AG124" s="415">
        <f t="shared" si="74"/>
        <v>5461427.4100000858</v>
      </c>
      <c r="AH124" s="418">
        <f t="shared" ref="AH124" si="75">SUM(S124+U124+W124+Z124+X124+AC124)</f>
        <v>1609913092.5899999</v>
      </c>
      <c r="AI124" s="329">
        <f t="shared" si="72"/>
        <v>0.40511508518047318</v>
      </c>
      <c r="AJ124" s="330"/>
      <c r="AK124" s="331"/>
      <c r="AL124" s="332"/>
      <c r="AM124" s="333">
        <f t="shared" si="73"/>
        <v>0.6341829648038998</v>
      </c>
      <c r="AN124" s="428"/>
      <c r="AO124" s="390"/>
      <c r="AP124" s="429"/>
      <c r="AQ124" s="158"/>
      <c r="AR124" s="158"/>
    </row>
    <row r="125" spans="1:48" s="439" customFormat="1" ht="53.25" customHeight="1" x14ac:dyDescent="0.35">
      <c r="A125" s="361"/>
      <c r="B125" s="683"/>
      <c r="C125" s="683"/>
      <c r="D125" s="683"/>
      <c r="E125" s="683"/>
      <c r="F125" s="683"/>
      <c r="G125" s="683"/>
      <c r="H125" s="683"/>
      <c r="I125" s="683"/>
      <c r="J125" s="398" t="s">
        <v>510</v>
      </c>
      <c r="K125" s="399"/>
      <c r="L125" s="399"/>
      <c r="M125" s="399"/>
      <c r="N125" s="399"/>
      <c r="O125" s="430">
        <f>SUM(O118:O124)</f>
        <v>19928508438</v>
      </c>
      <c r="P125" s="430">
        <f>SUM(P118:P123)</f>
        <v>0</v>
      </c>
      <c r="Q125" s="430">
        <f>SUM(Q118:Q123)</f>
        <v>0</v>
      </c>
      <c r="R125" s="430">
        <f>SUM(R118:R123)</f>
        <v>17389945938</v>
      </c>
      <c r="S125" s="430"/>
      <c r="T125" s="430"/>
      <c r="U125" s="430">
        <f>SUM(U118:U123)</f>
        <v>0</v>
      </c>
      <c r="V125" s="430"/>
      <c r="W125" s="430">
        <f>SUM(W118:W123)</f>
        <v>1651615886</v>
      </c>
      <c r="X125" s="430">
        <f>SUM(X118:X123)</f>
        <v>0</v>
      </c>
      <c r="Y125" s="431">
        <f>SUM(Y118:Y123)</f>
        <v>0</v>
      </c>
      <c r="Z125" s="432">
        <f>SUM(Z118:Z123)</f>
        <v>512750146</v>
      </c>
      <c r="AA125" s="430">
        <f t="shared" ref="AA125:AH125" si="76">SUM(AA118:AA124)</f>
        <v>16786637153</v>
      </c>
      <c r="AB125" s="430">
        <f t="shared" si="76"/>
        <v>16507137674</v>
      </c>
      <c r="AC125" s="430">
        <f t="shared" si="76"/>
        <v>7873362526.71</v>
      </c>
      <c r="AD125" s="430">
        <f t="shared" si="76"/>
        <v>7102380006.8800001</v>
      </c>
      <c r="AE125" s="430">
        <f t="shared" si="76"/>
        <v>8913274626.2900009</v>
      </c>
      <c r="AF125" s="430">
        <f t="shared" si="76"/>
        <v>8070344934</v>
      </c>
      <c r="AG125" s="430">
        <f t="shared" si="76"/>
        <v>842929692.2900002</v>
      </c>
      <c r="AH125" s="430">
        <f t="shared" si="76"/>
        <v>11015233811.709999</v>
      </c>
      <c r="AI125" s="433">
        <f>AC125/(AC125+AF125+AG125)</f>
        <v>0.46902559785793208</v>
      </c>
      <c r="AJ125" s="434"/>
      <c r="AK125" s="435"/>
      <c r="AL125" s="436" t="e">
        <f>SUM(AE125-AF125-#REF!-#REF!)</f>
        <v>#REF!</v>
      </c>
      <c r="AM125" s="437">
        <f t="shared" si="73"/>
        <v>0.48744667418355947</v>
      </c>
      <c r="AN125" s="428"/>
      <c r="AO125" s="406"/>
      <c r="AP125" s="438"/>
      <c r="AQ125" s="735"/>
      <c r="AR125" s="408"/>
      <c r="AS125" s="409"/>
      <c r="AV125" s="379"/>
    </row>
    <row r="126" spans="1:48" s="454" customFormat="1" x14ac:dyDescent="0.35">
      <c r="A126" s="440" t="s">
        <v>356</v>
      </c>
      <c r="B126" s="688" t="s">
        <v>356</v>
      </c>
      <c r="C126" s="688" t="s">
        <v>356</v>
      </c>
      <c r="D126" s="688" t="s">
        <v>356</v>
      </c>
      <c r="E126" s="688" t="s">
        <v>356</v>
      </c>
      <c r="F126" s="688" t="s">
        <v>356</v>
      </c>
      <c r="G126" s="688" t="s">
        <v>356</v>
      </c>
      <c r="H126" s="688" t="s">
        <v>356</v>
      </c>
      <c r="I126" s="688" t="s">
        <v>356</v>
      </c>
      <c r="J126" s="441"/>
      <c r="K126" s="393"/>
      <c r="L126" s="393"/>
      <c r="M126" s="393"/>
      <c r="N126" s="393"/>
      <c r="O126" s="394"/>
      <c r="P126" s="394"/>
      <c r="Q126" s="442"/>
      <c r="R126" s="442"/>
      <c r="S126" s="442"/>
      <c r="T126" s="442"/>
      <c r="U126" s="442"/>
      <c r="V126" s="442"/>
      <c r="W126" s="442"/>
      <c r="X126" s="442"/>
      <c r="Y126" s="443" t="s">
        <v>511</v>
      </c>
      <c r="Z126" s="444"/>
      <c r="AA126" s="442"/>
      <c r="AB126" s="442"/>
      <c r="AC126" s="442"/>
      <c r="AD126" s="445">
        <f>SUM(AA125-AC125)</f>
        <v>8913274626.2900009</v>
      </c>
      <c r="AE126" s="446">
        <f>SUM(AA125-AC125)</f>
        <v>8913274626.2900009</v>
      </c>
      <c r="AF126" s="444"/>
      <c r="AG126" s="444">
        <f>SUM(AE125-AF125)</f>
        <v>842929692.29000092</v>
      </c>
      <c r="AH126" s="447"/>
      <c r="AI126" s="448"/>
      <c r="AJ126" s="449"/>
      <c r="AK126" s="450"/>
      <c r="AL126" s="451"/>
      <c r="AM126" s="452"/>
      <c r="AN126" s="453"/>
      <c r="AP126" s="455"/>
      <c r="AQ126" s="456"/>
      <c r="AR126" s="456"/>
      <c r="AS126" s="83"/>
      <c r="AV126" s="84"/>
    </row>
    <row r="127" spans="1:48" s="454" customFormat="1" ht="27.75" customHeight="1" x14ac:dyDescent="0.35">
      <c r="A127" s="76"/>
      <c r="B127" s="689"/>
      <c r="C127" s="689"/>
      <c r="D127" s="689"/>
      <c r="E127" s="689"/>
      <c r="F127" s="689"/>
      <c r="G127" s="689"/>
      <c r="H127" s="689"/>
      <c r="I127" s="689"/>
      <c r="J127" s="457"/>
      <c r="K127" s="76"/>
      <c r="L127" s="76"/>
      <c r="M127" s="458"/>
      <c r="N127" s="76"/>
      <c r="O127" s="459"/>
      <c r="P127" s="459"/>
      <c r="Q127" s="459"/>
      <c r="R127" s="460"/>
      <c r="S127" s="460"/>
      <c r="T127" s="460"/>
      <c r="U127" s="461"/>
      <c r="V127" s="461"/>
      <c r="W127" s="461"/>
      <c r="X127" s="459"/>
      <c r="Y127" s="462"/>
      <c r="Z127" s="463"/>
      <c r="AA127" s="459"/>
      <c r="AB127" s="464"/>
      <c r="AC127" s="464"/>
      <c r="AD127" s="464"/>
      <c r="AE127" s="463"/>
      <c r="AF127" s="465" t="e">
        <f>#REF!+AF123+AF118+#REF!</f>
        <v>#REF!</v>
      </c>
      <c r="AG127" s="465" t="e">
        <f>#REF!+AG123+AG118+#REF!</f>
        <v>#REF!</v>
      </c>
      <c r="AH127" s="466"/>
      <c r="AI127" s="467"/>
      <c r="AJ127" s="463"/>
      <c r="AK127" s="468"/>
      <c r="AM127" s="469"/>
      <c r="AN127" s="453"/>
      <c r="AQ127" s="82"/>
      <c r="AR127" s="82"/>
      <c r="AS127" s="83"/>
      <c r="AV127" s="84"/>
    </row>
    <row r="128" spans="1:48" s="454" customFormat="1" ht="66" customHeight="1" x14ac:dyDescent="0.35">
      <c r="A128" s="76"/>
      <c r="B128" s="689" t="s">
        <v>8</v>
      </c>
      <c r="C128" s="689"/>
      <c r="D128" s="689"/>
      <c r="E128" s="689"/>
      <c r="F128" s="689"/>
      <c r="G128" s="689"/>
      <c r="H128" s="689"/>
      <c r="I128" s="689"/>
      <c r="J128" s="457"/>
      <c r="K128" s="76"/>
      <c r="L128" s="76"/>
      <c r="M128" s="458"/>
      <c r="N128" s="76"/>
      <c r="O128" s="459"/>
      <c r="P128" s="459"/>
      <c r="Q128" s="459"/>
      <c r="R128" s="460"/>
      <c r="S128" s="460"/>
      <c r="T128" s="460"/>
      <c r="U128" s="461"/>
      <c r="V128" s="461"/>
      <c r="W128" s="461"/>
      <c r="X128" s="764" t="s">
        <v>512</v>
      </c>
      <c r="Y128" s="765"/>
      <c r="Z128" s="765"/>
      <c r="AA128" s="765"/>
      <c r="AB128" s="765"/>
      <c r="AC128" s="765"/>
      <c r="AD128" s="765"/>
      <c r="AE128" s="765"/>
      <c r="AF128" s="765"/>
      <c r="AG128" s="765"/>
      <c r="AH128" s="765"/>
      <c r="AI128" s="470"/>
      <c r="AJ128" s="471"/>
      <c r="AK128" s="471"/>
      <c r="AL128" s="471"/>
      <c r="AM128" s="471"/>
      <c r="AN128" s="453"/>
      <c r="AQ128" s="82"/>
      <c r="AR128" s="82"/>
      <c r="AS128" s="83"/>
      <c r="AV128" s="84"/>
    </row>
    <row r="129" spans="1:48" s="454" customFormat="1" ht="81.75" customHeight="1" x14ac:dyDescent="0.35">
      <c r="A129" s="76"/>
      <c r="B129" s="689"/>
      <c r="C129" s="689"/>
      <c r="D129" s="689"/>
      <c r="E129" s="689"/>
      <c r="F129" s="689"/>
      <c r="G129" s="689"/>
      <c r="H129" s="689"/>
      <c r="I129" s="689"/>
      <c r="J129" s="472"/>
      <c r="K129" s="76"/>
      <c r="L129" s="76"/>
      <c r="M129" s="76"/>
      <c r="N129" s="76"/>
      <c r="O129" s="461"/>
      <c r="P129" s="461"/>
      <c r="Q129" s="473"/>
      <c r="R129" s="473"/>
      <c r="S129" s="473"/>
      <c r="T129" s="473"/>
      <c r="U129" s="461"/>
      <c r="V129" s="461"/>
      <c r="W129" s="461"/>
      <c r="X129" s="766" t="s">
        <v>513</v>
      </c>
      <c r="Y129" s="767"/>
      <c r="Z129" s="768"/>
      <c r="AA129" s="474" t="s">
        <v>514</v>
      </c>
      <c r="AB129" s="475" t="s">
        <v>388</v>
      </c>
      <c r="AC129" s="476" t="s">
        <v>389</v>
      </c>
      <c r="AD129" s="477" t="s">
        <v>515</v>
      </c>
      <c r="AE129" s="478" t="s">
        <v>516</v>
      </c>
      <c r="AF129" s="478" t="s">
        <v>392</v>
      </c>
      <c r="AG129" s="478" t="s">
        <v>393</v>
      </c>
      <c r="AH129" s="479" t="s">
        <v>517</v>
      </c>
      <c r="AI129" s="479"/>
      <c r="AJ129" s="479" t="s">
        <v>395</v>
      </c>
      <c r="AK129" s="479" t="s">
        <v>395</v>
      </c>
      <c r="AL129" s="479" t="s">
        <v>395</v>
      </c>
      <c r="AM129" s="479" t="s">
        <v>362</v>
      </c>
      <c r="AN129" s="453"/>
      <c r="AQ129" s="82"/>
      <c r="AR129" s="82"/>
      <c r="AS129" s="83"/>
      <c r="AV129" s="84"/>
    </row>
    <row r="130" spans="1:48" s="454" customFormat="1" ht="60.75" customHeight="1" x14ac:dyDescent="0.35">
      <c r="A130" s="76"/>
      <c r="B130" s="689"/>
      <c r="C130" s="689"/>
      <c r="D130" s="689"/>
      <c r="E130" s="689"/>
      <c r="F130" s="689"/>
      <c r="G130" s="689"/>
      <c r="H130" s="689"/>
      <c r="I130" s="689"/>
      <c r="J130" s="480"/>
      <c r="K130" s="481"/>
      <c r="L130" s="481"/>
      <c r="M130" s="481"/>
      <c r="N130" s="481"/>
      <c r="O130" s="482"/>
      <c r="P130" s="482"/>
      <c r="Q130" s="482"/>
      <c r="R130" s="483"/>
      <c r="S130" s="483"/>
      <c r="T130" s="483"/>
      <c r="U130" s="461"/>
      <c r="V130" s="461"/>
      <c r="W130" s="461"/>
      <c r="X130" s="769" t="s">
        <v>518</v>
      </c>
      <c r="Y130" s="769"/>
      <c r="Z130" s="769"/>
      <c r="AA130" s="484">
        <f>SUM(AA107)</f>
        <v>1178433454.3499999</v>
      </c>
      <c r="AB130" s="484">
        <f>SUM(AB107)</f>
        <v>1139779341.46</v>
      </c>
      <c r="AC130" s="484">
        <f>SUM(AC107)</f>
        <v>130127705</v>
      </c>
      <c r="AD130" s="484">
        <f>SUM(AD109)</f>
        <v>1009651636.46</v>
      </c>
      <c r="AE130" s="484">
        <f>SUM(AE107)</f>
        <v>1048305749.3499999</v>
      </c>
      <c r="AF130" s="484">
        <f>SUM(AF107)</f>
        <v>1000039341.46</v>
      </c>
      <c r="AG130" s="484">
        <f>SUM(AG107)</f>
        <v>48266407.890000001</v>
      </c>
      <c r="AH130" s="485">
        <f>AC130/(AC130+AF130+AG130)</f>
        <v>0.11042431332855854</v>
      </c>
      <c r="AI130" s="486"/>
      <c r="AJ130" s="487"/>
      <c r="AK130" s="488"/>
      <c r="AL130" s="489"/>
      <c r="AM130" s="490"/>
      <c r="AN130" s="491"/>
      <c r="AQ130" s="82"/>
      <c r="AR130" s="82"/>
      <c r="AS130" s="83"/>
      <c r="AV130" s="84"/>
    </row>
    <row r="131" spans="1:48" s="454" customFormat="1" ht="45" customHeight="1" x14ac:dyDescent="0.35">
      <c r="A131" s="76"/>
      <c r="B131" s="689"/>
      <c r="C131" s="689"/>
      <c r="D131" s="689"/>
      <c r="E131" s="689"/>
      <c r="F131" s="689"/>
      <c r="G131" s="689"/>
      <c r="H131" s="689"/>
      <c r="I131" s="689"/>
      <c r="J131" s="492"/>
      <c r="K131" s="493"/>
      <c r="L131" s="494"/>
      <c r="M131" s="495"/>
      <c r="N131" s="496"/>
      <c r="O131" s="473"/>
      <c r="P131" s="473"/>
      <c r="Q131" s="473"/>
      <c r="R131" s="473"/>
      <c r="S131" s="473"/>
      <c r="T131" s="473"/>
      <c r="U131" s="473"/>
      <c r="V131" s="473"/>
      <c r="W131" s="473"/>
      <c r="X131" s="770" t="s">
        <v>519</v>
      </c>
      <c r="Y131" s="770"/>
      <c r="Z131" s="770"/>
      <c r="AA131" s="484">
        <f>SUM(AA125)</f>
        <v>16786637153</v>
      </c>
      <c r="AB131" s="484">
        <f t="shared" ref="AB131:AF131" si="77">SUM(AB125)</f>
        <v>16507137674</v>
      </c>
      <c r="AC131" s="484">
        <f t="shared" si="77"/>
        <v>7873362526.71</v>
      </c>
      <c r="AD131" s="484">
        <f t="shared" si="77"/>
        <v>7102380006.8800001</v>
      </c>
      <c r="AE131" s="484">
        <f>SUM(AE125)</f>
        <v>8913274626.2900009</v>
      </c>
      <c r="AF131" s="484">
        <f t="shared" si="77"/>
        <v>8070344934</v>
      </c>
      <c r="AG131" s="484">
        <f>SUM(AG125)</f>
        <v>842929692.2900002</v>
      </c>
      <c r="AH131" s="485">
        <f>AC131/(AC131+AF131+AG131)</f>
        <v>0.46902559785793208</v>
      </c>
      <c r="AI131" s="486"/>
      <c r="AJ131" s="487"/>
      <c r="AK131" s="488"/>
      <c r="AL131" s="489"/>
      <c r="AM131" s="490">
        <f>SUM(AM125)</f>
        <v>0.48744667418355947</v>
      </c>
      <c r="AN131" s="491"/>
      <c r="AQ131" s="82"/>
      <c r="AR131" s="82"/>
      <c r="AS131" s="83"/>
      <c r="AV131" s="84"/>
    </row>
    <row r="132" spans="1:48" s="454" customFormat="1" ht="45.75" customHeight="1" x14ac:dyDescent="0.35">
      <c r="A132" s="76"/>
      <c r="B132" s="689"/>
      <c r="C132" s="689"/>
      <c r="D132" s="689"/>
      <c r="E132" s="689"/>
      <c r="F132" s="689"/>
      <c r="G132" s="689"/>
      <c r="H132" s="689"/>
      <c r="I132" s="689"/>
      <c r="J132" s="497"/>
      <c r="K132" s="493"/>
      <c r="L132" s="494"/>
      <c r="M132" s="495"/>
      <c r="N132" s="496"/>
      <c r="O132" s="473"/>
      <c r="P132" s="473"/>
      <c r="Q132" s="473"/>
      <c r="R132" s="473"/>
      <c r="S132" s="473"/>
      <c r="T132" s="473"/>
      <c r="U132" s="473"/>
      <c r="V132" s="473"/>
      <c r="W132" s="473"/>
      <c r="X132" s="771" t="s">
        <v>520</v>
      </c>
      <c r="Y132" s="772"/>
      <c r="Z132" s="773"/>
      <c r="AA132" s="484">
        <f t="shared" ref="AA132:AG132" si="78">SUM(AA130:AA131)</f>
        <v>17965070607.349998</v>
      </c>
      <c r="AB132" s="484">
        <f t="shared" si="78"/>
        <v>17646917015.459999</v>
      </c>
      <c r="AC132" s="484">
        <f>SUM(AC130:AC131)</f>
        <v>8003490231.71</v>
      </c>
      <c r="AD132" s="484">
        <f t="shared" si="78"/>
        <v>8112031643.3400002</v>
      </c>
      <c r="AE132" s="608">
        <f>SUM(AE130:AE131)</f>
        <v>9961580375.6400013</v>
      </c>
      <c r="AF132" s="484">
        <f>SUM(AF130:AF131)</f>
        <v>9070384275.4599991</v>
      </c>
      <c r="AG132" s="484">
        <f t="shared" si="78"/>
        <v>891196100.18000019</v>
      </c>
      <c r="AH132" s="485">
        <f>AC132/(AC132+AF132+AG132)</f>
        <v>0.44550285421286095</v>
      </c>
      <c r="AI132" s="486"/>
      <c r="AJ132" s="486" t="e">
        <f>AVERAGE(AJ130:AJ131)</f>
        <v>#DIV/0!</v>
      </c>
      <c r="AK132" s="486" t="e">
        <f>AVERAGE(AK130:AK131)</f>
        <v>#DIV/0!</v>
      </c>
      <c r="AL132" s="486" t="e">
        <f>AVERAGE(AL130:AL131)</f>
        <v>#DIV/0!</v>
      </c>
      <c r="AM132" s="486">
        <f>AVERAGE(AM130:AM131)</f>
        <v>0.48744667418355947</v>
      </c>
      <c r="AN132" s="453"/>
      <c r="AQ132" s="82"/>
      <c r="AR132" s="82"/>
      <c r="AS132" s="83"/>
      <c r="AV132" s="84"/>
    </row>
    <row r="133" spans="1:48" s="454" customFormat="1" ht="55.9" customHeight="1" x14ac:dyDescent="0.35">
      <c r="A133" s="76"/>
      <c r="B133" s="689"/>
      <c r="C133" s="689"/>
      <c r="D133" s="689"/>
      <c r="E133" s="689"/>
      <c r="F133" s="689"/>
      <c r="G133" s="689"/>
      <c r="H133" s="689"/>
      <c r="I133" s="689"/>
      <c r="J133" s="497"/>
      <c r="K133" s="493"/>
      <c r="L133" s="494"/>
      <c r="M133" s="495"/>
      <c r="N133" s="496"/>
      <c r="O133" s="473"/>
      <c r="P133" s="473"/>
      <c r="Q133" s="473"/>
      <c r="R133" s="473"/>
      <c r="S133" s="473"/>
      <c r="T133" s="473"/>
      <c r="U133" s="473"/>
      <c r="V133" s="473"/>
      <c r="W133" s="473"/>
      <c r="X133" s="473"/>
      <c r="Y133" s="498"/>
      <c r="Z133" s="473"/>
      <c r="AA133" s="774"/>
      <c r="AB133" s="775"/>
      <c r="AC133" s="775"/>
      <c r="AD133" s="775"/>
      <c r="AE133" s="775"/>
      <c r="AF133" s="775"/>
      <c r="AG133" s="776"/>
      <c r="AH133" s="499"/>
      <c r="AI133" s="482"/>
      <c r="AJ133" s="461"/>
      <c r="AK133" s="395"/>
      <c r="AM133" s="469"/>
      <c r="AN133" s="453"/>
      <c r="AQ133" s="82"/>
      <c r="AR133" s="82"/>
      <c r="AS133" s="83"/>
      <c r="AV133" s="84"/>
    </row>
    <row r="134" spans="1:48" s="454" customFormat="1" ht="32.25" customHeight="1" x14ac:dyDescent="0.35">
      <c r="A134" s="76"/>
      <c r="B134" s="689"/>
      <c r="C134" s="689"/>
      <c r="D134" s="689"/>
      <c r="E134" s="689"/>
      <c r="F134" s="689"/>
      <c r="G134" s="689"/>
      <c r="H134" s="689"/>
      <c r="I134" s="689"/>
      <c r="J134" s="500"/>
      <c r="K134" s="501"/>
      <c r="L134" s="442"/>
      <c r="M134" s="502"/>
      <c r="N134" s="460"/>
      <c r="O134" s="473"/>
      <c r="P134" s="473"/>
      <c r="Q134" s="473"/>
      <c r="R134" s="503"/>
      <c r="S134" s="503"/>
      <c r="T134" s="503"/>
      <c r="U134" s="473"/>
      <c r="V134" s="473"/>
      <c r="W134" s="473"/>
      <c r="X134" s="473"/>
      <c r="Y134" s="498"/>
      <c r="Z134" s="473"/>
      <c r="AA134" s="504">
        <f>SUBTOTAL(9,AA118:AA123)</f>
        <v>15225579906</v>
      </c>
      <c r="AB134" s="505">
        <f>SUBTOTAL(9,AB118:AB123)</f>
        <v>14649959694</v>
      </c>
      <c r="AC134" s="505">
        <f>SUBTOTAL(9,AC118:AC123)</f>
        <v>7240954687.1199999</v>
      </c>
      <c r="AD134" s="505">
        <f>SUM(AB132-AC132)</f>
        <v>9643426783.75</v>
      </c>
      <c r="AE134" s="505">
        <f>SUM(AA132-AC132)</f>
        <v>9961580375.6399994</v>
      </c>
      <c r="AF134" s="505">
        <f>SUM(AB132-AC132)</f>
        <v>9643426783.75</v>
      </c>
      <c r="AG134" s="506">
        <f>SUM(AE131-AF131)</f>
        <v>842929692.29000092</v>
      </c>
      <c r="AH134" s="507"/>
      <c r="AI134" s="508"/>
      <c r="AJ134" s="509"/>
      <c r="AK134" s="395"/>
      <c r="AM134" s="469"/>
      <c r="AN134" s="453"/>
      <c r="AQ134" s="82"/>
      <c r="AR134" s="82"/>
      <c r="AS134" s="83"/>
      <c r="AV134" s="84"/>
    </row>
    <row r="135" spans="1:48" s="454" customFormat="1" x14ac:dyDescent="0.35">
      <c r="A135" s="76"/>
      <c r="B135" s="689"/>
      <c r="C135" s="689"/>
      <c r="D135" s="689"/>
      <c r="E135" s="689"/>
      <c r="F135" s="689"/>
      <c r="G135" s="689"/>
      <c r="H135" s="689"/>
      <c r="I135" s="689"/>
      <c r="J135" s="497"/>
      <c r="K135" s="510"/>
      <c r="L135" s="511"/>
      <c r="M135" s="512"/>
      <c r="N135" s="76"/>
      <c r="O135" s="461"/>
      <c r="P135" s="461"/>
      <c r="Q135" s="461"/>
      <c r="R135" s="513"/>
      <c r="S135" s="513"/>
      <c r="T135" s="513"/>
      <c r="U135" s="473"/>
      <c r="V135" s="473"/>
      <c r="W135" s="461"/>
      <c r="X135" s="461"/>
      <c r="Y135" s="514"/>
      <c r="Z135" s="461"/>
      <c r="AA135" s="504"/>
      <c r="AB135" s="505"/>
      <c r="AC135" s="505"/>
      <c r="AD135" s="505"/>
      <c r="AE135" s="505"/>
      <c r="AF135" s="505"/>
      <c r="AG135" s="515">
        <f>SUM(AA130-AF130)</f>
        <v>178394112.88999987</v>
      </c>
      <c r="AH135" s="507"/>
      <c r="AI135" s="508"/>
      <c r="AJ135" s="509"/>
      <c r="AK135" s="395"/>
      <c r="AM135" s="469"/>
      <c r="AN135" s="453"/>
      <c r="AQ135" s="82"/>
      <c r="AR135" s="82"/>
      <c r="AS135" s="83"/>
      <c r="AV135" s="84"/>
    </row>
    <row r="136" spans="1:48" s="454" customFormat="1" ht="24" thickBot="1" x14ac:dyDescent="0.4">
      <c r="A136" s="76"/>
      <c r="B136" s="689"/>
      <c r="C136" s="689"/>
      <c r="D136" s="689"/>
      <c r="E136" s="689"/>
      <c r="F136" s="689"/>
      <c r="G136" s="689"/>
      <c r="H136" s="689"/>
      <c r="I136" s="689"/>
      <c r="J136" s="497"/>
      <c r="K136" s="493"/>
      <c r="L136" s="494"/>
      <c r="M136" s="495"/>
      <c r="N136" s="496"/>
      <c r="O136" s="473"/>
      <c r="P136" s="473"/>
      <c r="Q136" s="473"/>
      <c r="R136" s="503"/>
      <c r="S136" s="503"/>
      <c r="T136" s="503"/>
      <c r="U136" s="473"/>
      <c r="V136" s="473"/>
      <c r="W136" s="473"/>
      <c r="X136" s="473"/>
      <c r="Y136" s="498"/>
      <c r="Z136" s="473"/>
      <c r="AA136" s="516" t="s">
        <v>398</v>
      </c>
      <c r="AB136" s="517"/>
      <c r="AC136" s="517"/>
      <c r="AD136" s="517"/>
      <c r="AE136" s="517">
        <f>SUM(AE132-AF132)</f>
        <v>891196100.18000221</v>
      </c>
      <c r="AF136" s="517">
        <f>SUM(AG136-AG132)</f>
        <v>2.0265579223632813E-6</v>
      </c>
      <c r="AG136" s="518">
        <f>SUM(AE132-AF132)</f>
        <v>891196100.18000221</v>
      </c>
      <c r="AH136" s="507"/>
      <c r="AI136" s="508"/>
      <c r="AJ136" s="509"/>
      <c r="AK136" s="395"/>
      <c r="AM136" s="469"/>
      <c r="AN136" s="453"/>
      <c r="AQ136" s="82"/>
      <c r="AR136" s="82"/>
      <c r="AS136" s="83"/>
      <c r="AV136" s="84"/>
    </row>
    <row r="137" spans="1:48" s="454" customFormat="1" ht="93" customHeight="1" x14ac:dyDescent="0.35">
      <c r="A137" s="76"/>
      <c r="B137" s="689"/>
      <c r="C137" s="689"/>
      <c r="D137" s="689"/>
      <c r="E137" s="689"/>
      <c r="F137" s="689"/>
      <c r="G137" s="689"/>
      <c r="H137" s="689"/>
      <c r="I137" s="689"/>
      <c r="J137" s="497"/>
      <c r="K137" s="493"/>
      <c r="L137" s="494"/>
      <c r="M137" s="495"/>
      <c r="N137" s="496"/>
      <c r="O137" s="473"/>
      <c r="P137" s="473"/>
      <c r="Q137" s="473"/>
      <c r="R137" s="473"/>
      <c r="S137" s="473"/>
      <c r="T137" s="473"/>
      <c r="U137" s="473"/>
      <c r="V137" s="473"/>
      <c r="W137" s="473"/>
      <c r="X137" s="473"/>
      <c r="Y137" s="498"/>
      <c r="Z137" s="473"/>
      <c r="AA137" s="461"/>
      <c r="AB137" s="519"/>
      <c r="AC137" s="520"/>
      <c r="AD137" s="461"/>
      <c r="AE137" s="520"/>
      <c r="AF137" s="461"/>
      <c r="AG137" s="461"/>
      <c r="AH137" s="521"/>
      <c r="AI137" s="482"/>
      <c r="AJ137" s="461"/>
      <c r="AK137" s="522"/>
      <c r="AM137" s="469"/>
      <c r="AN137" s="453"/>
      <c r="AQ137" s="82"/>
      <c r="AR137" s="82"/>
      <c r="AS137" s="83"/>
      <c r="AV137" s="84"/>
    </row>
    <row r="138" spans="1:48" s="454" customFormat="1" ht="58.15" customHeight="1" x14ac:dyDescent="0.35">
      <c r="A138" s="76"/>
      <c r="B138" s="689"/>
      <c r="C138" s="689"/>
      <c r="D138" s="689"/>
      <c r="E138" s="689"/>
      <c r="F138" s="689"/>
      <c r="G138" s="689"/>
      <c r="H138" s="689"/>
      <c r="I138" s="689"/>
      <c r="J138" s="500"/>
      <c r="K138" s="501"/>
      <c r="L138" s="442"/>
      <c r="M138" s="502"/>
      <c r="N138" s="460"/>
      <c r="O138" s="473"/>
      <c r="P138" s="473"/>
      <c r="Q138" s="473"/>
      <c r="R138" s="473"/>
      <c r="S138" s="473"/>
      <c r="T138" s="473"/>
      <c r="U138" s="473"/>
      <c r="V138" s="473"/>
      <c r="W138" s="473"/>
      <c r="X138" s="473"/>
      <c r="Y138" s="498"/>
      <c r="Z138" s="523"/>
      <c r="AA138" s="524"/>
      <c r="AB138" s="524"/>
      <c r="AC138" s="525"/>
      <c r="AD138" s="525"/>
      <c r="AE138" s="525"/>
      <c r="AF138" s="525"/>
      <c r="AG138" s="525"/>
      <c r="AH138" s="521"/>
      <c r="AI138" s="482"/>
      <c r="AJ138" s="128"/>
      <c r="AK138" s="526"/>
      <c r="AL138" s="128"/>
      <c r="AM138" s="759"/>
      <c r="AN138" s="453"/>
      <c r="AQ138" s="82"/>
      <c r="AR138" s="82"/>
      <c r="AS138" s="83"/>
      <c r="AV138" s="84"/>
    </row>
    <row r="139" spans="1:48" s="454" customFormat="1" ht="31.9" customHeight="1" x14ac:dyDescent="0.35">
      <c r="A139" s="76"/>
      <c r="B139" s="689"/>
      <c r="C139" s="689"/>
      <c r="D139" s="689"/>
      <c r="E139" s="689"/>
      <c r="F139" s="689"/>
      <c r="G139" s="689"/>
      <c r="H139" s="689"/>
      <c r="I139" s="689"/>
      <c r="J139" s="497"/>
      <c r="K139" s="510"/>
      <c r="L139" s="511"/>
      <c r="M139" s="512"/>
      <c r="N139" s="76"/>
      <c r="O139" s="461"/>
      <c r="P139" s="461"/>
      <c r="Q139" s="461"/>
      <c r="R139" s="513"/>
      <c r="S139" s="513"/>
      <c r="T139" s="513"/>
      <c r="U139" s="461"/>
      <c r="V139" s="461"/>
      <c r="W139" s="461"/>
      <c r="X139" s="461"/>
      <c r="Y139" s="514"/>
      <c r="Z139" s="527"/>
      <c r="AA139" s="528"/>
      <c r="AB139" s="528"/>
      <c r="AC139" s="528"/>
      <c r="AD139" s="528"/>
      <c r="AE139" s="528"/>
      <c r="AF139" s="760"/>
      <c r="AG139" s="761"/>
      <c r="AH139" s="529"/>
      <c r="AI139" s="530"/>
      <c r="AJ139" s="530"/>
      <c r="AK139" s="526"/>
      <c r="AL139" s="531"/>
      <c r="AM139" s="759"/>
      <c r="AN139" s="453"/>
      <c r="AQ139" s="82"/>
      <c r="AR139" s="82"/>
      <c r="AS139" s="83"/>
      <c r="AV139" s="84"/>
    </row>
    <row r="140" spans="1:48" s="454" customFormat="1" ht="51" customHeight="1" x14ac:dyDescent="0.4">
      <c r="A140" s="76"/>
      <c r="B140" s="689"/>
      <c r="C140" s="689"/>
      <c r="D140" s="689"/>
      <c r="E140" s="689"/>
      <c r="F140" s="689"/>
      <c r="G140" s="689"/>
      <c r="H140" s="689"/>
      <c r="I140" s="689"/>
      <c r="J140" s="500"/>
      <c r="K140" s="501"/>
      <c r="L140" s="442"/>
      <c r="M140" s="502"/>
      <c r="N140" s="460"/>
      <c r="O140" s="473"/>
      <c r="P140" s="473"/>
      <c r="Q140" s="473"/>
      <c r="R140" s="503"/>
      <c r="S140" s="503"/>
      <c r="T140" s="503"/>
      <c r="U140" s="473"/>
      <c r="V140" s="473"/>
      <c r="W140" s="473"/>
      <c r="X140" s="473"/>
      <c r="Y140" s="498"/>
      <c r="Z140" s="523"/>
      <c r="AA140" s="532"/>
      <c r="AB140" s="532"/>
      <c r="AC140" s="533"/>
      <c r="AD140" s="533"/>
      <c r="AE140" s="533"/>
      <c r="AF140" s="533"/>
      <c r="AG140" s="533"/>
      <c r="AH140" s="507"/>
      <c r="AI140" s="534"/>
      <c r="AJ140" s="535"/>
      <c r="AK140" s="209"/>
      <c r="AL140" s="535"/>
      <c r="AM140" s="536"/>
      <c r="AN140" s="453"/>
      <c r="AQ140" s="82"/>
      <c r="AR140" s="82"/>
      <c r="AS140" s="83"/>
      <c r="AV140" s="84"/>
    </row>
    <row r="141" spans="1:48" s="454" customFormat="1" ht="42.75" customHeight="1" x14ac:dyDescent="0.4">
      <c r="A141" s="76"/>
      <c r="B141" s="689"/>
      <c r="C141" s="689"/>
      <c r="D141" s="689"/>
      <c r="E141" s="689"/>
      <c r="F141" s="689"/>
      <c r="G141" s="689"/>
      <c r="H141" s="689"/>
      <c r="I141" s="689"/>
      <c r="J141" s="76"/>
      <c r="K141" s="76"/>
      <c r="L141" s="76"/>
      <c r="M141" s="76"/>
      <c r="N141" s="76"/>
      <c r="O141" s="128"/>
      <c r="P141" s="128"/>
      <c r="Q141" s="128"/>
      <c r="R141" s="537"/>
      <c r="S141" s="537"/>
      <c r="T141" s="537"/>
      <c r="U141" s="128"/>
      <c r="V141" s="128"/>
      <c r="W141" s="128"/>
      <c r="X141" s="128"/>
      <c r="Y141" s="538"/>
      <c r="Z141" s="539"/>
      <c r="AA141" s="532"/>
      <c r="AB141" s="532"/>
      <c r="AC141" s="532"/>
      <c r="AD141" s="532"/>
      <c r="AE141" s="532"/>
      <c r="AF141" s="762"/>
      <c r="AG141" s="763"/>
      <c r="AH141" s="540"/>
      <c r="AI141" s="534"/>
      <c r="AJ141" s="535"/>
      <c r="AK141" s="209"/>
      <c r="AL141" s="535"/>
      <c r="AM141" s="536"/>
      <c r="AN141" s="453"/>
      <c r="AQ141" s="82"/>
      <c r="AR141" s="82"/>
      <c r="AS141" s="83"/>
      <c r="AV141" s="84"/>
    </row>
    <row r="142" spans="1:48" x14ac:dyDescent="0.35">
      <c r="P142" s="496">
        <f>SUM(Q140-P140)</f>
        <v>0</v>
      </c>
      <c r="Z142" s="473"/>
      <c r="AA142" s="541"/>
      <c r="AB142" s="541"/>
      <c r="AC142" s="542"/>
      <c r="AD142" s="542"/>
      <c r="AE142" s="542"/>
      <c r="AF142" s="542"/>
      <c r="AG142" s="542"/>
      <c r="AH142" s="507"/>
      <c r="AI142" s="534"/>
      <c r="AJ142" s="535"/>
      <c r="AK142" s="209"/>
      <c r="AL142" s="535"/>
      <c r="AM142" s="536"/>
    </row>
    <row r="143" spans="1:48" x14ac:dyDescent="0.35">
      <c r="E143" s="690"/>
      <c r="AC143" s="543"/>
      <c r="AD143" s="543"/>
      <c r="AE143" s="543"/>
      <c r="AF143" s="543"/>
      <c r="AG143" s="543"/>
      <c r="AK143" s="544"/>
    </row>
    <row r="144" spans="1:48" x14ac:dyDescent="0.35">
      <c r="AE144" s="77"/>
      <c r="AG144" s="77"/>
    </row>
    <row r="145" spans="29:32" x14ac:dyDescent="0.35">
      <c r="AC145" s="77"/>
    </row>
    <row r="146" spans="29:32" x14ac:dyDescent="0.35">
      <c r="AE146" s="77"/>
    </row>
    <row r="147" spans="29:32" x14ac:dyDescent="0.35">
      <c r="AF147" s="77"/>
    </row>
  </sheetData>
  <autoFilter ref="A5:WXD5">
    <filterColumn colId="42" showButton="0"/>
  </autoFilter>
  <mergeCells count="22">
    <mergeCell ref="B117:J117"/>
    <mergeCell ref="A1:AB1"/>
    <mergeCell ref="A2:AB2"/>
    <mergeCell ref="B3:I3"/>
    <mergeCell ref="K4:K5"/>
    <mergeCell ref="L4:L5"/>
    <mergeCell ref="M4:M5"/>
    <mergeCell ref="AB4:AF4"/>
    <mergeCell ref="AM4:AM5"/>
    <mergeCell ref="AQ5:AR5"/>
    <mergeCell ref="B110:I112"/>
    <mergeCell ref="M110:M112"/>
    <mergeCell ref="B114:J114"/>
    <mergeCell ref="AM138:AM139"/>
    <mergeCell ref="AF139:AG139"/>
    <mergeCell ref="AF141:AG141"/>
    <mergeCell ref="X128:AH128"/>
    <mergeCell ref="X129:Z129"/>
    <mergeCell ref="X130:Z130"/>
    <mergeCell ref="X131:Z131"/>
    <mergeCell ref="X132:Z132"/>
    <mergeCell ref="AA133:AG133"/>
  </mergeCells>
  <pageMargins left="1.299212598425197" right="0" top="0.39370078740157483" bottom="0" header="0.78740157480314965" footer="0.78740157480314965"/>
  <pageSetup scale="60" orientation="landscape" horizontalDpi="4294967294" verticalDpi="4294967294" r:id="rId1"/>
  <headerFooter alignWithMargins="0"/>
  <rowBreaks count="1" manualBreakCount="1">
    <brk id="136" max="16383" man="1"/>
  </rowBreaks>
  <colBreaks count="1" manualBreakCount="1">
    <brk id="39" max="126"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02"/>
  <sheetViews>
    <sheetView tabSelected="1" zoomScale="25" zoomScaleNormal="25" zoomScaleSheetLayoutView="10" workbookViewId="0">
      <selection activeCell="T144" sqref="T144"/>
    </sheetView>
  </sheetViews>
  <sheetFormatPr baseColWidth="10" defaultRowHeight="21" x14ac:dyDescent="0.35"/>
  <cols>
    <col min="1" max="1" width="12.7265625" customWidth="1"/>
    <col min="2" max="2" width="20.453125" customWidth="1"/>
    <col min="3" max="3" width="31.90625" customWidth="1"/>
    <col min="4" max="4" width="37.54296875" customWidth="1"/>
    <col min="5" max="5" width="73.17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48.54296875" customWidth="1"/>
    <col min="15" max="15" width="12" customWidth="1"/>
    <col min="16" max="16" width="18.54296875" customWidth="1"/>
    <col min="17" max="17" width="36.81640625" customWidth="1"/>
    <col min="18" max="18" width="3.90625" style="639" customWidth="1"/>
    <col min="19" max="19" width="13.7265625" customWidth="1"/>
    <col min="20" max="20" width="31.08984375" customWidth="1"/>
    <col min="21" max="21" width="22" customWidth="1"/>
    <col min="22" max="22" width="52.7265625" customWidth="1"/>
    <col min="23" max="23" width="25.6328125" customWidth="1"/>
    <col min="24" max="24" width="46.453125" customWidth="1"/>
    <col min="25" max="25" width="35.6328125" customWidth="1"/>
    <col min="26" max="26" width="44.36328125" customWidth="1"/>
    <col min="27" max="27" width="57.1796875" customWidth="1"/>
    <col min="28" max="28" width="31.453125" customWidth="1"/>
    <col min="29" max="29" width="35.269531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7"/>
      <c r="N1" s="8"/>
      <c r="O1" s="4"/>
      <c r="P1" s="4"/>
      <c r="Q1" s="4"/>
      <c r="R1" s="9"/>
      <c r="S1" s="10"/>
      <c r="T1" s="11"/>
      <c r="U1" s="12"/>
      <c r="V1" s="13"/>
      <c r="W1" s="13"/>
      <c r="X1" s="13"/>
      <c r="Y1" s="14"/>
      <c r="Z1" s="15"/>
      <c r="AA1" s="13"/>
      <c r="AB1" s="13"/>
      <c r="AC1" s="13"/>
      <c r="AD1" s="13"/>
      <c r="AE1" s="13"/>
      <c r="AF1" s="13"/>
      <c r="AG1" s="16"/>
    </row>
    <row r="2" spans="1:33" ht="46.5" x14ac:dyDescent="0.7">
      <c r="A2" s="17"/>
      <c r="B2" s="18"/>
      <c r="C2" s="802" t="s">
        <v>0</v>
      </c>
      <c r="D2" s="802"/>
      <c r="E2" s="802"/>
      <c r="F2" s="802"/>
      <c r="G2" s="802"/>
      <c r="H2" s="802"/>
      <c r="I2" s="802"/>
      <c r="J2" s="802"/>
      <c r="K2" s="802"/>
      <c r="L2" s="802"/>
      <c r="M2" s="802"/>
      <c r="N2" s="802"/>
      <c r="O2" s="802"/>
      <c r="P2" s="802"/>
      <c r="Q2" s="802"/>
      <c r="R2" s="19"/>
      <c r="S2" s="10"/>
      <c r="T2" s="11"/>
      <c r="U2" s="12"/>
      <c r="V2" s="13"/>
      <c r="W2" s="13"/>
      <c r="X2" s="13"/>
      <c r="Y2" s="14"/>
      <c r="Z2" s="15"/>
      <c r="AA2" s="13"/>
      <c r="AB2" s="13"/>
      <c r="AC2" s="13"/>
      <c r="AD2" s="13"/>
      <c r="AE2" s="13"/>
      <c r="AF2" s="13"/>
      <c r="AG2" s="16"/>
    </row>
    <row r="3" spans="1:33" ht="46.5" x14ac:dyDescent="0.4">
      <c r="A3" s="1"/>
      <c r="B3" s="2"/>
      <c r="C3" s="3"/>
      <c r="D3" s="20"/>
      <c r="E3" s="21"/>
      <c r="F3" s="4"/>
      <c r="G3" s="4"/>
      <c r="H3" s="4"/>
      <c r="I3" s="4"/>
      <c r="J3" s="4"/>
      <c r="K3" s="6"/>
      <c r="L3" s="4"/>
      <c r="M3" s="7"/>
      <c r="N3" s="8"/>
      <c r="O3" s="4"/>
      <c r="P3" s="4"/>
      <c r="Q3" s="4"/>
      <c r="R3" s="9"/>
      <c r="S3" s="10"/>
      <c r="T3" s="11"/>
      <c r="U3" s="12"/>
      <c r="V3" s="13"/>
      <c r="W3" s="13"/>
      <c r="X3" s="13"/>
      <c r="Y3" s="14"/>
      <c r="Z3" s="15"/>
      <c r="AA3" s="13"/>
      <c r="AB3" s="13"/>
      <c r="AC3" s="13"/>
      <c r="AD3" s="13"/>
      <c r="AE3" s="13"/>
      <c r="AF3" s="13"/>
      <c r="AG3" s="16"/>
    </row>
    <row r="4" spans="1:33" ht="46.5" x14ac:dyDescent="0.4">
      <c r="A4" s="1"/>
      <c r="B4" s="2"/>
      <c r="C4" s="3"/>
      <c r="D4" s="803" t="s">
        <v>1</v>
      </c>
      <c r="E4" s="803"/>
      <c r="F4" s="4"/>
      <c r="G4" s="4"/>
      <c r="H4" s="4"/>
      <c r="I4" s="4"/>
      <c r="J4" s="4"/>
      <c r="K4" s="6"/>
      <c r="L4" s="4"/>
      <c r="M4" s="7"/>
      <c r="N4" s="8"/>
      <c r="O4" s="4"/>
      <c r="P4" s="4"/>
      <c r="Q4" s="4"/>
      <c r="R4" s="9"/>
      <c r="S4" s="10"/>
      <c r="T4" s="11"/>
      <c r="U4" s="12"/>
      <c r="V4" s="13"/>
      <c r="W4" s="13"/>
      <c r="X4" s="13"/>
      <c r="Y4" s="14"/>
      <c r="Z4" s="15"/>
      <c r="AA4" s="13"/>
      <c r="AB4" s="13"/>
      <c r="AC4" s="13"/>
      <c r="AD4" s="13"/>
      <c r="AE4" s="13"/>
      <c r="AF4" s="13"/>
      <c r="AG4" s="16"/>
    </row>
    <row r="5" spans="1:33" ht="46.5" x14ac:dyDescent="0.4">
      <c r="A5" s="22"/>
      <c r="B5" s="23"/>
      <c r="C5" s="24"/>
      <c r="D5" s="25" t="s">
        <v>2</v>
      </c>
      <c r="E5" s="804" t="s">
        <v>3</v>
      </c>
      <c r="F5" s="804"/>
      <c r="G5" s="4"/>
      <c r="H5" s="10"/>
      <c r="I5" s="10"/>
      <c r="J5" s="805" t="s">
        <v>4</v>
      </c>
      <c r="K5" s="805"/>
      <c r="L5" s="805"/>
      <c r="M5" s="805"/>
      <c r="N5" s="805"/>
      <c r="O5" s="10"/>
      <c r="P5" s="10"/>
      <c r="Q5" s="10"/>
      <c r="R5" s="26"/>
      <c r="S5" s="10"/>
      <c r="T5" s="11"/>
      <c r="U5" s="12"/>
      <c r="V5" s="13"/>
      <c r="W5" s="13"/>
      <c r="X5" s="13"/>
      <c r="Y5" s="14"/>
      <c r="Z5" s="15"/>
      <c r="AA5" s="13"/>
      <c r="AB5" s="13"/>
      <c r="AC5" s="13"/>
      <c r="AD5" s="13"/>
      <c r="AE5" s="13"/>
      <c r="AF5" s="13"/>
      <c r="AG5" s="16"/>
    </row>
    <row r="6" spans="1:33" ht="46.5" x14ac:dyDescent="0.4">
      <c r="A6" s="22"/>
      <c r="B6" s="23"/>
      <c r="C6" s="24"/>
      <c r="D6" s="27" t="s">
        <v>5</v>
      </c>
      <c r="E6" s="804" t="s">
        <v>6</v>
      </c>
      <c r="F6" s="804"/>
      <c r="G6" s="4"/>
      <c r="H6" s="10"/>
      <c r="I6" s="10"/>
      <c r="J6" s="805"/>
      <c r="K6" s="805"/>
      <c r="L6" s="805"/>
      <c r="M6" s="805"/>
      <c r="N6" s="805"/>
      <c r="O6" s="10"/>
      <c r="P6" s="10"/>
      <c r="Q6" s="10"/>
      <c r="R6" s="26"/>
      <c r="S6" s="10"/>
      <c r="T6" s="11"/>
      <c r="U6" s="12"/>
      <c r="V6" s="13"/>
      <c r="W6" s="13"/>
      <c r="X6" s="13"/>
      <c r="Y6" s="14"/>
      <c r="Z6" s="15"/>
      <c r="AA6" s="13"/>
      <c r="AB6" s="13"/>
      <c r="AC6" s="13"/>
      <c r="AD6" s="13"/>
      <c r="AE6" s="13"/>
      <c r="AF6" s="13"/>
      <c r="AG6" s="16"/>
    </row>
    <row r="7" spans="1:33" ht="46.5" x14ac:dyDescent="0.4">
      <c r="A7" s="22"/>
      <c r="B7" s="23"/>
      <c r="C7" s="24"/>
      <c r="D7" s="27" t="s">
        <v>7</v>
      </c>
      <c r="E7" s="806">
        <v>7395656</v>
      </c>
      <c r="F7" s="806"/>
      <c r="G7" s="28"/>
      <c r="H7" s="10"/>
      <c r="I7" s="10"/>
      <c r="J7" s="805"/>
      <c r="K7" s="805"/>
      <c r="L7" s="805"/>
      <c r="M7" s="805"/>
      <c r="N7" s="805"/>
      <c r="O7" s="10"/>
      <c r="P7" s="10"/>
      <c r="Q7" s="10"/>
      <c r="R7" s="26"/>
      <c r="S7" s="10"/>
      <c r="T7" s="11"/>
      <c r="U7" s="12" t="s">
        <v>8</v>
      </c>
      <c r="V7" s="13"/>
      <c r="W7" s="13"/>
      <c r="X7" s="13"/>
      <c r="Y7" s="14"/>
      <c r="Z7" s="15"/>
      <c r="AA7" s="13"/>
      <c r="AB7" s="13"/>
      <c r="AC7" s="13"/>
      <c r="AD7" s="13"/>
      <c r="AE7" s="13"/>
      <c r="AF7" s="13"/>
      <c r="AG7" s="16"/>
    </row>
    <row r="8" spans="1:33" ht="46.5" x14ac:dyDescent="0.4">
      <c r="A8" s="22"/>
      <c r="B8" s="23"/>
      <c r="C8" s="24"/>
      <c r="D8" s="27" t="s">
        <v>9</v>
      </c>
      <c r="E8" s="807" t="s">
        <v>10</v>
      </c>
      <c r="F8" s="807"/>
      <c r="G8" s="29"/>
      <c r="H8" s="10"/>
      <c r="I8" s="10"/>
      <c r="J8" s="805"/>
      <c r="K8" s="805"/>
      <c r="L8" s="805"/>
      <c r="M8" s="805"/>
      <c r="N8" s="805"/>
      <c r="O8" s="10"/>
      <c r="P8" s="10"/>
      <c r="Q8" s="10"/>
      <c r="R8" s="26"/>
      <c r="S8" s="10"/>
      <c r="T8" s="11"/>
      <c r="U8" s="12"/>
      <c r="V8" s="13"/>
      <c r="W8" s="13"/>
      <c r="X8" s="13"/>
      <c r="Y8" s="14"/>
      <c r="Z8" s="15"/>
      <c r="AA8" s="13"/>
      <c r="AB8" s="13"/>
      <c r="AC8" s="13"/>
      <c r="AD8" s="13"/>
      <c r="AE8" s="13"/>
      <c r="AF8" s="13"/>
      <c r="AG8" s="16"/>
    </row>
    <row r="9" spans="1:33" ht="46.5" x14ac:dyDescent="0.35">
      <c r="A9" s="22"/>
      <c r="B9" s="23"/>
      <c r="C9" s="24"/>
      <c r="D9" s="27" t="s">
        <v>11</v>
      </c>
      <c r="E9" s="804" t="s">
        <v>12</v>
      </c>
      <c r="F9" s="804"/>
      <c r="G9" s="4"/>
      <c r="H9" s="10"/>
      <c r="I9" s="10"/>
      <c r="J9" s="805"/>
      <c r="K9" s="805"/>
      <c r="L9" s="805"/>
      <c r="M9" s="805"/>
      <c r="N9" s="805"/>
      <c r="O9" s="10"/>
      <c r="P9" s="10"/>
      <c r="Q9" s="10"/>
      <c r="R9" s="26"/>
      <c r="S9" s="30" t="s">
        <v>13</v>
      </c>
      <c r="T9" s="31" t="s">
        <v>14</v>
      </c>
      <c r="U9" s="30" t="s">
        <v>15</v>
      </c>
      <c r="V9" s="30" t="s">
        <v>16</v>
      </c>
      <c r="W9" s="13"/>
      <c r="X9" s="13"/>
      <c r="Y9" s="14"/>
      <c r="Z9" s="15"/>
      <c r="AA9" s="13"/>
      <c r="AB9" s="13"/>
      <c r="AC9" s="13"/>
      <c r="AD9" s="13"/>
      <c r="AE9" s="13"/>
      <c r="AF9" s="13"/>
      <c r="AG9" s="16"/>
    </row>
    <row r="10" spans="1:33" ht="46.5" x14ac:dyDescent="0.45">
      <c r="A10" s="22"/>
      <c r="B10" s="23"/>
      <c r="C10" s="24"/>
      <c r="D10" s="27" t="s">
        <v>17</v>
      </c>
      <c r="E10" s="808" t="s">
        <v>18</v>
      </c>
      <c r="F10" s="808"/>
      <c r="G10" s="32"/>
      <c r="H10" s="10"/>
      <c r="I10" s="10"/>
      <c r="J10" s="33"/>
      <c r="K10" s="33"/>
      <c r="L10" s="33"/>
      <c r="M10" s="34"/>
      <c r="N10" s="35"/>
      <c r="O10" s="10"/>
      <c r="P10" s="10"/>
      <c r="Q10" s="10"/>
      <c r="R10" s="26"/>
      <c r="S10" s="36" t="s">
        <v>19</v>
      </c>
      <c r="T10" s="37" t="e">
        <f>SUM(#REF!)</f>
        <v>#REF!</v>
      </c>
      <c r="U10" s="38" t="e">
        <f>SUM(#REF!)</f>
        <v>#REF!</v>
      </c>
      <c r="V10" s="38" t="e">
        <f>SUM(#REF!)</f>
        <v>#REF!</v>
      </c>
      <c r="W10" s="13"/>
      <c r="X10" s="13"/>
      <c r="Y10" s="14"/>
      <c r="Z10" s="15"/>
      <c r="AA10" s="13"/>
      <c r="AB10" s="13"/>
      <c r="AC10" s="13"/>
      <c r="AD10" s="13"/>
      <c r="AE10" s="13"/>
      <c r="AF10" s="13"/>
      <c r="AG10" s="16"/>
    </row>
    <row r="11" spans="1:33" ht="46.5" x14ac:dyDescent="0.45">
      <c r="A11" s="22"/>
      <c r="B11" s="23"/>
      <c r="C11" s="24"/>
      <c r="D11" s="27" t="s">
        <v>20</v>
      </c>
      <c r="E11" s="809" t="s">
        <v>21</v>
      </c>
      <c r="F11" s="810"/>
      <c r="G11" s="4"/>
      <c r="H11" s="10"/>
      <c r="I11" s="10"/>
      <c r="J11" s="811" t="s">
        <v>22</v>
      </c>
      <c r="K11" s="812"/>
      <c r="L11" s="812"/>
      <c r="M11" s="812"/>
      <c r="N11" s="813"/>
      <c r="O11" s="10"/>
      <c r="P11" s="10"/>
      <c r="Q11" s="10"/>
      <c r="R11" s="26"/>
      <c r="S11" s="36" t="s">
        <v>23</v>
      </c>
      <c r="T11" s="37" t="e">
        <f>SUM(#REF!)</f>
        <v>#REF!</v>
      </c>
      <c r="U11" s="38" t="e">
        <f>SUM(#REF!)</f>
        <v>#REF!</v>
      </c>
      <c r="V11" s="38" t="e">
        <f>SUM(#REF!)</f>
        <v>#REF!</v>
      </c>
      <c r="W11" s="13"/>
      <c r="X11" s="13"/>
      <c r="Y11" s="14"/>
      <c r="Z11" s="15"/>
      <c r="AA11" s="13"/>
      <c r="AB11" s="13"/>
      <c r="AC11" s="13"/>
      <c r="AD11" s="13"/>
      <c r="AE11" s="13"/>
      <c r="AF11" s="13"/>
      <c r="AG11" s="16"/>
    </row>
    <row r="12" spans="1:33" ht="46.5" x14ac:dyDescent="0.45">
      <c r="A12" s="22"/>
      <c r="B12" s="23"/>
      <c r="C12" s="24"/>
      <c r="D12" s="27" t="s">
        <v>24</v>
      </c>
      <c r="E12" s="820">
        <f>SUM(N18)</f>
        <v>17703517015.463413</v>
      </c>
      <c r="F12" s="821"/>
      <c r="G12" s="39"/>
      <c r="H12" s="10"/>
      <c r="I12" s="10"/>
      <c r="J12" s="814"/>
      <c r="K12" s="815"/>
      <c r="L12" s="815"/>
      <c r="M12" s="815"/>
      <c r="N12" s="816"/>
      <c r="O12" s="10"/>
      <c r="P12" s="10"/>
      <c r="Q12" s="10"/>
      <c r="R12" s="26"/>
      <c r="S12" s="40" t="s">
        <v>25</v>
      </c>
      <c r="T12" s="41" t="e">
        <f>SUM(T10:T11)</f>
        <v>#REF!</v>
      </c>
      <c r="U12" s="41" t="e">
        <f>SUM(U10:U11)</f>
        <v>#REF!</v>
      </c>
      <c r="V12" s="41" t="e">
        <f>SUM(V10:V11)</f>
        <v>#REF!</v>
      </c>
      <c r="W12" s="13"/>
      <c r="X12" s="13"/>
      <c r="Y12" s="14"/>
      <c r="Z12" s="15"/>
      <c r="AA12" s="13"/>
      <c r="AB12" s="13"/>
      <c r="AC12" s="13"/>
      <c r="AD12" s="13"/>
      <c r="AE12" s="13"/>
      <c r="AF12" s="13"/>
      <c r="AG12" s="16"/>
    </row>
    <row r="13" spans="1:33" ht="46.5" x14ac:dyDescent="0.4">
      <c r="A13" s="22"/>
      <c r="B13" s="23"/>
      <c r="C13" s="24"/>
      <c r="D13" s="27" t="s">
        <v>26</v>
      </c>
      <c r="E13" s="822" t="s">
        <v>27</v>
      </c>
      <c r="F13" s="822"/>
      <c r="G13" s="42"/>
      <c r="H13" s="10"/>
      <c r="I13" s="10"/>
      <c r="J13" s="814"/>
      <c r="K13" s="815"/>
      <c r="L13" s="815"/>
      <c r="M13" s="815"/>
      <c r="N13" s="816"/>
      <c r="O13" s="10"/>
      <c r="P13" s="10"/>
      <c r="Q13" s="6"/>
      <c r="R13" s="26"/>
      <c r="S13" s="43"/>
      <c r="T13" s="44"/>
      <c r="U13" s="44" t="s">
        <v>28</v>
      </c>
      <c r="V13" s="45" t="e">
        <f>SUM(T10-U10)</f>
        <v>#REF!</v>
      </c>
      <c r="W13" s="13"/>
      <c r="X13" s="13"/>
      <c r="Y13" s="14"/>
      <c r="Z13" s="15"/>
      <c r="AA13" s="13"/>
      <c r="AB13" s="13"/>
      <c r="AC13" s="13"/>
      <c r="AD13" s="13"/>
      <c r="AE13" s="13"/>
      <c r="AF13" s="13"/>
      <c r="AG13" s="16"/>
    </row>
    <row r="14" spans="1:33" ht="46.5" x14ac:dyDescent="0.4">
      <c r="A14" s="22"/>
      <c r="B14" s="23"/>
      <c r="C14" s="24"/>
      <c r="D14" s="27" t="s">
        <v>29</v>
      </c>
      <c r="E14" s="823" t="s">
        <v>30</v>
      </c>
      <c r="F14" s="823"/>
      <c r="G14" s="42"/>
      <c r="H14" s="10"/>
      <c r="I14" s="10"/>
      <c r="J14" s="814"/>
      <c r="K14" s="815"/>
      <c r="L14" s="815"/>
      <c r="M14" s="815"/>
      <c r="N14" s="816"/>
      <c r="O14" s="10"/>
      <c r="P14" s="10"/>
      <c r="Q14" s="10"/>
      <c r="R14" s="26"/>
      <c r="S14" s="43"/>
      <c r="T14" s="44"/>
      <c r="U14" s="44" t="s">
        <v>28</v>
      </c>
      <c r="V14" s="45" t="e">
        <f>SUM(T11-U11)</f>
        <v>#REF!</v>
      </c>
      <c r="W14" s="13"/>
      <c r="X14" s="46"/>
      <c r="Y14" s="14"/>
      <c r="Z14" s="15"/>
      <c r="AA14" s="13"/>
      <c r="AB14" s="13"/>
      <c r="AC14" s="13"/>
      <c r="AD14" s="13"/>
      <c r="AE14" s="13"/>
      <c r="AF14" s="13"/>
      <c r="AG14" s="16"/>
    </row>
    <row r="15" spans="1:33" ht="47.25" thickBot="1" x14ac:dyDescent="0.45">
      <c r="A15" s="22"/>
      <c r="B15" s="23"/>
      <c r="C15" s="24"/>
      <c r="D15" s="47" t="s">
        <v>31</v>
      </c>
      <c r="E15" s="824">
        <v>43566</v>
      </c>
      <c r="F15" s="825"/>
      <c r="G15" s="48"/>
      <c r="H15" s="10"/>
      <c r="I15" s="10"/>
      <c r="J15" s="817"/>
      <c r="K15" s="818"/>
      <c r="L15" s="818"/>
      <c r="M15" s="818"/>
      <c r="N15" s="819"/>
      <c r="O15" s="10"/>
      <c r="P15" s="49"/>
      <c r="Q15" s="10"/>
      <c r="R15" s="26"/>
      <c r="S15" s="43"/>
      <c r="T15" s="44"/>
      <c r="U15" s="44" t="s">
        <v>28</v>
      </c>
      <c r="V15" s="45" t="e">
        <f>SUM(T12-U12)</f>
        <v>#REF!</v>
      </c>
      <c r="W15" s="13"/>
      <c r="X15" s="13"/>
      <c r="Y15" s="14"/>
      <c r="Z15" s="15"/>
      <c r="AA15" s="13"/>
      <c r="AB15" s="13"/>
      <c r="AC15" s="13"/>
      <c r="AD15" s="13"/>
      <c r="AE15" s="13"/>
      <c r="AF15" s="13"/>
      <c r="AG15" s="16"/>
    </row>
    <row r="16" spans="1:33" ht="46.5" x14ac:dyDescent="0.4">
      <c r="A16" s="22"/>
      <c r="B16" s="23"/>
      <c r="C16" s="24"/>
      <c r="D16" s="4"/>
      <c r="E16" s="50"/>
      <c r="F16" s="51"/>
      <c r="G16" s="51"/>
      <c r="H16" s="10"/>
      <c r="I16" s="10"/>
      <c r="J16" s="6"/>
      <c r="K16" s="52"/>
      <c r="L16" s="53"/>
      <c r="M16" s="54"/>
      <c r="N16" s="55"/>
      <c r="O16" s="10"/>
      <c r="P16" s="10"/>
      <c r="Q16" s="56"/>
      <c r="R16" s="57"/>
      <c r="S16" s="10"/>
      <c r="T16" s="11"/>
      <c r="U16" s="12"/>
      <c r="V16" s="13"/>
      <c r="W16" s="13"/>
      <c r="X16" s="58"/>
      <c r="Y16" s="14"/>
      <c r="Z16" s="15"/>
      <c r="AA16" s="13"/>
      <c r="AB16" s="13"/>
      <c r="AC16" s="13"/>
      <c r="AD16" s="13"/>
      <c r="AE16" s="13"/>
      <c r="AF16" s="13"/>
      <c r="AG16" s="16"/>
    </row>
    <row r="17" spans="1:33" ht="62.25" thickBot="1" x14ac:dyDescent="0.45">
      <c r="A17" s="22"/>
      <c r="B17" s="23"/>
      <c r="C17" s="24"/>
      <c r="D17" s="827" t="s">
        <v>32</v>
      </c>
      <c r="E17" s="827"/>
      <c r="F17" s="10"/>
      <c r="G17" s="59"/>
      <c r="H17" s="828"/>
      <c r="I17" s="828"/>
      <c r="J17" s="10"/>
      <c r="K17" s="59"/>
      <c r="L17" s="741"/>
      <c r="M17" s="60" t="s">
        <v>33</v>
      </c>
      <c r="N17" s="61" t="s">
        <v>34</v>
      </c>
      <c r="O17" s="10"/>
      <c r="P17" s="10"/>
      <c r="Q17" s="62"/>
      <c r="R17" s="63"/>
      <c r="S17" s="10"/>
      <c r="T17" s="64"/>
      <c r="U17" s="12"/>
      <c r="V17" s="13"/>
      <c r="W17" s="13"/>
      <c r="X17" s="65"/>
      <c r="Y17" s="66"/>
      <c r="Z17" s="67" t="s">
        <v>35</v>
      </c>
      <c r="AA17" s="13"/>
      <c r="AB17" s="13"/>
      <c r="AC17" s="13"/>
      <c r="AD17" s="13"/>
      <c r="AE17" s="13"/>
      <c r="AF17" s="13"/>
      <c r="AG17" s="16"/>
    </row>
    <row r="18" spans="1:33" ht="46.5" x14ac:dyDescent="0.4">
      <c r="A18" s="22"/>
      <c r="B18" s="23"/>
      <c r="C18" s="24"/>
      <c r="D18" s="20"/>
      <c r="E18" s="68"/>
      <c r="F18" s="10"/>
      <c r="G18" s="69"/>
      <c r="H18" s="829"/>
      <c r="I18" s="829"/>
      <c r="J18" s="10"/>
      <c r="K18" s="69"/>
      <c r="L18" s="742"/>
      <c r="M18" s="70">
        <f>SUBTOTAL(9,M20:M271)</f>
        <v>19417053674</v>
      </c>
      <c r="N18" s="70">
        <f>SUBTOTAL(9,N20:N271)</f>
        <v>17703517015.463413</v>
      </c>
      <c r="O18" s="70"/>
      <c r="P18" s="10"/>
      <c r="Q18" s="10"/>
      <c r="R18" s="26"/>
      <c r="S18" s="10"/>
      <c r="T18" s="11"/>
      <c r="U18" s="12"/>
      <c r="V18" s="13"/>
      <c r="W18" s="13"/>
      <c r="X18" s="70">
        <f>SUBTOTAL(9,X20:X268)</f>
        <v>8003490231.71</v>
      </c>
      <c r="Y18" s="70">
        <f>SUBTOTAL(9,Y20:Y268)</f>
        <v>0</v>
      </c>
      <c r="Z18" s="70">
        <f>SUBTOTAL(9,Z20:Z268)</f>
        <v>8003490231.71</v>
      </c>
      <c r="AA18" s="71"/>
      <c r="AB18" s="71"/>
      <c r="AC18" s="13"/>
      <c r="AD18" s="13"/>
      <c r="AE18" s="13"/>
      <c r="AF18" s="13"/>
      <c r="AG18" s="16"/>
    </row>
    <row r="19" spans="1:33" ht="180" x14ac:dyDescent="0.35">
      <c r="A19" s="72" t="s">
        <v>36</v>
      </c>
      <c r="B19" s="73" t="s">
        <v>37</v>
      </c>
      <c r="C19" s="73" t="s">
        <v>38</v>
      </c>
      <c r="D19" s="73" t="s">
        <v>39</v>
      </c>
      <c r="E19" s="73" t="s">
        <v>40</v>
      </c>
      <c r="F19" s="73" t="s">
        <v>41</v>
      </c>
      <c r="G19" s="73" t="s">
        <v>42</v>
      </c>
      <c r="H19" s="73" t="s">
        <v>43</v>
      </c>
      <c r="I19" s="73" t="s">
        <v>44</v>
      </c>
      <c r="J19" s="73" t="s">
        <v>45</v>
      </c>
      <c r="K19" s="73" t="s">
        <v>46</v>
      </c>
      <c r="L19" s="73" t="s">
        <v>47</v>
      </c>
      <c r="M19" s="74" t="s">
        <v>48</v>
      </c>
      <c r="N19" s="73" t="s">
        <v>49</v>
      </c>
      <c r="O19" s="73" t="s">
        <v>50</v>
      </c>
      <c r="P19" s="73" t="s">
        <v>51</v>
      </c>
      <c r="Q19" s="73" t="s">
        <v>52</v>
      </c>
      <c r="R19" s="75"/>
      <c r="S19" s="73" t="s">
        <v>53</v>
      </c>
      <c r="T19" s="73" t="s">
        <v>54</v>
      </c>
      <c r="U19" s="73" t="s">
        <v>55</v>
      </c>
      <c r="V19" s="73" t="s">
        <v>56</v>
      </c>
      <c r="W19" s="73" t="s">
        <v>57</v>
      </c>
      <c r="X19" s="73" t="s">
        <v>58</v>
      </c>
      <c r="Y19" s="73" t="s">
        <v>59</v>
      </c>
      <c r="Z19" s="73" t="s">
        <v>60</v>
      </c>
      <c r="AA19" s="73" t="s">
        <v>61</v>
      </c>
      <c r="AB19" s="73" t="s">
        <v>62</v>
      </c>
      <c r="AC19" s="73" t="s">
        <v>63</v>
      </c>
      <c r="AD19" s="73" t="s">
        <v>64</v>
      </c>
      <c r="AE19" s="73" t="s">
        <v>65</v>
      </c>
      <c r="AF19" s="73" t="s">
        <v>66</v>
      </c>
      <c r="AG19" s="73" t="s">
        <v>67</v>
      </c>
    </row>
    <row r="20" spans="1:33" ht="120" x14ac:dyDescent="0.35">
      <c r="A20" s="668">
        <v>1</v>
      </c>
      <c r="B20" s="623"/>
      <c r="C20" s="623" t="s">
        <v>68</v>
      </c>
      <c r="D20" s="624">
        <v>25172504</v>
      </c>
      <c r="E20" s="625" t="s">
        <v>69</v>
      </c>
      <c r="F20" s="623" t="s">
        <v>70</v>
      </c>
      <c r="G20" s="623">
        <v>1</v>
      </c>
      <c r="H20" s="626" t="s">
        <v>108</v>
      </c>
      <c r="I20" s="623">
        <v>1</v>
      </c>
      <c r="J20" s="623" t="s">
        <v>72</v>
      </c>
      <c r="K20" s="623" t="s">
        <v>73</v>
      </c>
      <c r="L20" s="623" t="s">
        <v>74</v>
      </c>
      <c r="M20" s="622">
        <v>7000000</v>
      </c>
      <c r="N20" s="627">
        <v>7000000</v>
      </c>
      <c r="O20" s="623" t="s">
        <v>75</v>
      </c>
      <c r="P20" s="623" t="s">
        <v>76</v>
      </c>
      <c r="Q20" s="623" t="s">
        <v>77</v>
      </c>
      <c r="S20" s="667"/>
      <c r="T20" s="667"/>
      <c r="U20" s="667"/>
      <c r="V20" s="667"/>
      <c r="W20" s="667"/>
      <c r="X20" s="667"/>
      <c r="Y20" s="667"/>
      <c r="Z20" s="667"/>
      <c r="AA20" s="667"/>
      <c r="AB20" s="667"/>
      <c r="AC20" s="667"/>
      <c r="AD20" s="667"/>
      <c r="AE20" s="667"/>
      <c r="AF20" s="667"/>
      <c r="AG20" s="667"/>
    </row>
    <row r="21" spans="1:33" ht="330" x14ac:dyDescent="0.35">
      <c r="A21" s="668">
        <f>SUM(A20+1)</f>
        <v>2</v>
      </c>
      <c r="B21" s="623"/>
      <c r="C21" s="623" t="s">
        <v>68</v>
      </c>
      <c r="D21" s="624" t="s">
        <v>78</v>
      </c>
      <c r="E21" s="625" t="s">
        <v>79</v>
      </c>
      <c r="F21" s="623" t="s">
        <v>70</v>
      </c>
      <c r="G21" s="623">
        <v>1</v>
      </c>
      <c r="H21" s="626" t="s">
        <v>108</v>
      </c>
      <c r="I21" s="623">
        <v>2</v>
      </c>
      <c r="J21" s="623" t="s">
        <v>81</v>
      </c>
      <c r="K21" s="623" t="s">
        <v>73</v>
      </c>
      <c r="L21" s="623" t="s">
        <v>82</v>
      </c>
      <c r="M21" s="622">
        <v>25000000</v>
      </c>
      <c r="N21" s="627">
        <v>25000000</v>
      </c>
      <c r="O21" s="623" t="s">
        <v>75</v>
      </c>
      <c r="P21" s="623" t="s">
        <v>76</v>
      </c>
      <c r="Q21" s="623" t="s">
        <v>77</v>
      </c>
      <c r="S21" s="667"/>
      <c r="T21" s="667"/>
      <c r="U21" s="667"/>
      <c r="V21" s="667"/>
      <c r="W21" s="667"/>
      <c r="X21" s="667"/>
      <c r="Y21" s="667"/>
      <c r="Z21" s="667"/>
      <c r="AA21" s="667"/>
      <c r="AB21" s="667"/>
      <c r="AC21" s="667"/>
      <c r="AD21" s="667"/>
      <c r="AE21" s="667"/>
      <c r="AF21" s="667"/>
      <c r="AG21" s="667"/>
    </row>
    <row r="22" spans="1:33" ht="120" x14ac:dyDescent="0.35">
      <c r="A22" s="669">
        <f>SUM(A21+1)</f>
        <v>3</v>
      </c>
      <c r="B22" s="830"/>
      <c r="C22" s="623" t="s">
        <v>68</v>
      </c>
      <c r="D22" s="830">
        <v>44103103</v>
      </c>
      <c r="E22" s="831" t="s">
        <v>83</v>
      </c>
      <c r="F22" s="830" t="s">
        <v>70</v>
      </c>
      <c r="G22" s="830">
        <v>1</v>
      </c>
      <c r="H22" s="832" t="s">
        <v>80</v>
      </c>
      <c r="I22" s="623">
        <v>2</v>
      </c>
      <c r="J22" s="623" t="s">
        <v>81</v>
      </c>
      <c r="K22" s="830" t="s">
        <v>73</v>
      </c>
      <c r="L22" s="623" t="s">
        <v>85</v>
      </c>
      <c r="M22" s="833">
        <v>25000000</v>
      </c>
      <c r="N22" s="834">
        <v>25000000</v>
      </c>
      <c r="O22" s="830" t="s">
        <v>75</v>
      </c>
      <c r="P22" s="830" t="s">
        <v>76</v>
      </c>
      <c r="Q22" s="623" t="s">
        <v>77</v>
      </c>
      <c r="S22" s="667"/>
      <c r="T22" s="667"/>
      <c r="U22" s="667"/>
      <c r="V22" s="667"/>
      <c r="W22" s="667"/>
      <c r="X22" s="667"/>
      <c r="Y22" s="667"/>
      <c r="Z22" s="667"/>
      <c r="AA22" s="667"/>
      <c r="AB22" s="667"/>
      <c r="AC22" s="667"/>
      <c r="AD22" s="667"/>
      <c r="AE22" s="667"/>
      <c r="AF22" s="667"/>
      <c r="AG22" s="667"/>
    </row>
    <row r="23" spans="1:33" ht="120" x14ac:dyDescent="0.35">
      <c r="A23" s="668">
        <f>SUM(A22+1)</f>
        <v>4</v>
      </c>
      <c r="B23" s="623"/>
      <c r="C23" s="623" t="s">
        <v>68</v>
      </c>
      <c r="D23" s="624">
        <v>44103103</v>
      </c>
      <c r="E23" s="625" t="s">
        <v>83</v>
      </c>
      <c r="F23" s="623" t="s">
        <v>70</v>
      </c>
      <c r="G23" s="623">
        <v>1</v>
      </c>
      <c r="H23" s="626" t="s">
        <v>86</v>
      </c>
      <c r="I23" s="623">
        <v>2</v>
      </c>
      <c r="J23" s="623" t="s">
        <v>72</v>
      </c>
      <c r="K23" s="623" t="s">
        <v>73</v>
      </c>
      <c r="L23" s="623" t="s">
        <v>85</v>
      </c>
      <c r="M23" s="622">
        <v>20000000</v>
      </c>
      <c r="N23" s="622">
        <v>20000000</v>
      </c>
      <c r="O23" s="623" t="s">
        <v>75</v>
      </c>
      <c r="P23" s="623" t="s">
        <v>76</v>
      </c>
      <c r="Q23" s="623" t="s">
        <v>77</v>
      </c>
      <c r="S23" s="667"/>
      <c r="T23" s="667"/>
      <c r="U23" s="667"/>
      <c r="V23" s="667"/>
      <c r="W23" s="667"/>
      <c r="X23" s="667"/>
      <c r="Y23" s="667"/>
      <c r="Z23" s="667"/>
      <c r="AA23" s="667"/>
      <c r="AB23" s="667"/>
      <c r="AC23" s="667"/>
      <c r="AD23" s="667"/>
      <c r="AE23" s="667"/>
      <c r="AF23" s="667"/>
      <c r="AG23" s="667"/>
    </row>
    <row r="24" spans="1:33" ht="180" x14ac:dyDescent="0.35">
      <c r="A24" s="668">
        <f>SUM(A23+1)</f>
        <v>5</v>
      </c>
      <c r="B24" s="623"/>
      <c r="C24" s="623" t="s">
        <v>68</v>
      </c>
      <c r="D24" s="624">
        <v>72101506</v>
      </c>
      <c r="E24" s="625" t="s">
        <v>87</v>
      </c>
      <c r="F24" s="623" t="s">
        <v>70</v>
      </c>
      <c r="G24" s="623">
        <v>1</v>
      </c>
      <c r="H24" s="626" t="s">
        <v>80</v>
      </c>
      <c r="I24" s="623">
        <v>24</v>
      </c>
      <c r="J24" s="623" t="s">
        <v>88</v>
      </c>
      <c r="K24" s="623" t="s">
        <v>73</v>
      </c>
      <c r="L24" s="623" t="s">
        <v>89</v>
      </c>
      <c r="M24" s="622">
        <v>74600000</v>
      </c>
      <c r="N24" s="627">
        <v>36000000</v>
      </c>
      <c r="O24" s="623" t="s">
        <v>90</v>
      </c>
      <c r="P24" s="623" t="s">
        <v>91</v>
      </c>
      <c r="Q24" s="623" t="s">
        <v>77</v>
      </c>
      <c r="S24" s="667"/>
      <c r="T24" s="667"/>
      <c r="U24" s="667"/>
      <c r="V24" s="667"/>
      <c r="W24" s="667"/>
      <c r="X24" s="667"/>
      <c r="Y24" s="667"/>
      <c r="Z24" s="667"/>
      <c r="AA24" s="667"/>
      <c r="AB24" s="667"/>
      <c r="AC24" s="667"/>
      <c r="AD24" s="667"/>
      <c r="AE24" s="667"/>
      <c r="AF24" s="667"/>
      <c r="AG24" s="667"/>
    </row>
    <row r="25" spans="1:33" ht="120" x14ac:dyDescent="0.35">
      <c r="A25" s="668">
        <v>6</v>
      </c>
      <c r="B25" s="623"/>
      <c r="C25" s="623" t="s">
        <v>68</v>
      </c>
      <c r="D25" s="624">
        <v>72102900</v>
      </c>
      <c r="E25" s="625" t="s">
        <v>92</v>
      </c>
      <c r="F25" s="623" t="s">
        <v>70</v>
      </c>
      <c r="G25" s="623">
        <v>1</v>
      </c>
      <c r="H25" s="626" t="s">
        <v>93</v>
      </c>
      <c r="I25" s="623">
        <v>12</v>
      </c>
      <c r="J25" s="623" t="s">
        <v>94</v>
      </c>
      <c r="K25" s="623" t="s">
        <v>73</v>
      </c>
      <c r="L25" s="623" t="s">
        <v>95</v>
      </c>
      <c r="M25" s="622">
        <v>210000000</v>
      </c>
      <c r="N25" s="627">
        <v>23850000</v>
      </c>
      <c r="O25" s="623" t="s">
        <v>90</v>
      </c>
      <c r="P25" s="623" t="s">
        <v>91</v>
      </c>
      <c r="Q25" s="623" t="s">
        <v>77</v>
      </c>
      <c r="S25" s="667"/>
      <c r="T25" s="667"/>
      <c r="U25" s="667"/>
      <c r="V25" s="667"/>
      <c r="W25" s="667"/>
      <c r="X25" s="667"/>
      <c r="Y25" s="667"/>
      <c r="Z25" s="667"/>
      <c r="AA25" s="667"/>
      <c r="AB25" s="667"/>
      <c r="AC25" s="667"/>
      <c r="AD25" s="667"/>
      <c r="AE25" s="667"/>
      <c r="AF25" s="667"/>
      <c r="AG25" s="667"/>
    </row>
    <row r="26" spans="1:33" ht="120" x14ac:dyDescent="0.35">
      <c r="A26" s="668">
        <f>SUM(A25+1)</f>
        <v>7</v>
      </c>
      <c r="B26" s="628"/>
      <c r="C26" s="628" t="s">
        <v>68</v>
      </c>
      <c r="D26" s="629">
        <v>84131603</v>
      </c>
      <c r="E26" s="630" t="s">
        <v>1188</v>
      </c>
      <c r="F26" s="628" t="s">
        <v>70</v>
      </c>
      <c r="G26" s="628">
        <v>1</v>
      </c>
      <c r="H26" s="835" t="s">
        <v>108</v>
      </c>
      <c r="I26" s="628">
        <v>1</v>
      </c>
      <c r="J26" s="628" t="s">
        <v>94</v>
      </c>
      <c r="K26" s="628" t="s">
        <v>73</v>
      </c>
      <c r="L26" s="628" t="s">
        <v>97</v>
      </c>
      <c r="M26" s="631"/>
      <c r="N26" s="836"/>
      <c r="O26" s="628" t="s">
        <v>75</v>
      </c>
      <c r="P26" s="628" t="s">
        <v>76</v>
      </c>
      <c r="Q26" s="628" t="s">
        <v>77</v>
      </c>
      <c r="S26" s="667"/>
      <c r="T26" s="667"/>
      <c r="U26" s="667"/>
      <c r="V26" s="667"/>
      <c r="W26" s="667"/>
      <c r="X26" s="667"/>
      <c r="Y26" s="667"/>
      <c r="Z26" s="667"/>
      <c r="AA26" s="667"/>
      <c r="AB26" s="667"/>
      <c r="AC26" s="667"/>
      <c r="AD26" s="667"/>
      <c r="AE26" s="667"/>
      <c r="AF26" s="667"/>
      <c r="AG26" s="667"/>
    </row>
    <row r="27" spans="1:33" ht="120" x14ac:dyDescent="0.35">
      <c r="A27" s="668">
        <f>SUM(A26+1)</f>
        <v>8</v>
      </c>
      <c r="B27" s="623"/>
      <c r="C27" s="623" t="s">
        <v>68</v>
      </c>
      <c r="D27" s="624" t="s">
        <v>1197</v>
      </c>
      <c r="E27" s="625" t="s">
        <v>1198</v>
      </c>
      <c r="F27" s="623" t="s">
        <v>70</v>
      </c>
      <c r="G27" s="623">
        <v>1</v>
      </c>
      <c r="H27" s="626" t="s">
        <v>120</v>
      </c>
      <c r="I27" s="623">
        <v>1</v>
      </c>
      <c r="J27" s="623" t="s">
        <v>98</v>
      </c>
      <c r="K27" s="623" t="s">
        <v>73</v>
      </c>
      <c r="L27" s="623" t="s">
        <v>99</v>
      </c>
      <c r="M27" s="622">
        <v>3000000</v>
      </c>
      <c r="N27" s="627">
        <v>3000000</v>
      </c>
      <c r="O27" s="623" t="s">
        <v>75</v>
      </c>
      <c r="P27" s="623" t="s">
        <v>76</v>
      </c>
      <c r="Q27" s="623" t="s">
        <v>77</v>
      </c>
      <c r="S27" s="667"/>
      <c r="T27" s="667"/>
      <c r="U27" s="667"/>
      <c r="V27" s="667"/>
      <c r="W27" s="667"/>
      <c r="X27" s="667"/>
      <c r="Y27" s="667"/>
      <c r="Z27" s="667"/>
      <c r="AA27" s="667"/>
      <c r="AB27" s="667"/>
      <c r="AC27" s="667"/>
      <c r="AD27" s="667"/>
      <c r="AE27" s="667"/>
      <c r="AF27" s="667"/>
      <c r="AG27" s="667"/>
    </row>
    <row r="28" spans="1:33" ht="120" x14ac:dyDescent="0.35">
      <c r="A28" s="668">
        <v>9</v>
      </c>
      <c r="B28" s="623"/>
      <c r="C28" s="623" t="s">
        <v>68</v>
      </c>
      <c r="D28" s="629">
        <v>72101516</v>
      </c>
      <c r="E28" s="630" t="s">
        <v>100</v>
      </c>
      <c r="F28" s="628" t="s">
        <v>70</v>
      </c>
      <c r="G28" s="628">
        <v>1</v>
      </c>
      <c r="H28" s="835" t="s">
        <v>84</v>
      </c>
      <c r="I28" s="628">
        <v>2</v>
      </c>
      <c r="J28" s="628" t="s">
        <v>98</v>
      </c>
      <c r="K28" s="628" t="s">
        <v>73</v>
      </c>
      <c r="L28" s="628" t="s">
        <v>101</v>
      </c>
      <c r="M28" s="631"/>
      <c r="N28" s="836"/>
      <c r="O28" s="628" t="s">
        <v>75</v>
      </c>
      <c r="P28" s="628" t="s">
        <v>76</v>
      </c>
      <c r="Q28" s="628" t="s">
        <v>77</v>
      </c>
      <c r="S28" s="667"/>
      <c r="T28" s="667"/>
      <c r="U28" s="667"/>
      <c r="V28" s="667"/>
      <c r="W28" s="667"/>
      <c r="X28" s="667"/>
      <c r="Y28" s="667"/>
      <c r="Z28" s="667"/>
      <c r="AA28" s="667"/>
      <c r="AB28" s="667"/>
      <c r="AC28" s="667"/>
      <c r="AD28" s="667"/>
      <c r="AE28" s="667"/>
      <c r="AF28" s="667"/>
      <c r="AG28" s="667"/>
    </row>
    <row r="29" spans="1:33" ht="120" x14ac:dyDescent="0.35">
      <c r="A29" s="669">
        <v>10</v>
      </c>
      <c r="B29" s="830"/>
      <c r="C29" s="623" t="s">
        <v>68</v>
      </c>
      <c r="D29" s="624">
        <v>72101517</v>
      </c>
      <c r="E29" s="625" t="s">
        <v>100</v>
      </c>
      <c r="F29" s="623" t="s">
        <v>70</v>
      </c>
      <c r="G29" s="623">
        <v>1</v>
      </c>
      <c r="H29" s="626" t="s">
        <v>243</v>
      </c>
      <c r="I29" s="623">
        <v>2</v>
      </c>
      <c r="J29" s="623" t="s">
        <v>98</v>
      </c>
      <c r="K29" s="623" t="s">
        <v>73</v>
      </c>
      <c r="L29" s="623" t="s">
        <v>101</v>
      </c>
      <c r="M29" s="622">
        <v>3500000</v>
      </c>
      <c r="N29" s="627">
        <v>3500000</v>
      </c>
      <c r="O29" s="623" t="s">
        <v>75</v>
      </c>
      <c r="P29" s="623" t="s">
        <v>76</v>
      </c>
      <c r="Q29" s="623" t="s">
        <v>77</v>
      </c>
      <c r="S29" s="667"/>
      <c r="T29" s="667"/>
      <c r="U29" s="667"/>
      <c r="V29" s="667"/>
      <c r="W29" s="667"/>
      <c r="X29" s="667"/>
      <c r="Y29" s="667"/>
      <c r="Z29" s="667"/>
      <c r="AA29" s="667"/>
      <c r="AB29" s="667"/>
      <c r="AC29" s="667"/>
      <c r="AD29" s="667"/>
      <c r="AE29" s="667"/>
      <c r="AF29" s="667"/>
      <c r="AG29" s="667"/>
    </row>
    <row r="30" spans="1:33" ht="225" customHeight="1" x14ac:dyDescent="0.35">
      <c r="A30" s="669">
        <v>11</v>
      </c>
      <c r="B30" s="830"/>
      <c r="C30" s="623" t="s">
        <v>68</v>
      </c>
      <c r="D30" s="624" t="s">
        <v>1087</v>
      </c>
      <c r="E30" s="625" t="s">
        <v>103</v>
      </c>
      <c r="F30" s="623" t="s">
        <v>70</v>
      </c>
      <c r="G30" s="623">
        <v>1</v>
      </c>
      <c r="H30" s="626" t="s">
        <v>84</v>
      </c>
      <c r="I30" s="623">
        <v>9</v>
      </c>
      <c r="J30" s="623" t="s">
        <v>98</v>
      </c>
      <c r="K30" s="623" t="s">
        <v>73</v>
      </c>
      <c r="L30" s="623" t="s">
        <v>101</v>
      </c>
      <c r="M30" s="622">
        <v>22000000</v>
      </c>
      <c r="N30" s="627">
        <v>22000000</v>
      </c>
      <c r="O30" s="623" t="s">
        <v>75</v>
      </c>
      <c r="P30" s="623" t="s">
        <v>76</v>
      </c>
      <c r="Q30" s="623" t="s">
        <v>77</v>
      </c>
      <c r="S30" s="667"/>
      <c r="T30" s="667"/>
      <c r="U30" s="667"/>
      <c r="V30" s="667"/>
      <c r="W30" s="667"/>
      <c r="X30" s="667"/>
      <c r="Y30" s="667"/>
      <c r="Z30" s="667"/>
      <c r="AA30" s="667"/>
      <c r="AB30" s="667"/>
      <c r="AC30" s="667"/>
      <c r="AD30" s="667"/>
      <c r="AE30" s="667"/>
      <c r="AF30" s="667"/>
      <c r="AG30" s="667"/>
    </row>
    <row r="31" spans="1:33" ht="120" x14ac:dyDescent="0.35">
      <c r="A31" s="668">
        <v>12</v>
      </c>
      <c r="B31" s="623"/>
      <c r="C31" s="623" t="s">
        <v>68</v>
      </c>
      <c r="D31" s="624">
        <v>72102900</v>
      </c>
      <c r="E31" s="625" t="s">
        <v>104</v>
      </c>
      <c r="F31" s="623" t="s">
        <v>70</v>
      </c>
      <c r="G31" s="623">
        <v>1</v>
      </c>
      <c r="H31" s="626" t="s">
        <v>108</v>
      </c>
      <c r="I31" s="623">
        <v>2</v>
      </c>
      <c r="J31" s="623" t="s">
        <v>98</v>
      </c>
      <c r="K31" s="623" t="s">
        <v>73</v>
      </c>
      <c r="L31" s="623" t="s">
        <v>105</v>
      </c>
      <c r="M31" s="622">
        <v>22000000</v>
      </c>
      <c r="N31" s="627">
        <v>22000000</v>
      </c>
      <c r="O31" s="623" t="s">
        <v>75</v>
      </c>
      <c r="P31" s="623" t="s">
        <v>76</v>
      </c>
      <c r="Q31" s="623" t="s">
        <v>77</v>
      </c>
      <c r="S31" s="667"/>
      <c r="T31" s="667"/>
      <c r="U31" s="667"/>
      <c r="V31" s="667"/>
      <c r="W31" s="667"/>
      <c r="X31" s="667"/>
      <c r="Y31" s="667"/>
      <c r="Z31" s="667"/>
      <c r="AA31" s="667"/>
      <c r="AB31" s="667"/>
      <c r="AC31" s="667"/>
      <c r="AD31" s="667"/>
      <c r="AE31" s="667"/>
      <c r="AF31" s="667"/>
      <c r="AG31" s="667"/>
    </row>
    <row r="32" spans="1:33" ht="409.5" x14ac:dyDescent="0.35">
      <c r="A32" s="668">
        <f t="shared" ref="A32:A41" si="0">SUM(A31+1)</f>
        <v>13</v>
      </c>
      <c r="B32" s="623"/>
      <c r="C32" s="623" t="s">
        <v>68</v>
      </c>
      <c r="D32" s="624" t="s">
        <v>106</v>
      </c>
      <c r="E32" s="625" t="s">
        <v>107</v>
      </c>
      <c r="F32" s="623" t="s">
        <v>70</v>
      </c>
      <c r="G32" s="623">
        <v>1</v>
      </c>
      <c r="H32" s="626" t="s">
        <v>120</v>
      </c>
      <c r="I32" s="623">
        <v>1</v>
      </c>
      <c r="J32" s="623" t="s">
        <v>72</v>
      </c>
      <c r="K32" s="623" t="s">
        <v>73</v>
      </c>
      <c r="L32" s="623" t="s">
        <v>109</v>
      </c>
      <c r="M32" s="622">
        <v>1500000</v>
      </c>
      <c r="N32" s="627">
        <v>1500000</v>
      </c>
      <c r="O32" s="623" t="s">
        <v>75</v>
      </c>
      <c r="P32" s="623" t="s">
        <v>76</v>
      </c>
      <c r="Q32" s="623" t="s">
        <v>77</v>
      </c>
      <c r="S32" s="667"/>
      <c r="T32" s="667"/>
      <c r="U32" s="667"/>
      <c r="V32" s="667"/>
      <c r="W32" s="667"/>
      <c r="X32" s="667"/>
      <c r="Y32" s="667"/>
      <c r="Z32" s="667"/>
      <c r="AA32" s="667"/>
      <c r="AB32" s="667"/>
      <c r="AC32" s="667"/>
      <c r="AD32" s="667"/>
      <c r="AE32" s="667"/>
      <c r="AF32" s="667"/>
      <c r="AG32" s="667"/>
    </row>
    <row r="33" spans="1:33" ht="409.5" x14ac:dyDescent="0.35">
      <c r="A33" s="668">
        <f t="shared" si="0"/>
        <v>14</v>
      </c>
      <c r="B33" s="623"/>
      <c r="C33" s="623" t="s">
        <v>68</v>
      </c>
      <c r="D33" s="624" t="s">
        <v>106</v>
      </c>
      <c r="E33" s="625" t="s">
        <v>110</v>
      </c>
      <c r="F33" s="623" t="s">
        <v>70</v>
      </c>
      <c r="G33" s="623">
        <v>1</v>
      </c>
      <c r="H33" s="626" t="s">
        <v>120</v>
      </c>
      <c r="I33" s="623">
        <v>1</v>
      </c>
      <c r="J33" s="623" t="s">
        <v>72</v>
      </c>
      <c r="K33" s="623" t="s">
        <v>73</v>
      </c>
      <c r="L33" s="623" t="s">
        <v>111</v>
      </c>
      <c r="M33" s="622">
        <v>2500000</v>
      </c>
      <c r="N33" s="627">
        <v>2500000</v>
      </c>
      <c r="O33" s="623" t="s">
        <v>75</v>
      </c>
      <c r="P33" s="623" t="s">
        <v>76</v>
      </c>
      <c r="Q33" s="623" t="s">
        <v>77</v>
      </c>
      <c r="S33" s="667"/>
      <c r="T33" s="667"/>
      <c r="U33" s="667"/>
      <c r="V33" s="667"/>
      <c r="W33" s="667"/>
      <c r="X33" s="667"/>
      <c r="Y33" s="667"/>
      <c r="Z33" s="667"/>
      <c r="AA33" s="667"/>
      <c r="AB33" s="667"/>
      <c r="AC33" s="667"/>
      <c r="AD33" s="667"/>
      <c r="AE33" s="667"/>
      <c r="AF33" s="667"/>
      <c r="AG33" s="667"/>
    </row>
    <row r="34" spans="1:33" ht="120" x14ac:dyDescent="0.35">
      <c r="A34" s="668">
        <f t="shared" si="0"/>
        <v>15</v>
      </c>
      <c r="B34" s="623"/>
      <c r="C34" s="623" t="s">
        <v>68</v>
      </c>
      <c r="D34" s="624">
        <v>84131512</v>
      </c>
      <c r="E34" s="625" t="s">
        <v>112</v>
      </c>
      <c r="F34" s="623" t="s">
        <v>70</v>
      </c>
      <c r="G34" s="623">
        <v>1</v>
      </c>
      <c r="H34" s="626" t="s">
        <v>86</v>
      </c>
      <c r="I34" s="623">
        <v>12</v>
      </c>
      <c r="J34" s="623" t="s">
        <v>98</v>
      </c>
      <c r="K34" s="623" t="s">
        <v>73</v>
      </c>
      <c r="L34" s="623" t="s">
        <v>113</v>
      </c>
      <c r="M34" s="622">
        <v>8500000</v>
      </c>
      <c r="N34" s="627">
        <v>8500000</v>
      </c>
      <c r="O34" s="623" t="s">
        <v>75</v>
      </c>
      <c r="P34" s="623" t="s">
        <v>76</v>
      </c>
      <c r="Q34" s="623" t="s">
        <v>77</v>
      </c>
      <c r="S34" s="667"/>
      <c r="T34" s="667"/>
      <c r="U34" s="667"/>
      <c r="V34" s="667"/>
      <c r="W34" s="667"/>
      <c r="X34" s="667"/>
      <c r="Y34" s="667"/>
      <c r="Z34" s="667"/>
      <c r="AA34" s="667"/>
      <c r="AB34" s="667"/>
      <c r="AC34" s="667"/>
      <c r="AD34" s="667"/>
      <c r="AE34" s="667"/>
      <c r="AF34" s="667"/>
      <c r="AG34" s="667"/>
    </row>
    <row r="35" spans="1:33" s="667" customFormat="1" ht="120" x14ac:dyDescent="0.35">
      <c r="A35" s="668">
        <f t="shared" si="0"/>
        <v>16</v>
      </c>
      <c r="B35" s="830"/>
      <c r="C35" s="623" t="s">
        <v>68</v>
      </c>
      <c r="D35" s="624">
        <v>81111820</v>
      </c>
      <c r="E35" s="625" t="s">
        <v>545</v>
      </c>
      <c r="F35" s="623" t="s">
        <v>70</v>
      </c>
      <c r="G35" s="623">
        <v>1</v>
      </c>
      <c r="H35" s="626" t="s">
        <v>96</v>
      </c>
      <c r="I35" s="623">
        <v>12</v>
      </c>
      <c r="J35" s="623" t="s">
        <v>114</v>
      </c>
      <c r="K35" s="623" t="s">
        <v>73</v>
      </c>
      <c r="L35" s="623" t="s">
        <v>101</v>
      </c>
      <c r="M35" s="622">
        <v>6800000</v>
      </c>
      <c r="N35" s="627">
        <v>6800000</v>
      </c>
      <c r="O35" s="623" t="s">
        <v>75</v>
      </c>
      <c r="P35" s="623" t="s">
        <v>76</v>
      </c>
      <c r="Q35" s="623" t="s">
        <v>77</v>
      </c>
      <c r="R35" s="639"/>
      <c r="S35" s="855" t="s">
        <v>920</v>
      </c>
      <c r="T35" s="855" t="s">
        <v>921</v>
      </c>
      <c r="U35" s="856">
        <v>43500</v>
      </c>
      <c r="V35" s="857" t="s">
        <v>922</v>
      </c>
      <c r="W35" s="858" t="s">
        <v>903</v>
      </c>
      <c r="X35" s="859">
        <v>6428328</v>
      </c>
      <c r="Y35" s="860">
        <v>0</v>
      </c>
      <c r="Z35" s="859">
        <v>6428328</v>
      </c>
      <c r="AA35" s="857" t="s">
        <v>923</v>
      </c>
      <c r="AB35" s="861">
        <v>5619</v>
      </c>
      <c r="AC35" s="862" t="s">
        <v>924</v>
      </c>
      <c r="AD35" s="856">
        <v>43504</v>
      </c>
      <c r="AE35" s="856">
        <v>43868</v>
      </c>
      <c r="AF35" s="863" t="s">
        <v>925</v>
      </c>
      <c r="AG35" s="864" t="s">
        <v>691</v>
      </c>
    </row>
    <row r="36" spans="1:33" ht="120" x14ac:dyDescent="0.35">
      <c r="A36" s="668">
        <f t="shared" si="0"/>
        <v>17</v>
      </c>
      <c r="B36" s="623"/>
      <c r="C36" s="623" t="s">
        <v>115</v>
      </c>
      <c r="D36" s="624">
        <v>43211701</v>
      </c>
      <c r="E36" s="625" t="s">
        <v>116</v>
      </c>
      <c r="F36" s="623" t="s">
        <v>70</v>
      </c>
      <c r="G36" s="623">
        <v>1</v>
      </c>
      <c r="H36" s="626" t="s">
        <v>108</v>
      </c>
      <c r="I36" s="623">
        <v>1</v>
      </c>
      <c r="J36" s="623" t="s">
        <v>72</v>
      </c>
      <c r="K36" s="623" t="s">
        <v>73</v>
      </c>
      <c r="L36" s="623" t="s">
        <v>117</v>
      </c>
      <c r="M36" s="622">
        <v>17700000</v>
      </c>
      <c r="N36" s="627">
        <v>17700000</v>
      </c>
      <c r="O36" s="623" t="s">
        <v>75</v>
      </c>
      <c r="P36" s="623" t="s">
        <v>76</v>
      </c>
      <c r="Q36" s="623" t="s">
        <v>118</v>
      </c>
      <c r="S36" s="667"/>
      <c r="T36" s="667"/>
      <c r="U36" s="667"/>
      <c r="V36" s="667"/>
      <c r="W36" s="667"/>
      <c r="X36" s="667"/>
      <c r="Y36" s="667"/>
      <c r="Z36" s="667"/>
      <c r="AA36" s="667"/>
      <c r="AB36" s="667"/>
      <c r="AC36" s="667"/>
      <c r="AD36" s="667"/>
      <c r="AE36" s="667"/>
      <c r="AF36" s="667"/>
      <c r="AG36" s="667"/>
    </row>
    <row r="37" spans="1:33" ht="120" x14ac:dyDescent="0.35">
      <c r="A37" s="668">
        <f t="shared" si="0"/>
        <v>18</v>
      </c>
      <c r="B37" s="623"/>
      <c r="C37" s="623" t="s">
        <v>68</v>
      </c>
      <c r="D37" s="624">
        <v>44101706</v>
      </c>
      <c r="E37" s="625" t="s">
        <v>119</v>
      </c>
      <c r="F37" s="623" t="s">
        <v>70</v>
      </c>
      <c r="G37" s="623">
        <v>1</v>
      </c>
      <c r="H37" s="626" t="s">
        <v>108</v>
      </c>
      <c r="I37" s="623">
        <v>2</v>
      </c>
      <c r="J37" s="623" t="s">
        <v>72</v>
      </c>
      <c r="K37" s="623" t="s">
        <v>73</v>
      </c>
      <c r="L37" s="623" t="s">
        <v>85</v>
      </c>
      <c r="M37" s="622">
        <v>12000000</v>
      </c>
      <c r="N37" s="622">
        <v>12000000</v>
      </c>
      <c r="O37" s="623" t="s">
        <v>75</v>
      </c>
      <c r="P37" s="623" t="s">
        <v>76</v>
      </c>
      <c r="Q37" s="623" t="s">
        <v>77</v>
      </c>
      <c r="S37" s="667"/>
      <c r="T37" s="667"/>
      <c r="U37" s="667"/>
      <c r="V37" s="667"/>
      <c r="W37" s="667"/>
      <c r="X37" s="667"/>
      <c r="Y37" s="667"/>
      <c r="Z37" s="667"/>
      <c r="AA37" s="667"/>
      <c r="AB37" s="667"/>
      <c r="AC37" s="667"/>
      <c r="AD37" s="667"/>
      <c r="AE37" s="667"/>
      <c r="AF37" s="667"/>
      <c r="AG37" s="667"/>
    </row>
    <row r="38" spans="1:33" ht="120" x14ac:dyDescent="0.35">
      <c r="A38" s="668">
        <f t="shared" si="0"/>
        <v>19</v>
      </c>
      <c r="B38" s="623"/>
      <c r="C38" s="623" t="s">
        <v>68</v>
      </c>
      <c r="D38" s="624">
        <v>56120000</v>
      </c>
      <c r="E38" s="625" t="s">
        <v>121</v>
      </c>
      <c r="F38" s="623" t="s">
        <v>70</v>
      </c>
      <c r="G38" s="623">
        <v>1</v>
      </c>
      <c r="H38" s="626" t="s">
        <v>102</v>
      </c>
      <c r="I38" s="623">
        <v>2</v>
      </c>
      <c r="J38" s="623" t="s">
        <v>72</v>
      </c>
      <c r="K38" s="623" t="s">
        <v>73</v>
      </c>
      <c r="L38" s="623" t="s">
        <v>122</v>
      </c>
      <c r="M38" s="622">
        <v>20000000</v>
      </c>
      <c r="N38" s="627">
        <v>20000000</v>
      </c>
      <c r="O38" s="623" t="s">
        <v>75</v>
      </c>
      <c r="P38" s="623" t="s">
        <v>76</v>
      </c>
      <c r="Q38" s="623" t="s">
        <v>77</v>
      </c>
      <c r="S38" s="667"/>
      <c r="T38" s="667"/>
      <c r="U38" s="667"/>
      <c r="V38" s="667"/>
      <c r="W38" s="667"/>
      <c r="X38" s="667"/>
      <c r="Y38" s="667"/>
      <c r="Z38" s="667"/>
      <c r="AA38" s="667"/>
      <c r="AB38" s="667"/>
      <c r="AC38" s="667"/>
      <c r="AD38" s="667"/>
      <c r="AE38" s="667"/>
      <c r="AF38" s="667"/>
      <c r="AG38" s="667"/>
    </row>
    <row r="39" spans="1:33" ht="120" x14ac:dyDescent="0.35">
      <c r="A39" s="668">
        <f t="shared" si="0"/>
        <v>20</v>
      </c>
      <c r="B39" s="623"/>
      <c r="C39" s="623" t="s">
        <v>68</v>
      </c>
      <c r="D39" s="624" t="s">
        <v>123</v>
      </c>
      <c r="E39" s="625" t="s">
        <v>546</v>
      </c>
      <c r="F39" s="623" t="s">
        <v>70</v>
      </c>
      <c r="G39" s="623">
        <v>1</v>
      </c>
      <c r="H39" s="626" t="s">
        <v>108</v>
      </c>
      <c r="I39" s="623">
        <v>7</v>
      </c>
      <c r="J39" s="623" t="s">
        <v>98</v>
      </c>
      <c r="K39" s="623" t="s">
        <v>73</v>
      </c>
      <c r="L39" s="623" t="s">
        <v>101</v>
      </c>
      <c r="M39" s="622">
        <v>5000000</v>
      </c>
      <c r="N39" s="627">
        <v>5000000</v>
      </c>
      <c r="O39" s="623" t="s">
        <v>75</v>
      </c>
      <c r="P39" s="623" t="s">
        <v>76</v>
      </c>
      <c r="Q39" s="623" t="s">
        <v>77</v>
      </c>
      <c r="S39" s="667"/>
      <c r="T39" s="667"/>
      <c r="U39" s="667"/>
      <c r="V39" s="667"/>
      <c r="W39" s="667"/>
      <c r="X39" s="667"/>
      <c r="Y39" s="667"/>
      <c r="Z39" s="667"/>
      <c r="AA39" s="667"/>
      <c r="AB39" s="667"/>
      <c r="AC39" s="667"/>
      <c r="AD39" s="667"/>
      <c r="AE39" s="667"/>
      <c r="AF39" s="667"/>
      <c r="AG39" s="667"/>
    </row>
    <row r="40" spans="1:33" ht="204" customHeight="1" x14ac:dyDescent="0.35">
      <c r="A40" s="669">
        <f t="shared" si="0"/>
        <v>21</v>
      </c>
      <c r="B40" s="623"/>
      <c r="C40" s="623" t="s">
        <v>68</v>
      </c>
      <c r="D40" s="624" t="s">
        <v>1088</v>
      </c>
      <c r="E40" s="625" t="s">
        <v>124</v>
      </c>
      <c r="F40" s="623" t="s">
        <v>70</v>
      </c>
      <c r="G40" s="623">
        <v>1</v>
      </c>
      <c r="H40" s="626" t="s">
        <v>84</v>
      </c>
      <c r="I40" s="623">
        <v>9</v>
      </c>
      <c r="J40" s="623" t="s">
        <v>88</v>
      </c>
      <c r="K40" s="623" t="s">
        <v>73</v>
      </c>
      <c r="L40" s="623" t="s">
        <v>125</v>
      </c>
      <c r="M40" s="622">
        <v>164000000</v>
      </c>
      <c r="N40" s="627">
        <v>164000000</v>
      </c>
      <c r="O40" s="623" t="s">
        <v>75</v>
      </c>
      <c r="P40" s="623" t="s">
        <v>76</v>
      </c>
      <c r="Q40" s="623" t="s">
        <v>77</v>
      </c>
      <c r="S40" s="667"/>
      <c r="T40" s="667"/>
      <c r="U40" s="667"/>
      <c r="V40" s="667"/>
      <c r="W40" s="667"/>
      <c r="X40" s="667"/>
      <c r="Y40" s="667"/>
      <c r="Z40" s="667"/>
      <c r="AA40" s="667"/>
      <c r="AB40" s="667"/>
      <c r="AC40" s="667"/>
      <c r="AD40" s="667"/>
      <c r="AE40" s="667"/>
      <c r="AF40" s="667"/>
      <c r="AG40" s="667"/>
    </row>
    <row r="41" spans="1:33" ht="120" x14ac:dyDescent="0.35">
      <c r="A41" s="837">
        <f t="shared" si="0"/>
        <v>22</v>
      </c>
      <c r="B41" s="624"/>
      <c r="C41" s="623" t="s">
        <v>68</v>
      </c>
      <c r="D41" s="624" t="s">
        <v>126</v>
      </c>
      <c r="E41" s="625" t="s">
        <v>127</v>
      </c>
      <c r="F41" s="623" t="s">
        <v>70</v>
      </c>
      <c r="G41" s="623">
        <v>1</v>
      </c>
      <c r="H41" s="626" t="s">
        <v>71</v>
      </c>
      <c r="I41" s="838" t="s">
        <v>547</v>
      </c>
      <c r="J41" s="623" t="s">
        <v>98</v>
      </c>
      <c r="K41" s="623" t="s">
        <v>73</v>
      </c>
      <c r="L41" s="623" t="s">
        <v>128</v>
      </c>
      <c r="M41" s="622">
        <v>3000000</v>
      </c>
      <c r="N41" s="627">
        <v>3000000</v>
      </c>
      <c r="O41" s="623" t="s">
        <v>75</v>
      </c>
      <c r="P41" s="623" t="s">
        <v>76</v>
      </c>
      <c r="Q41" s="623" t="s">
        <v>77</v>
      </c>
      <c r="S41" s="855" t="s">
        <v>1095</v>
      </c>
      <c r="T41" s="855" t="s">
        <v>1096</v>
      </c>
      <c r="U41" s="865">
        <v>43521</v>
      </c>
      <c r="V41" s="857" t="s">
        <v>1097</v>
      </c>
      <c r="W41" s="858" t="s">
        <v>1098</v>
      </c>
      <c r="X41" s="859">
        <v>3000000</v>
      </c>
      <c r="Y41" s="860">
        <v>0</v>
      </c>
      <c r="Z41" s="859">
        <v>3000000</v>
      </c>
      <c r="AA41" s="857" t="s">
        <v>1099</v>
      </c>
      <c r="AB41" s="858">
        <v>9919</v>
      </c>
      <c r="AC41" s="862" t="s">
        <v>1100</v>
      </c>
      <c r="AD41" s="856">
        <v>43522</v>
      </c>
      <c r="AE41" s="856">
        <v>43585</v>
      </c>
      <c r="AF41" s="863" t="s">
        <v>1101</v>
      </c>
      <c r="AG41" s="864" t="s">
        <v>691</v>
      </c>
    </row>
    <row r="42" spans="1:33" ht="150" x14ac:dyDescent="0.35">
      <c r="A42" s="839"/>
      <c r="B42" s="840"/>
      <c r="C42" s="623" t="s">
        <v>129</v>
      </c>
      <c r="D42" s="624" t="s">
        <v>126</v>
      </c>
      <c r="E42" s="625" t="s">
        <v>127</v>
      </c>
      <c r="F42" s="623" t="s">
        <v>70</v>
      </c>
      <c r="G42" s="623">
        <v>1</v>
      </c>
      <c r="H42" s="626" t="s">
        <v>71</v>
      </c>
      <c r="I42" s="838" t="s">
        <v>547</v>
      </c>
      <c r="J42" s="623" t="s">
        <v>98</v>
      </c>
      <c r="K42" s="623" t="s">
        <v>130</v>
      </c>
      <c r="L42" s="623" t="s">
        <v>131</v>
      </c>
      <c r="M42" s="622">
        <v>20000000</v>
      </c>
      <c r="N42" s="627">
        <v>20000000</v>
      </c>
      <c r="O42" s="623" t="s">
        <v>75</v>
      </c>
      <c r="P42" s="623" t="s">
        <v>76</v>
      </c>
      <c r="Q42" s="623" t="s">
        <v>132</v>
      </c>
      <c r="S42" s="855" t="s">
        <v>1095</v>
      </c>
      <c r="T42" s="855" t="s">
        <v>1096</v>
      </c>
      <c r="U42" s="865">
        <v>43521</v>
      </c>
      <c r="V42" s="857" t="s">
        <v>1097</v>
      </c>
      <c r="W42" s="858" t="s">
        <v>1098</v>
      </c>
      <c r="X42" s="859">
        <v>20000000</v>
      </c>
      <c r="Y42" s="860"/>
      <c r="Z42" s="859">
        <v>20000000</v>
      </c>
      <c r="AA42" s="857" t="s">
        <v>1099</v>
      </c>
      <c r="AB42" s="858">
        <v>9919</v>
      </c>
      <c r="AC42" s="862" t="s">
        <v>1100</v>
      </c>
      <c r="AD42" s="856">
        <v>43522</v>
      </c>
      <c r="AE42" s="856">
        <v>43585</v>
      </c>
      <c r="AF42" s="863" t="s">
        <v>1101</v>
      </c>
      <c r="AG42" s="864" t="s">
        <v>691</v>
      </c>
    </row>
    <row r="43" spans="1:33" ht="120" x14ac:dyDescent="0.35">
      <c r="A43" s="668">
        <f>SUM(A41+1)</f>
        <v>23</v>
      </c>
      <c r="B43" s="624"/>
      <c r="C43" s="623" t="s">
        <v>68</v>
      </c>
      <c r="D43" s="623" t="s">
        <v>133</v>
      </c>
      <c r="E43" s="625" t="s">
        <v>134</v>
      </c>
      <c r="F43" s="623" t="s">
        <v>70</v>
      </c>
      <c r="G43" s="623">
        <v>1</v>
      </c>
      <c r="H43" s="626" t="s">
        <v>108</v>
      </c>
      <c r="I43" s="623">
        <v>3</v>
      </c>
      <c r="J43" s="623" t="s">
        <v>98</v>
      </c>
      <c r="K43" s="623" t="s">
        <v>73</v>
      </c>
      <c r="L43" s="623" t="s">
        <v>135</v>
      </c>
      <c r="M43" s="627">
        <v>22000000</v>
      </c>
      <c r="N43" s="627">
        <v>22000000</v>
      </c>
      <c r="O43" s="623" t="s">
        <v>75</v>
      </c>
      <c r="P43" s="623" t="s">
        <v>76</v>
      </c>
      <c r="Q43" s="623" t="s">
        <v>77</v>
      </c>
      <c r="S43" s="667"/>
      <c r="T43" s="667"/>
      <c r="U43" s="667"/>
      <c r="V43" s="667"/>
      <c r="W43" s="667"/>
      <c r="X43" s="667"/>
      <c r="Y43" s="667"/>
      <c r="Z43" s="667"/>
      <c r="AA43" s="667"/>
      <c r="AB43" s="667"/>
      <c r="AC43" s="667"/>
      <c r="AD43" s="667"/>
      <c r="AE43" s="667"/>
      <c r="AF43" s="667"/>
      <c r="AG43" s="667"/>
    </row>
    <row r="44" spans="1:33" ht="150" x14ac:dyDescent="0.35">
      <c r="A44" s="668">
        <f>SUM(A43+1)</f>
        <v>24</v>
      </c>
      <c r="B44" s="840"/>
      <c r="C44" s="623" t="s">
        <v>136</v>
      </c>
      <c r="D44" s="623" t="s">
        <v>137</v>
      </c>
      <c r="E44" s="625" t="s">
        <v>1225</v>
      </c>
      <c r="F44" s="623" t="s">
        <v>70</v>
      </c>
      <c r="G44" s="623">
        <v>1</v>
      </c>
      <c r="H44" s="626" t="s">
        <v>84</v>
      </c>
      <c r="I44" s="623">
        <v>1</v>
      </c>
      <c r="J44" s="623" t="s">
        <v>72</v>
      </c>
      <c r="K44" s="623" t="s">
        <v>73</v>
      </c>
      <c r="L44" s="623" t="s">
        <v>82</v>
      </c>
      <c r="M44" s="622">
        <v>3200000</v>
      </c>
      <c r="N44" s="627">
        <v>3200000</v>
      </c>
      <c r="O44" s="623" t="s">
        <v>75</v>
      </c>
      <c r="P44" s="623" t="s">
        <v>76</v>
      </c>
      <c r="Q44" s="623" t="s">
        <v>138</v>
      </c>
      <c r="S44" s="667"/>
      <c r="T44" s="667"/>
      <c r="U44" s="667"/>
      <c r="V44" s="667"/>
      <c r="W44" s="667"/>
      <c r="X44" s="667"/>
      <c r="Y44" s="667"/>
      <c r="Z44" s="667"/>
      <c r="AA44" s="667"/>
      <c r="AB44" s="667"/>
      <c r="AC44" s="667"/>
      <c r="AD44" s="667"/>
      <c r="AE44" s="667"/>
      <c r="AF44" s="667"/>
      <c r="AG44" s="667"/>
    </row>
    <row r="45" spans="1:33" s="667" customFormat="1" ht="120" x14ac:dyDescent="0.35">
      <c r="A45" s="669">
        <f>SUM(A44+1)</f>
        <v>25</v>
      </c>
      <c r="B45" s="624"/>
      <c r="C45" s="623" t="s">
        <v>139</v>
      </c>
      <c r="D45" s="623" t="s">
        <v>140</v>
      </c>
      <c r="E45" s="625" t="s">
        <v>1194</v>
      </c>
      <c r="F45" s="841" t="s">
        <v>70</v>
      </c>
      <c r="G45" s="623">
        <v>1</v>
      </c>
      <c r="H45" s="626" t="s">
        <v>84</v>
      </c>
      <c r="I45" s="623">
        <v>9</v>
      </c>
      <c r="J45" s="623" t="s">
        <v>98</v>
      </c>
      <c r="K45" s="623" t="s">
        <v>73</v>
      </c>
      <c r="L45" s="623" t="s">
        <v>141</v>
      </c>
      <c r="M45" s="842">
        <v>23000000</v>
      </c>
      <c r="N45" s="842">
        <v>23000000</v>
      </c>
      <c r="O45" s="841" t="s">
        <v>75</v>
      </c>
      <c r="P45" s="623" t="s">
        <v>76</v>
      </c>
      <c r="Q45" s="623" t="s">
        <v>142</v>
      </c>
      <c r="R45" s="639"/>
    </row>
    <row r="46" spans="1:33" ht="120" x14ac:dyDescent="0.35">
      <c r="A46" s="668">
        <f>SUM(A45+1)</f>
        <v>26</v>
      </c>
      <c r="B46" s="623"/>
      <c r="C46" s="623" t="s">
        <v>139</v>
      </c>
      <c r="D46" s="623">
        <v>85122201</v>
      </c>
      <c r="E46" s="625" t="s">
        <v>1195</v>
      </c>
      <c r="F46" s="623" t="s">
        <v>70</v>
      </c>
      <c r="G46" s="623">
        <v>1</v>
      </c>
      <c r="H46" s="626" t="s">
        <v>84</v>
      </c>
      <c r="I46" s="623">
        <v>9</v>
      </c>
      <c r="J46" s="623" t="s">
        <v>98</v>
      </c>
      <c r="K46" s="623" t="s">
        <v>73</v>
      </c>
      <c r="L46" s="623" t="s">
        <v>141</v>
      </c>
      <c r="M46" s="622">
        <v>3000000</v>
      </c>
      <c r="N46" s="842">
        <v>3000000</v>
      </c>
      <c r="O46" s="623" t="s">
        <v>75</v>
      </c>
      <c r="P46" s="623" t="s">
        <v>76</v>
      </c>
      <c r="Q46" s="623" t="s">
        <v>142</v>
      </c>
      <c r="S46" s="667"/>
      <c r="T46" s="667"/>
      <c r="U46" s="667"/>
      <c r="V46" s="667"/>
      <c r="W46" s="667"/>
      <c r="X46" s="667"/>
      <c r="Y46" s="667"/>
      <c r="Z46" s="667"/>
      <c r="AA46" s="667"/>
      <c r="AB46" s="667"/>
      <c r="AC46" s="667"/>
      <c r="AD46" s="667"/>
      <c r="AE46" s="667"/>
      <c r="AF46" s="667"/>
      <c r="AG46" s="667"/>
    </row>
    <row r="47" spans="1:33" ht="120" x14ac:dyDescent="0.35">
      <c r="A47" s="668">
        <f>SUM(A46+1)</f>
        <v>27</v>
      </c>
      <c r="B47" s="623"/>
      <c r="C47" s="623" t="s">
        <v>139</v>
      </c>
      <c r="D47" s="623">
        <v>78111803</v>
      </c>
      <c r="E47" s="625" t="s">
        <v>1172</v>
      </c>
      <c r="F47" s="623" t="s">
        <v>70</v>
      </c>
      <c r="G47" s="623">
        <v>1</v>
      </c>
      <c r="H47" s="626" t="s">
        <v>108</v>
      </c>
      <c r="I47" s="623">
        <v>7</v>
      </c>
      <c r="J47" s="623" t="s">
        <v>98</v>
      </c>
      <c r="K47" s="623" t="s">
        <v>73</v>
      </c>
      <c r="L47" s="623" t="s">
        <v>143</v>
      </c>
      <c r="M47" s="622">
        <v>20000000</v>
      </c>
      <c r="N47" s="842">
        <v>20000000</v>
      </c>
      <c r="O47" s="623" t="s">
        <v>75</v>
      </c>
      <c r="P47" s="623" t="s">
        <v>76</v>
      </c>
      <c r="Q47" s="623" t="s">
        <v>142</v>
      </c>
      <c r="S47" s="667"/>
      <c r="T47" s="667"/>
      <c r="U47" s="667"/>
      <c r="V47" s="667"/>
      <c r="W47" s="667"/>
      <c r="X47" s="667"/>
      <c r="Y47" s="667"/>
      <c r="Z47" s="667"/>
      <c r="AA47" s="667"/>
      <c r="AB47" s="667"/>
      <c r="AC47" s="667"/>
      <c r="AD47" s="667"/>
      <c r="AE47" s="667"/>
      <c r="AF47" s="667"/>
      <c r="AG47" s="667"/>
    </row>
    <row r="48" spans="1:33" ht="120" x14ac:dyDescent="0.35">
      <c r="A48" s="668">
        <f t="shared" ref="A48:A111" si="1">SUM(A47+1)</f>
        <v>28</v>
      </c>
      <c r="B48" s="623"/>
      <c r="C48" s="623" t="s">
        <v>139</v>
      </c>
      <c r="D48" s="623" t="s">
        <v>144</v>
      </c>
      <c r="E48" s="625" t="s">
        <v>145</v>
      </c>
      <c r="F48" s="623" t="s">
        <v>70</v>
      </c>
      <c r="G48" s="623">
        <v>1</v>
      </c>
      <c r="H48" s="626" t="s">
        <v>93</v>
      </c>
      <c r="I48" s="623">
        <v>1</v>
      </c>
      <c r="J48" s="623" t="s">
        <v>98</v>
      </c>
      <c r="K48" s="623" t="s">
        <v>73</v>
      </c>
      <c r="L48" s="623" t="s">
        <v>143</v>
      </c>
      <c r="M48" s="622">
        <v>18000000</v>
      </c>
      <c r="N48" s="627">
        <v>18000000</v>
      </c>
      <c r="O48" s="623" t="s">
        <v>75</v>
      </c>
      <c r="P48" s="623" t="s">
        <v>76</v>
      </c>
      <c r="Q48" s="623" t="s">
        <v>142</v>
      </c>
      <c r="S48" s="667"/>
      <c r="T48" s="667"/>
      <c r="U48" s="667"/>
      <c r="V48" s="667"/>
      <c r="W48" s="667"/>
      <c r="X48" s="667"/>
      <c r="Y48" s="667"/>
      <c r="Z48" s="667"/>
      <c r="AA48" s="667"/>
      <c r="AB48" s="667"/>
      <c r="AC48" s="667"/>
      <c r="AD48" s="667"/>
      <c r="AE48" s="667"/>
      <c r="AF48" s="667"/>
      <c r="AG48" s="667"/>
    </row>
    <row r="49" spans="1:33" ht="120" x14ac:dyDescent="0.35">
      <c r="A49" s="632">
        <f t="shared" si="1"/>
        <v>29</v>
      </c>
      <c r="B49" s="628"/>
      <c r="C49" s="628" t="s">
        <v>115</v>
      </c>
      <c r="D49" s="628">
        <v>81112502</v>
      </c>
      <c r="E49" s="630" t="s">
        <v>146</v>
      </c>
      <c r="F49" s="628" t="s">
        <v>70</v>
      </c>
      <c r="G49" s="628">
        <v>1</v>
      </c>
      <c r="H49" s="835" t="s">
        <v>147</v>
      </c>
      <c r="I49" s="628">
        <v>13</v>
      </c>
      <c r="J49" s="628" t="s">
        <v>81</v>
      </c>
      <c r="K49" s="628" t="s">
        <v>73</v>
      </c>
      <c r="L49" s="628" t="s">
        <v>148</v>
      </c>
      <c r="M49" s="836"/>
      <c r="N49" s="836"/>
      <c r="O49" s="628" t="s">
        <v>90</v>
      </c>
      <c r="P49" s="623" t="s">
        <v>91</v>
      </c>
      <c r="Q49" s="628" t="s">
        <v>118</v>
      </c>
      <c r="S49" s="667"/>
      <c r="T49" s="667"/>
      <c r="U49" s="667"/>
      <c r="V49" s="667"/>
      <c r="W49" s="667"/>
      <c r="X49" s="667"/>
      <c r="Y49" s="667"/>
      <c r="Z49" s="667"/>
      <c r="AA49" s="667"/>
      <c r="AB49" s="667"/>
      <c r="AC49" s="667"/>
      <c r="AD49" s="667"/>
      <c r="AE49" s="667"/>
      <c r="AF49" s="667"/>
      <c r="AG49" s="667"/>
    </row>
    <row r="50" spans="1:33" ht="120" x14ac:dyDescent="0.35">
      <c r="A50" s="668">
        <f t="shared" si="1"/>
        <v>30</v>
      </c>
      <c r="B50" s="623"/>
      <c r="C50" s="623" t="s">
        <v>115</v>
      </c>
      <c r="D50" s="623">
        <v>43211507</v>
      </c>
      <c r="E50" s="630" t="s">
        <v>149</v>
      </c>
      <c r="F50" s="628" t="s">
        <v>70</v>
      </c>
      <c r="G50" s="628">
        <v>1</v>
      </c>
      <c r="H50" s="835" t="s">
        <v>80</v>
      </c>
      <c r="I50" s="628">
        <v>2</v>
      </c>
      <c r="J50" s="628" t="s">
        <v>81</v>
      </c>
      <c r="K50" s="628" t="s">
        <v>73</v>
      </c>
      <c r="L50" s="628" t="s">
        <v>117</v>
      </c>
      <c r="M50" s="836"/>
      <c r="N50" s="836"/>
      <c r="O50" s="628" t="s">
        <v>75</v>
      </c>
      <c r="P50" s="628" t="s">
        <v>76</v>
      </c>
      <c r="Q50" s="628" t="s">
        <v>118</v>
      </c>
      <c r="S50" s="667"/>
      <c r="T50" s="667"/>
      <c r="U50" s="667"/>
      <c r="V50" s="667"/>
      <c r="W50" s="667"/>
      <c r="X50" s="667"/>
      <c r="Y50" s="667"/>
      <c r="Z50" s="667"/>
      <c r="AA50" s="667"/>
      <c r="AB50" s="667"/>
      <c r="AC50" s="667"/>
      <c r="AD50" s="667"/>
      <c r="AE50" s="667"/>
      <c r="AF50" s="667"/>
      <c r="AG50" s="667"/>
    </row>
    <row r="51" spans="1:33" ht="150" x14ac:dyDescent="0.35">
      <c r="A51" s="632">
        <f t="shared" si="1"/>
        <v>31</v>
      </c>
      <c r="B51" s="628"/>
      <c r="C51" s="628" t="s">
        <v>115</v>
      </c>
      <c r="D51" s="628">
        <v>81112006</v>
      </c>
      <c r="E51" s="630" t="s">
        <v>150</v>
      </c>
      <c r="F51" s="628" t="s">
        <v>70</v>
      </c>
      <c r="G51" s="628">
        <v>1</v>
      </c>
      <c r="H51" s="835" t="s">
        <v>71</v>
      </c>
      <c r="I51" s="628">
        <v>12</v>
      </c>
      <c r="J51" s="628" t="s">
        <v>98</v>
      </c>
      <c r="K51" s="628" t="s">
        <v>73</v>
      </c>
      <c r="L51" s="628" t="s">
        <v>148</v>
      </c>
      <c r="M51" s="631"/>
      <c r="N51" s="836"/>
      <c r="O51" s="628" t="s">
        <v>75</v>
      </c>
      <c r="P51" s="623" t="s">
        <v>76</v>
      </c>
      <c r="Q51" s="628" t="s">
        <v>118</v>
      </c>
      <c r="S51" s="667"/>
      <c r="T51" s="667"/>
      <c r="U51" s="667"/>
      <c r="V51" s="667"/>
      <c r="W51" s="667"/>
      <c r="X51" s="667"/>
      <c r="Y51" s="667"/>
      <c r="Z51" s="667"/>
      <c r="AA51" s="667"/>
      <c r="AB51" s="667"/>
      <c r="AC51" s="667"/>
      <c r="AD51" s="667"/>
      <c r="AE51" s="667"/>
      <c r="AF51" s="667"/>
      <c r="AG51" s="667"/>
    </row>
    <row r="52" spans="1:33" ht="120" x14ac:dyDescent="0.35">
      <c r="A52" s="668">
        <f t="shared" si="1"/>
        <v>32</v>
      </c>
      <c r="B52" s="623"/>
      <c r="C52" s="623" t="s">
        <v>151</v>
      </c>
      <c r="D52" s="623">
        <v>32101617</v>
      </c>
      <c r="E52" s="625" t="s">
        <v>152</v>
      </c>
      <c r="F52" s="623" t="s">
        <v>70</v>
      </c>
      <c r="G52" s="623">
        <v>1</v>
      </c>
      <c r="H52" s="626" t="s">
        <v>86</v>
      </c>
      <c r="I52" s="623">
        <v>12</v>
      </c>
      <c r="J52" s="623" t="s">
        <v>98</v>
      </c>
      <c r="K52" s="623" t="s">
        <v>73</v>
      </c>
      <c r="L52" s="623" t="s">
        <v>117</v>
      </c>
      <c r="M52" s="622">
        <v>5000000</v>
      </c>
      <c r="N52" s="627">
        <v>5000000</v>
      </c>
      <c r="O52" s="623" t="s">
        <v>75</v>
      </c>
      <c r="P52" s="623" t="s">
        <v>76</v>
      </c>
      <c r="Q52" s="623" t="s">
        <v>153</v>
      </c>
      <c r="S52" s="667"/>
      <c r="T52" s="667"/>
      <c r="U52" s="667"/>
      <c r="V52" s="667"/>
      <c r="W52" s="667"/>
      <c r="X52" s="667"/>
      <c r="Y52" s="667"/>
      <c r="Z52" s="667"/>
      <c r="AA52" s="667"/>
      <c r="AB52" s="667"/>
      <c r="AC52" s="667"/>
      <c r="AD52" s="667"/>
      <c r="AE52" s="667"/>
      <c r="AF52" s="667"/>
      <c r="AG52" s="667"/>
    </row>
    <row r="53" spans="1:33" ht="120" x14ac:dyDescent="0.35">
      <c r="A53" s="668">
        <v>33</v>
      </c>
      <c r="B53" s="623"/>
      <c r="C53" s="623" t="s">
        <v>154</v>
      </c>
      <c r="D53" s="623">
        <v>81100000</v>
      </c>
      <c r="E53" s="625" t="s">
        <v>155</v>
      </c>
      <c r="F53" s="623" t="s">
        <v>70</v>
      </c>
      <c r="G53" s="623">
        <v>1</v>
      </c>
      <c r="H53" s="626" t="s">
        <v>93</v>
      </c>
      <c r="I53" s="623">
        <v>12</v>
      </c>
      <c r="J53" s="623" t="s">
        <v>98</v>
      </c>
      <c r="K53" s="623" t="s">
        <v>73</v>
      </c>
      <c r="L53" s="623" t="s">
        <v>148</v>
      </c>
      <c r="M53" s="622">
        <v>5900000</v>
      </c>
      <c r="N53" s="627">
        <v>5900000</v>
      </c>
      <c r="O53" s="623" t="s">
        <v>75</v>
      </c>
      <c r="P53" s="623" t="s">
        <v>76</v>
      </c>
      <c r="Q53" s="623" t="s">
        <v>156</v>
      </c>
      <c r="S53" s="667"/>
      <c r="T53" s="667"/>
      <c r="U53" s="667"/>
      <c r="V53" s="667"/>
      <c r="W53" s="667"/>
      <c r="X53" s="667"/>
      <c r="Y53" s="667"/>
      <c r="Z53" s="667"/>
      <c r="AA53" s="667"/>
      <c r="AB53" s="667"/>
      <c r="AC53" s="667"/>
      <c r="AD53" s="667"/>
      <c r="AE53" s="667"/>
      <c r="AF53" s="667"/>
      <c r="AG53" s="667"/>
    </row>
    <row r="54" spans="1:33" ht="150" x14ac:dyDescent="0.35">
      <c r="A54" s="668">
        <f t="shared" si="1"/>
        <v>34</v>
      </c>
      <c r="B54" s="628"/>
      <c r="C54" s="628" t="s">
        <v>154</v>
      </c>
      <c r="D54" s="628" t="s">
        <v>157</v>
      </c>
      <c r="E54" s="630" t="s">
        <v>158</v>
      </c>
      <c r="F54" s="628" t="s">
        <v>70</v>
      </c>
      <c r="G54" s="628">
        <v>1</v>
      </c>
      <c r="H54" s="835" t="s">
        <v>96</v>
      </c>
      <c r="I54" s="628">
        <v>12</v>
      </c>
      <c r="J54" s="628" t="s">
        <v>98</v>
      </c>
      <c r="K54" s="628" t="s">
        <v>73</v>
      </c>
      <c r="L54" s="628" t="s">
        <v>159</v>
      </c>
      <c r="M54" s="631"/>
      <c r="N54" s="836"/>
      <c r="O54" s="628" t="s">
        <v>75</v>
      </c>
      <c r="P54" s="628" t="s">
        <v>76</v>
      </c>
      <c r="Q54" s="628" t="s">
        <v>156</v>
      </c>
      <c r="S54" s="667"/>
      <c r="T54" s="667"/>
      <c r="U54" s="667"/>
      <c r="V54" s="667"/>
      <c r="W54" s="667"/>
      <c r="X54" s="667"/>
      <c r="Y54" s="667"/>
      <c r="Z54" s="667"/>
      <c r="AA54" s="667"/>
      <c r="AB54" s="667"/>
      <c r="AC54" s="667"/>
      <c r="AD54" s="667"/>
      <c r="AE54" s="667"/>
      <c r="AF54" s="667"/>
      <c r="AG54" s="667"/>
    </row>
    <row r="55" spans="1:33" ht="120" x14ac:dyDescent="0.35">
      <c r="A55" s="668">
        <f t="shared" si="1"/>
        <v>35</v>
      </c>
      <c r="B55" s="623"/>
      <c r="C55" s="623" t="s">
        <v>68</v>
      </c>
      <c r="D55" s="623">
        <v>80141623</v>
      </c>
      <c r="E55" s="843" t="s">
        <v>160</v>
      </c>
      <c r="F55" s="623" t="s">
        <v>70</v>
      </c>
      <c r="G55" s="623">
        <v>1</v>
      </c>
      <c r="H55" s="626" t="s">
        <v>108</v>
      </c>
      <c r="I55" s="623">
        <v>7</v>
      </c>
      <c r="J55" s="623" t="s">
        <v>114</v>
      </c>
      <c r="K55" s="623" t="s">
        <v>73</v>
      </c>
      <c r="L55" s="623" t="s">
        <v>161</v>
      </c>
      <c r="M55" s="622">
        <v>2000000</v>
      </c>
      <c r="N55" s="627">
        <v>2000000</v>
      </c>
      <c r="O55" s="623" t="s">
        <v>75</v>
      </c>
      <c r="P55" s="623" t="s">
        <v>76</v>
      </c>
      <c r="Q55" s="623" t="s">
        <v>77</v>
      </c>
      <c r="S55" s="667"/>
      <c r="T55" s="667"/>
      <c r="U55" s="667"/>
      <c r="V55" s="667"/>
      <c r="W55" s="667"/>
      <c r="X55" s="667"/>
      <c r="Y55" s="667"/>
      <c r="Z55" s="667"/>
      <c r="AA55" s="667"/>
      <c r="AB55" s="667"/>
      <c r="AC55" s="667"/>
      <c r="AD55" s="667"/>
      <c r="AE55" s="667"/>
      <c r="AF55" s="667"/>
      <c r="AG55" s="667"/>
    </row>
    <row r="56" spans="1:33" ht="120" x14ac:dyDescent="0.35">
      <c r="A56" s="668">
        <f t="shared" si="1"/>
        <v>36</v>
      </c>
      <c r="B56" s="623"/>
      <c r="C56" s="623" t="s">
        <v>68</v>
      </c>
      <c r="D56" s="623" t="s">
        <v>162</v>
      </c>
      <c r="E56" s="625" t="s">
        <v>163</v>
      </c>
      <c r="F56" s="623" t="s">
        <v>70</v>
      </c>
      <c r="G56" s="623">
        <v>1</v>
      </c>
      <c r="H56" s="626" t="s">
        <v>108</v>
      </c>
      <c r="I56" s="623">
        <v>7</v>
      </c>
      <c r="J56" s="623" t="s">
        <v>98</v>
      </c>
      <c r="K56" s="623" t="s">
        <v>73</v>
      </c>
      <c r="L56" s="623" t="s">
        <v>164</v>
      </c>
      <c r="M56" s="622">
        <v>3500000</v>
      </c>
      <c r="N56" s="627">
        <v>3500000</v>
      </c>
      <c r="O56" s="623" t="s">
        <v>75</v>
      </c>
      <c r="P56" s="623" t="s">
        <v>76</v>
      </c>
      <c r="Q56" s="623" t="s">
        <v>77</v>
      </c>
      <c r="S56" s="667"/>
      <c r="T56" s="667"/>
      <c r="U56" s="667"/>
      <c r="V56" s="667"/>
      <c r="W56" s="667"/>
      <c r="X56" s="667"/>
      <c r="Y56" s="667"/>
      <c r="Z56" s="667"/>
      <c r="AA56" s="667"/>
      <c r="AB56" s="667"/>
      <c r="AC56" s="667"/>
      <c r="AD56" s="667"/>
      <c r="AE56" s="667"/>
      <c r="AF56" s="667"/>
      <c r="AG56" s="667"/>
    </row>
    <row r="57" spans="1:33" ht="120" x14ac:dyDescent="0.35">
      <c r="A57" s="668">
        <f t="shared" si="1"/>
        <v>37</v>
      </c>
      <c r="B57" s="623"/>
      <c r="C57" s="623" t="s">
        <v>68</v>
      </c>
      <c r="D57" s="623" t="s">
        <v>165</v>
      </c>
      <c r="E57" s="625" t="s">
        <v>166</v>
      </c>
      <c r="F57" s="623" t="s">
        <v>70</v>
      </c>
      <c r="G57" s="623">
        <v>1</v>
      </c>
      <c r="H57" s="626" t="s">
        <v>84</v>
      </c>
      <c r="I57" s="623">
        <v>2</v>
      </c>
      <c r="J57" s="623" t="s">
        <v>72</v>
      </c>
      <c r="K57" s="623" t="s">
        <v>73</v>
      </c>
      <c r="L57" s="623" t="s">
        <v>167</v>
      </c>
      <c r="M57" s="622">
        <v>6000000</v>
      </c>
      <c r="N57" s="627">
        <v>6000000</v>
      </c>
      <c r="O57" s="623" t="s">
        <v>75</v>
      </c>
      <c r="P57" s="623" t="s">
        <v>76</v>
      </c>
      <c r="Q57" s="623" t="s">
        <v>77</v>
      </c>
      <c r="S57" s="667"/>
      <c r="T57" s="667"/>
      <c r="U57" s="667"/>
      <c r="V57" s="667"/>
      <c r="W57" s="667"/>
      <c r="X57" s="667"/>
      <c r="Y57" s="667"/>
      <c r="Z57" s="667"/>
      <c r="AA57" s="667"/>
      <c r="AB57" s="667"/>
      <c r="AC57" s="667"/>
      <c r="AD57" s="667"/>
      <c r="AE57" s="667"/>
      <c r="AF57" s="667"/>
      <c r="AG57" s="667"/>
    </row>
    <row r="58" spans="1:33" ht="120" x14ac:dyDescent="0.35">
      <c r="A58" s="668">
        <f t="shared" si="1"/>
        <v>38</v>
      </c>
      <c r="B58" s="623"/>
      <c r="C58" s="623" t="s">
        <v>68</v>
      </c>
      <c r="D58" s="624" t="s">
        <v>168</v>
      </c>
      <c r="E58" s="625" t="s">
        <v>169</v>
      </c>
      <c r="F58" s="623" t="s">
        <v>70</v>
      </c>
      <c r="G58" s="623">
        <v>1</v>
      </c>
      <c r="H58" s="626" t="s">
        <v>108</v>
      </c>
      <c r="I58" s="623">
        <v>2</v>
      </c>
      <c r="J58" s="623" t="s">
        <v>72</v>
      </c>
      <c r="K58" s="623" t="s">
        <v>73</v>
      </c>
      <c r="L58" s="623" t="s">
        <v>122</v>
      </c>
      <c r="M58" s="622">
        <v>22000000</v>
      </c>
      <c r="N58" s="627">
        <v>22000000</v>
      </c>
      <c r="O58" s="623" t="s">
        <v>75</v>
      </c>
      <c r="P58" s="623" t="s">
        <v>76</v>
      </c>
      <c r="Q58" s="623" t="s">
        <v>77</v>
      </c>
      <c r="S58" s="667"/>
      <c r="T58" s="667"/>
      <c r="U58" s="667"/>
      <c r="V58" s="667"/>
      <c r="W58" s="667"/>
      <c r="X58" s="667"/>
      <c r="Y58" s="667"/>
      <c r="Z58" s="667"/>
      <c r="AA58" s="667"/>
      <c r="AB58" s="667"/>
      <c r="AC58" s="667"/>
      <c r="AD58" s="667"/>
      <c r="AE58" s="667"/>
      <c r="AF58" s="667"/>
      <c r="AG58" s="667"/>
    </row>
    <row r="59" spans="1:33" ht="131.25" x14ac:dyDescent="0.35">
      <c r="A59" s="668">
        <f t="shared" si="1"/>
        <v>39</v>
      </c>
      <c r="B59" s="623"/>
      <c r="C59" s="623" t="s">
        <v>68</v>
      </c>
      <c r="D59" s="623">
        <v>24112700</v>
      </c>
      <c r="E59" s="625" t="s">
        <v>537</v>
      </c>
      <c r="F59" s="623" t="s">
        <v>70</v>
      </c>
      <c r="G59" s="623">
        <v>1</v>
      </c>
      <c r="H59" s="626" t="s">
        <v>84</v>
      </c>
      <c r="I59" s="623">
        <v>1</v>
      </c>
      <c r="J59" s="623" t="s">
        <v>72</v>
      </c>
      <c r="K59" s="623" t="s">
        <v>73</v>
      </c>
      <c r="L59" s="623" t="s">
        <v>167</v>
      </c>
      <c r="M59" s="622">
        <v>3000000</v>
      </c>
      <c r="N59" s="622">
        <v>3000000</v>
      </c>
      <c r="O59" s="623" t="s">
        <v>75</v>
      </c>
      <c r="P59" s="623" t="s">
        <v>76</v>
      </c>
      <c r="Q59" s="623" t="s">
        <v>77</v>
      </c>
      <c r="S59" s="866" t="s">
        <v>1199</v>
      </c>
      <c r="T59" s="866" t="s">
        <v>1071</v>
      </c>
      <c r="U59" s="856">
        <v>43530</v>
      </c>
      <c r="V59" s="862" t="s">
        <v>1200</v>
      </c>
      <c r="W59" s="863" t="s">
        <v>1073</v>
      </c>
      <c r="X59" s="867">
        <v>3000000</v>
      </c>
      <c r="Y59" s="868">
        <v>0</v>
      </c>
      <c r="Z59" s="867">
        <v>3000000</v>
      </c>
      <c r="AA59" s="862" t="s">
        <v>1201</v>
      </c>
      <c r="AB59" s="863">
        <v>14919</v>
      </c>
      <c r="AC59" s="862" t="s">
        <v>1075</v>
      </c>
      <c r="AD59" s="856">
        <v>43530</v>
      </c>
      <c r="AE59" s="856">
        <v>43560</v>
      </c>
      <c r="AF59" s="863" t="s">
        <v>925</v>
      </c>
      <c r="AG59" s="864" t="s">
        <v>691</v>
      </c>
    </row>
    <row r="60" spans="1:33" ht="180" x14ac:dyDescent="0.35">
      <c r="A60" s="668">
        <v>40</v>
      </c>
      <c r="B60" s="844"/>
      <c r="C60" s="623" t="s">
        <v>139</v>
      </c>
      <c r="D60" s="624" t="s">
        <v>170</v>
      </c>
      <c r="E60" s="625" t="s">
        <v>171</v>
      </c>
      <c r="F60" s="623" t="s">
        <v>70</v>
      </c>
      <c r="G60" s="623">
        <v>1</v>
      </c>
      <c r="H60" s="626" t="s">
        <v>86</v>
      </c>
      <c r="I60" s="623">
        <v>1</v>
      </c>
      <c r="J60" s="623" t="s">
        <v>72</v>
      </c>
      <c r="K60" s="623" t="s">
        <v>73</v>
      </c>
      <c r="L60" s="623" t="s">
        <v>82</v>
      </c>
      <c r="M60" s="842">
        <v>1500000</v>
      </c>
      <c r="N60" s="845">
        <v>1500000</v>
      </c>
      <c r="O60" s="623" t="s">
        <v>75</v>
      </c>
      <c r="P60" s="623" t="s">
        <v>76</v>
      </c>
      <c r="Q60" s="830" t="s">
        <v>142</v>
      </c>
      <c r="S60" s="866" t="s">
        <v>1202</v>
      </c>
      <c r="T60" s="866" t="s">
        <v>1203</v>
      </c>
      <c r="U60" s="856">
        <v>43532</v>
      </c>
      <c r="V60" s="862" t="s">
        <v>1204</v>
      </c>
      <c r="W60" s="863" t="s">
        <v>1073</v>
      </c>
      <c r="X60" s="867">
        <v>1485000</v>
      </c>
      <c r="Y60" s="868">
        <v>0</v>
      </c>
      <c r="Z60" s="867">
        <v>1485000</v>
      </c>
      <c r="AA60" s="862" t="s">
        <v>1205</v>
      </c>
      <c r="AB60" s="863">
        <v>17519</v>
      </c>
      <c r="AC60" s="862" t="s">
        <v>1206</v>
      </c>
      <c r="AD60" s="856">
        <v>43532</v>
      </c>
      <c r="AE60" s="856">
        <v>43554</v>
      </c>
      <c r="AF60" s="863" t="s">
        <v>1207</v>
      </c>
      <c r="AG60" s="864" t="s">
        <v>718</v>
      </c>
    </row>
    <row r="61" spans="1:33" ht="150" x14ac:dyDescent="0.35">
      <c r="A61" s="668">
        <f t="shared" si="1"/>
        <v>41</v>
      </c>
      <c r="B61" s="623"/>
      <c r="C61" s="623" t="s">
        <v>139</v>
      </c>
      <c r="D61" s="624" t="s">
        <v>172</v>
      </c>
      <c r="E61" s="625" t="s">
        <v>173</v>
      </c>
      <c r="F61" s="623" t="s">
        <v>70</v>
      </c>
      <c r="G61" s="623">
        <v>1</v>
      </c>
      <c r="H61" s="626" t="s">
        <v>84</v>
      </c>
      <c r="I61" s="623">
        <v>9</v>
      </c>
      <c r="J61" s="623" t="s">
        <v>72</v>
      </c>
      <c r="K61" s="623" t="s">
        <v>73</v>
      </c>
      <c r="L61" s="623" t="s">
        <v>164</v>
      </c>
      <c r="M61" s="842">
        <v>2500000</v>
      </c>
      <c r="N61" s="845">
        <v>2500000</v>
      </c>
      <c r="O61" s="623" t="s">
        <v>75</v>
      </c>
      <c r="P61" s="623" t="s">
        <v>76</v>
      </c>
      <c r="Q61" s="830" t="s">
        <v>142</v>
      </c>
      <c r="S61" s="866" t="s">
        <v>1202</v>
      </c>
      <c r="T61" s="866" t="s">
        <v>1203</v>
      </c>
      <c r="U61" s="856">
        <v>43532</v>
      </c>
      <c r="V61" s="862" t="s">
        <v>1204</v>
      </c>
      <c r="W61" s="863" t="s">
        <v>1073</v>
      </c>
      <c r="X61" s="867">
        <v>1125000</v>
      </c>
      <c r="Y61" s="868">
        <v>0</v>
      </c>
      <c r="Z61" s="867">
        <v>1125000</v>
      </c>
      <c r="AA61" s="862" t="s">
        <v>1205</v>
      </c>
      <c r="AB61" s="863">
        <v>17419</v>
      </c>
      <c r="AC61" s="862" t="s">
        <v>1206</v>
      </c>
      <c r="AD61" s="856">
        <v>43532</v>
      </c>
      <c r="AE61" s="856">
        <v>43554</v>
      </c>
      <c r="AF61" s="863" t="s">
        <v>1207</v>
      </c>
      <c r="AG61" s="864" t="s">
        <v>718</v>
      </c>
    </row>
    <row r="62" spans="1:33" ht="120" x14ac:dyDescent="0.35">
      <c r="A62" s="668">
        <f t="shared" si="1"/>
        <v>42</v>
      </c>
      <c r="B62" s="623"/>
      <c r="C62" s="623" t="s">
        <v>68</v>
      </c>
      <c r="D62" s="624" t="s">
        <v>174</v>
      </c>
      <c r="E62" s="625" t="s">
        <v>1196</v>
      </c>
      <c r="F62" s="623" t="s">
        <v>70</v>
      </c>
      <c r="G62" s="623">
        <v>1</v>
      </c>
      <c r="H62" s="626" t="s">
        <v>120</v>
      </c>
      <c r="I62" s="623">
        <v>2</v>
      </c>
      <c r="J62" s="623" t="s">
        <v>72</v>
      </c>
      <c r="K62" s="623" t="s">
        <v>73</v>
      </c>
      <c r="L62" s="623" t="s">
        <v>175</v>
      </c>
      <c r="M62" s="622">
        <v>4000000</v>
      </c>
      <c r="N62" s="622">
        <v>4000000</v>
      </c>
      <c r="O62" s="623" t="s">
        <v>75</v>
      </c>
      <c r="P62" s="623" t="s">
        <v>76</v>
      </c>
      <c r="Q62" s="623" t="s">
        <v>77</v>
      </c>
      <c r="S62" s="667"/>
      <c r="T62" s="667"/>
      <c r="U62" s="667"/>
      <c r="V62" s="667"/>
      <c r="W62" s="667"/>
      <c r="X62" s="667"/>
      <c r="Y62" s="667"/>
      <c r="Z62" s="667"/>
      <c r="AA62" s="667"/>
      <c r="AB62" s="667"/>
      <c r="AC62" s="667"/>
      <c r="AD62" s="667"/>
      <c r="AE62" s="667"/>
      <c r="AF62" s="667"/>
      <c r="AG62" s="667"/>
    </row>
    <row r="63" spans="1:33" ht="150" x14ac:dyDescent="0.35">
      <c r="A63" s="668">
        <f t="shared" si="1"/>
        <v>43</v>
      </c>
      <c r="B63" s="628"/>
      <c r="C63" s="628" t="s">
        <v>68</v>
      </c>
      <c r="D63" s="628">
        <v>26111601</v>
      </c>
      <c r="E63" s="630" t="s">
        <v>176</v>
      </c>
      <c r="F63" s="628" t="s">
        <v>70</v>
      </c>
      <c r="G63" s="628">
        <v>1</v>
      </c>
      <c r="H63" s="628" t="s">
        <v>71</v>
      </c>
      <c r="I63" s="628">
        <v>2</v>
      </c>
      <c r="J63" s="628" t="s">
        <v>88</v>
      </c>
      <c r="K63" s="628" t="s">
        <v>73</v>
      </c>
      <c r="L63" s="628" t="s">
        <v>177</v>
      </c>
      <c r="M63" s="631"/>
      <c r="N63" s="631"/>
      <c r="O63" s="628" t="s">
        <v>75</v>
      </c>
      <c r="P63" s="628" t="s">
        <v>76</v>
      </c>
      <c r="Q63" s="628" t="s">
        <v>77</v>
      </c>
      <c r="S63" s="667"/>
      <c r="T63" s="667"/>
      <c r="U63" s="667"/>
      <c r="V63" s="667"/>
      <c r="W63" s="667"/>
      <c r="X63" s="667"/>
      <c r="Y63" s="667"/>
      <c r="Z63" s="667"/>
      <c r="AA63" s="667"/>
      <c r="AB63" s="667"/>
      <c r="AC63" s="667"/>
      <c r="AD63" s="667"/>
      <c r="AE63" s="667"/>
      <c r="AF63" s="667"/>
      <c r="AG63" s="667"/>
    </row>
    <row r="64" spans="1:33" ht="409.5" x14ac:dyDescent="0.35">
      <c r="A64" s="668">
        <f t="shared" si="1"/>
        <v>44</v>
      </c>
      <c r="B64" s="623"/>
      <c r="C64" s="623" t="s">
        <v>68</v>
      </c>
      <c r="D64" s="623" t="s">
        <v>1226</v>
      </c>
      <c r="E64" s="625" t="s">
        <v>178</v>
      </c>
      <c r="F64" s="623" t="s">
        <v>70</v>
      </c>
      <c r="G64" s="623">
        <v>1</v>
      </c>
      <c r="H64" s="626" t="s">
        <v>120</v>
      </c>
      <c r="I64" s="623">
        <v>2</v>
      </c>
      <c r="J64" s="623" t="s">
        <v>72</v>
      </c>
      <c r="K64" s="623" t="s">
        <v>73</v>
      </c>
      <c r="L64" s="623" t="s">
        <v>914</v>
      </c>
      <c r="M64" s="622">
        <v>5000000</v>
      </c>
      <c r="N64" s="622">
        <v>5000000</v>
      </c>
      <c r="O64" s="623" t="s">
        <v>75</v>
      </c>
      <c r="P64" s="623" t="s">
        <v>76</v>
      </c>
      <c r="Q64" s="623" t="s">
        <v>77</v>
      </c>
      <c r="S64" s="667"/>
      <c r="T64" s="667"/>
      <c r="U64" s="667"/>
      <c r="V64" s="667"/>
      <c r="W64" s="667"/>
      <c r="X64" s="667"/>
      <c r="Y64" s="667"/>
      <c r="Z64" s="667"/>
      <c r="AA64" s="667"/>
      <c r="AB64" s="667"/>
      <c r="AC64" s="667"/>
      <c r="AD64" s="667"/>
      <c r="AE64" s="667"/>
      <c r="AF64" s="667"/>
      <c r="AG64" s="667"/>
    </row>
    <row r="65" spans="1:33" ht="120" x14ac:dyDescent="0.35">
      <c r="A65" s="668">
        <f t="shared" si="1"/>
        <v>45</v>
      </c>
      <c r="B65" s="623"/>
      <c r="C65" s="623" t="s">
        <v>68</v>
      </c>
      <c r="D65" s="623" t="s">
        <v>179</v>
      </c>
      <c r="E65" s="625" t="s">
        <v>180</v>
      </c>
      <c r="F65" s="623" t="s">
        <v>70</v>
      </c>
      <c r="G65" s="623">
        <v>1</v>
      </c>
      <c r="H65" s="623" t="s">
        <v>108</v>
      </c>
      <c r="I65" s="623">
        <v>2</v>
      </c>
      <c r="J65" s="623" t="s">
        <v>72</v>
      </c>
      <c r="K65" s="623" t="s">
        <v>73</v>
      </c>
      <c r="L65" s="623" t="s">
        <v>135</v>
      </c>
      <c r="M65" s="622">
        <v>5000000</v>
      </c>
      <c r="N65" s="622">
        <v>5000000</v>
      </c>
      <c r="O65" s="623" t="s">
        <v>75</v>
      </c>
      <c r="P65" s="623" t="s">
        <v>76</v>
      </c>
      <c r="Q65" s="623" t="s">
        <v>77</v>
      </c>
      <c r="S65" s="667"/>
      <c r="T65" s="667"/>
      <c r="U65" s="667"/>
      <c r="V65" s="667"/>
      <c r="W65" s="667"/>
      <c r="X65" s="667"/>
      <c r="Y65" s="667"/>
      <c r="Z65" s="667"/>
      <c r="AA65" s="667"/>
      <c r="AB65" s="667"/>
      <c r="AC65" s="667"/>
      <c r="AD65" s="667"/>
      <c r="AE65" s="667"/>
      <c r="AF65" s="667"/>
      <c r="AG65" s="667"/>
    </row>
    <row r="66" spans="1:33" ht="120" x14ac:dyDescent="0.35">
      <c r="A66" s="668">
        <f t="shared" si="1"/>
        <v>46</v>
      </c>
      <c r="B66" s="623"/>
      <c r="C66" s="623" t="s">
        <v>68</v>
      </c>
      <c r="D66" s="623" t="s">
        <v>181</v>
      </c>
      <c r="E66" s="625" t="s">
        <v>182</v>
      </c>
      <c r="F66" s="623" t="s">
        <v>70</v>
      </c>
      <c r="G66" s="623">
        <v>1</v>
      </c>
      <c r="H66" s="626" t="s">
        <v>102</v>
      </c>
      <c r="I66" s="623">
        <v>1</v>
      </c>
      <c r="J66" s="623" t="s">
        <v>98</v>
      </c>
      <c r="K66" s="623" t="s">
        <v>73</v>
      </c>
      <c r="L66" s="623" t="s">
        <v>161</v>
      </c>
      <c r="M66" s="622">
        <v>1600000</v>
      </c>
      <c r="N66" s="622">
        <v>1600000</v>
      </c>
      <c r="O66" s="623" t="s">
        <v>75</v>
      </c>
      <c r="P66" s="623" t="s">
        <v>76</v>
      </c>
      <c r="Q66" s="623" t="s">
        <v>77</v>
      </c>
      <c r="S66" s="667"/>
      <c r="T66" s="667"/>
      <c r="U66" s="667"/>
      <c r="V66" s="667"/>
      <c r="W66" s="667"/>
      <c r="X66" s="667"/>
      <c r="Y66" s="667"/>
      <c r="Z66" s="667"/>
      <c r="AA66" s="667"/>
      <c r="AB66" s="667"/>
      <c r="AC66" s="667"/>
      <c r="AD66" s="667"/>
      <c r="AE66" s="667"/>
      <c r="AF66" s="667"/>
      <c r="AG66" s="667"/>
    </row>
    <row r="67" spans="1:33" ht="120" x14ac:dyDescent="0.35">
      <c r="A67" s="668">
        <f t="shared" si="1"/>
        <v>47</v>
      </c>
      <c r="B67" s="623"/>
      <c r="C67" s="623" t="s">
        <v>68</v>
      </c>
      <c r="D67" s="623" t="s">
        <v>1242</v>
      </c>
      <c r="E67" s="625" t="s">
        <v>183</v>
      </c>
      <c r="F67" s="623" t="s">
        <v>70</v>
      </c>
      <c r="G67" s="623">
        <v>1</v>
      </c>
      <c r="H67" s="623" t="s">
        <v>120</v>
      </c>
      <c r="I67" s="623">
        <v>2</v>
      </c>
      <c r="J67" s="623" t="s">
        <v>98</v>
      </c>
      <c r="K67" s="623" t="s">
        <v>73</v>
      </c>
      <c r="L67" s="623" t="s">
        <v>161</v>
      </c>
      <c r="M67" s="622">
        <v>23000000</v>
      </c>
      <c r="N67" s="622">
        <v>23000000</v>
      </c>
      <c r="O67" s="623" t="s">
        <v>75</v>
      </c>
      <c r="P67" s="623" t="s">
        <v>76</v>
      </c>
      <c r="Q67" s="623" t="s">
        <v>77</v>
      </c>
      <c r="S67" s="667"/>
      <c r="T67" s="667"/>
      <c r="U67" s="667"/>
      <c r="V67" s="667"/>
      <c r="W67" s="667"/>
      <c r="X67" s="667"/>
      <c r="Y67" s="667"/>
      <c r="Z67" s="667"/>
      <c r="AA67" s="667"/>
      <c r="AB67" s="667"/>
      <c r="AC67" s="667"/>
      <c r="AD67" s="667"/>
      <c r="AE67" s="667"/>
      <c r="AF67" s="667"/>
      <c r="AG67" s="667"/>
    </row>
    <row r="68" spans="1:33" s="667" customFormat="1" ht="206.25" x14ac:dyDescent="0.35">
      <c r="A68" s="668">
        <f t="shared" si="1"/>
        <v>48</v>
      </c>
      <c r="B68" s="623"/>
      <c r="C68" s="623" t="s">
        <v>115</v>
      </c>
      <c r="D68" s="623" t="s">
        <v>184</v>
      </c>
      <c r="E68" s="625" t="s">
        <v>548</v>
      </c>
      <c r="F68" s="623" t="s">
        <v>70</v>
      </c>
      <c r="G68" s="623">
        <v>1</v>
      </c>
      <c r="H68" s="623" t="s">
        <v>71</v>
      </c>
      <c r="I68" s="623">
        <v>12</v>
      </c>
      <c r="J68" s="623" t="s">
        <v>114</v>
      </c>
      <c r="K68" s="623" t="s">
        <v>130</v>
      </c>
      <c r="L68" s="623" t="s">
        <v>185</v>
      </c>
      <c r="M68" s="622">
        <v>90000000</v>
      </c>
      <c r="N68" s="622">
        <v>90000000</v>
      </c>
      <c r="O68" s="623" t="s">
        <v>75</v>
      </c>
      <c r="P68" s="623" t="s">
        <v>76</v>
      </c>
      <c r="Q68" s="623" t="s">
        <v>118</v>
      </c>
      <c r="R68" s="639"/>
      <c r="S68" s="855" t="s">
        <v>926</v>
      </c>
      <c r="T68" s="855" t="s">
        <v>927</v>
      </c>
      <c r="U68" s="856">
        <v>43496</v>
      </c>
      <c r="V68" s="857" t="s">
        <v>928</v>
      </c>
      <c r="W68" s="858" t="s">
        <v>903</v>
      </c>
      <c r="X68" s="859">
        <v>62400000</v>
      </c>
      <c r="Y68" s="860">
        <v>0</v>
      </c>
      <c r="Z68" s="859">
        <v>62400000</v>
      </c>
      <c r="AA68" s="857" t="s">
        <v>929</v>
      </c>
      <c r="AB68" s="858">
        <v>12519</v>
      </c>
      <c r="AC68" s="862" t="s">
        <v>930</v>
      </c>
      <c r="AD68" s="856">
        <v>43497</v>
      </c>
      <c r="AE68" s="856">
        <v>43861</v>
      </c>
      <c r="AF68" s="863" t="s">
        <v>931</v>
      </c>
      <c r="AG68" s="864" t="s">
        <v>813</v>
      </c>
    </row>
    <row r="69" spans="1:33" s="667" customFormat="1" ht="120" x14ac:dyDescent="0.35">
      <c r="A69" s="668">
        <f t="shared" si="1"/>
        <v>49</v>
      </c>
      <c r="B69" s="623" t="s">
        <v>186</v>
      </c>
      <c r="C69" s="623" t="s">
        <v>68</v>
      </c>
      <c r="D69" s="624" t="s">
        <v>187</v>
      </c>
      <c r="E69" s="625" t="s">
        <v>188</v>
      </c>
      <c r="F69" s="623" t="s">
        <v>70</v>
      </c>
      <c r="G69" s="623">
        <v>1</v>
      </c>
      <c r="H69" s="623" t="s">
        <v>120</v>
      </c>
      <c r="I69" s="623">
        <v>5</v>
      </c>
      <c r="J69" s="623" t="s">
        <v>189</v>
      </c>
      <c r="K69" s="623" t="s">
        <v>130</v>
      </c>
      <c r="L69" s="623" t="s">
        <v>190</v>
      </c>
      <c r="M69" s="622">
        <v>300000000</v>
      </c>
      <c r="N69" s="622">
        <v>300000000</v>
      </c>
      <c r="O69" s="623" t="s">
        <v>75</v>
      </c>
      <c r="P69" s="623" t="s">
        <v>76</v>
      </c>
      <c r="Q69" s="623" t="s">
        <v>77</v>
      </c>
      <c r="R69" s="639"/>
    </row>
    <row r="70" spans="1:33" s="667" customFormat="1" ht="150" x14ac:dyDescent="0.35">
      <c r="A70" s="668">
        <f t="shared" si="1"/>
        <v>50</v>
      </c>
      <c r="B70" s="623"/>
      <c r="C70" s="623" t="s">
        <v>68</v>
      </c>
      <c r="D70" s="624" t="s">
        <v>123</v>
      </c>
      <c r="E70" s="625" t="s">
        <v>191</v>
      </c>
      <c r="F70" s="623" t="s">
        <v>70</v>
      </c>
      <c r="G70" s="623">
        <v>1</v>
      </c>
      <c r="H70" s="626" t="s">
        <v>108</v>
      </c>
      <c r="I70" s="623">
        <v>4.5</v>
      </c>
      <c r="J70" s="623" t="s">
        <v>98</v>
      </c>
      <c r="K70" s="623" t="s">
        <v>73</v>
      </c>
      <c r="L70" s="623" t="s">
        <v>89</v>
      </c>
      <c r="M70" s="622">
        <v>4000000</v>
      </c>
      <c r="N70" s="627">
        <v>4000000</v>
      </c>
      <c r="O70" s="623" t="s">
        <v>75</v>
      </c>
      <c r="P70" s="623" t="s">
        <v>76</v>
      </c>
      <c r="Q70" s="623" t="s">
        <v>77</v>
      </c>
      <c r="R70" s="639"/>
    </row>
    <row r="71" spans="1:33" s="667" customFormat="1" ht="240" x14ac:dyDescent="0.35">
      <c r="A71" s="668">
        <f t="shared" si="1"/>
        <v>51</v>
      </c>
      <c r="B71" s="628" t="s">
        <v>192</v>
      </c>
      <c r="C71" s="628" t="s">
        <v>193</v>
      </c>
      <c r="D71" s="629">
        <v>80141607</v>
      </c>
      <c r="E71" s="630" t="s">
        <v>194</v>
      </c>
      <c r="F71" s="628" t="s">
        <v>70</v>
      </c>
      <c r="G71" s="628">
        <v>1</v>
      </c>
      <c r="H71" s="628" t="s">
        <v>147</v>
      </c>
      <c r="I71" s="628">
        <v>1</v>
      </c>
      <c r="J71" s="628" t="s">
        <v>195</v>
      </c>
      <c r="K71" s="628" t="s">
        <v>130</v>
      </c>
      <c r="L71" s="628"/>
      <c r="M71" s="631"/>
      <c r="N71" s="631"/>
      <c r="O71" s="628" t="s">
        <v>75</v>
      </c>
      <c r="P71" s="628" t="s">
        <v>76</v>
      </c>
      <c r="Q71" s="628" t="s">
        <v>196</v>
      </c>
      <c r="R71" s="639"/>
    </row>
    <row r="72" spans="1:33" s="667" customFormat="1" ht="240" x14ac:dyDescent="0.35">
      <c r="A72" s="668">
        <f t="shared" si="1"/>
        <v>52</v>
      </c>
      <c r="B72" s="628" t="s">
        <v>192</v>
      </c>
      <c r="C72" s="628" t="s">
        <v>193</v>
      </c>
      <c r="D72" s="629">
        <v>80141607</v>
      </c>
      <c r="E72" s="630" t="s">
        <v>197</v>
      </c>
      <c r="F72" s="628" t="s">
        <v>70</v>
      </c>
      <c r="G72" s="628">
        <v>1</v>
      </c>
      <c r="H72" s="628" t="s">
        <v>93</v>
      </c>
      <c r="I72" s="628">
        <v>1</v>
      </c>
      <c r="J72" s="628" t="s">
        <v>195</v>
      </c>
      <c r="K72" s="628" t="s">
        <v>130</v>
      </c>
      <c r="L72" s="628"/>
      <c r="M72" s="631"/>
      <c r="N72" s="631"/>
      <c r="O72" s="628" t="s">
        <v>75</v>
      </c>
      <c r="P72" s="628" t="s">
        <v>76</v>
      </c>
      <c r="Q72" s="628" t="s">
        <v>196</v>
      </c>
      <c r="R72" s="639"/>
    </row>
    <row r="73" spans="1:33" s="633" customFormat="1" ht="120" x14ac:dyDescent="0.35">
      <c r="A73" s="632">
        <f t="shared" si="1"/>
        <v>53</v>
      </c>
      <c r="B73" s="628"/>
      <c r="C73" s="628" t="s">
        <v>198</v>
      </c>
      <c r="D73" s="629">
        <v>86101705</v>
      </c>
      <c r="E73" s="630" t="s">
        <v>199</v>
      </c>
      <c r="F73" s="628" t="s">
        <v>70</v>
      </c>
      <c r="G73" s="628">
        <v>1</v>
      </c>
      <c r="H73" s="628" t="s">
        <v>80</v>
      </c>
      <c r="I73" s="628">
        <v>1</v>
      </c>
      <c r="J73" s="628" t="s">
        <v>114</v>
      </c>
      <c r="K73" s="628" t="s">
        <v>73</v>
      </c>
      <c r="L73" s="628" t="s">
        <v>200</v>
      </c>
      <c r="M73" s="631"/>
      <c r="N73" s="631"/>
      <c r="O73" s="628" t="s">
        <v>75</v>
      </c>
      <c r="P73" s="628" t="s">
        <v>76</v>
      </c>
      <c r="Q73" s="628" t="s">
        <v>201</v>
      </c>
      <c r="R73" s="617"/>
    </row>
    <row r="74" spans="1:33" ht="240" x14ac:dyDescent="0.35">
      <c r="A74" s="668">
        <f t="shared" si="1"/>
        <v>54</v>
      </c>
      <c r="B74" s="623"/>
      <c r="C74" s="623" t="s">
        <v>202</v>
      </c>
      <c r="D74" s="624">
        <v>52161520</v>
      </c>
      <c r="E74" s="625" t="s">
        <v>203</v>
      </c>
      <c r="F74" s="623" t="s">
        <v>70</v>
      </c>
      <c r="G74" s="623">
        <v>1</v>
      </c>
      <c r="H74" s="623" t="s">
        <v>108</v>
      </c>
      <c r="I74" s="623">
        <v>2</v>
      </c>
      <c r="J74" s="623" t="s">
        <v>72</v>
      </c>
      <c r="K74" s="623" t="s">
        <v>73</v>
      </c>
      <c r="L74" s="623" t="s">
        <v>205</v>
      </c>
      <c r="M74" s="622">
        <v>4500000</v>
      </c>
      <c r="N74" s="622">
        <v>4500000</v>
      </c>
      <c r="O74" s="623" t="s">
        <v>75</v>
      </c>
      <c r="P74" s="623" t="s">
        <v>76</v>
      </c>
      <c r="Q74" s="623" t="s">
        <v>206</v>
      </c>
      <c r="S74" s="667"/>
      <c r="T74" s="667"/>
      <c r="U74" s="667"/>
      <c r="V74" s="667"/>
      <c r="W74" s="667"/>
      <c r="X74" s="667"/>
      <c r="Y74" s="667"/>
      <c r="Z74" s="667"/>
      <c r="AA74" s="667"/>
      <c r="AB74" s="667"/>
      <c r="AC74" s="667"/>
      <c r="AD74" s="667"/>
      <c r="AE74" s="667"/>
      <c r="AF74" s="667"/>
      <c r="AG74" s="667"/>
    </row>
    <row r="75" spans="1:33" ht="120" x14ac:dyDescent="0.35">
      <c r="A75" s="668">
        <f t="shared" si="1"/>
        <v>55</v>
      </c>
      <c r="B75" s="623"/>
      <c r="C75" s="623" t="s">
        <v>202</v>
      </c>
      <c r="D75" s="624">
        <v>26111704</v>
      </c>
      <c r="E75" s="625" t="s">
        <v>1089</v>
      </c>
      <c r="F75" s="623" t="s">
        <v>70</v>
      </c>
      <c r="G75" s="623">
        <v>1</v>
      </c>
      <c r="H75" s="623" t="s">
        <v>108</v>
      </c>
      <c r="I75" s="623">
        <v>2</v>
      </c>
      <c r="J75" s="623" t="s">
        <v>72</v>
      </c>
      <c r="K75" s="623" t="s">
        <v>73</v>
      </c>
      <c r="L75" s="623" t="s">
        <v>207</v>
      </c>
      <c r="M75" s="622">
        <v>500000</v>
      </c>
      <c r="N75" s="622">
        <v>500000</v>
      </c>
      <c r="O75" s="623" t="s">
        <v>75</v>
      </c>
      <c r="P75" s="623" t="s">
        <v>76</v>
      </c>
      <c r="Q75" s="623" t="s">
        <v>206</v>
      </c>
      <c r="S75" s="667"/>
      <c r="T75" s="667"/>
      <c r="U75" s="667"/>
      <c r="V75" s="667"/>
      <c r="W75" s="667"/>
      <c r="X75" s="667"/>
      <c r="Y75" s="667"/>
      <c r="Z75" s="667"/>
      <c r="AA75" s="667"/>
      <c r="AB75" s="667"/>
      <c r="AC75" s="667"/>
      <c r="AD75" s="667"/>
      <c r="AE75" s="667"/>
      <c r="AF75" s="667"/>
      <c r="AG75" s="667"/>
    </row>
    <row r="76" spans="1:33" ht="240" x14ac:dyDescent="0.35">
      <c r="A76" s="668">
        <f t="shared" si="1"/>
        <v>56</v>
      </c>
      <c r="B76" s="623"/>
      <c r="C76" s="623" t="s">
        <v>202</v>
      </c>
      <c r="D76" s="624">
        <v>52161535</v>
      </c>
      <c r="E76" s="625" t="s">
        <v>208</v>
      </c>
      <c r="F76" s="623" t="s">
        <v>70</v>
      </c>
      <c r="G76" s="623">
        <v>1</v>
      </c>
      <c r="H76" s="623" t="s">
        <v>108</v>
      </c>
      <c r="I76" s="623">
        <v>2</v>
      </c>
      <c r="J76" s="623" t="s">
        <v>72</v>
      </c>
      <c r="K76" s="623" t="s">
        <v>73</v>
      </c>
      <c r="L76" s="623" t="s">
        <v>205</v>
      </c>
      <c r="M76" s="622">
        <v>400000</v>
      </c>
      <c r="N76" s="622">
        <v>400000</v>
      </c>
      <c r="O76" s="623" t="s">
        <v>209</v>
      </c>
      <c r="P76" s="623" t="s">
        <v>76</v>
      </c>
      <c r="Q76" s="623" t="s">
        <v>206</v>
      </c>
      <c r="S76" s="667"/>
      <c r="T76" s="667"/>
      <c r="U76" s="667"/>
      <c r="V76" s="667"/>
      <c r="W76" s="667"/>
      <c r="X76" s="667"/>
      <c r="Y76" s="667"/>
      <c r="Z76" s="667"/>
      <c r="AA76" s="667"/>
      <c r="AB76" s="667"/>
      <c r="AC76" s="667"/>
      <c r="AD76" s="667"/>
      <c r="AE76" s="667"/>
      <c r="AF76" s="667"/>
      <c r="AG76" s="667"/>
    </row>
    <row r="77" spans="1:33" ht="120" x14ac:dyDescent="0.35">
      <c r="A77" s="668">
        <f t="shared" si="1"/>
        <v>57</v>
      </c>
      <c r="B77" s="623"/>
      <c r="C77" s="628" t="s">
        <v>202</v>
      </c>
      <c r="D77" s="629">
        <v>43202222</v>
      </c>
      <c r="E77" s="630" t="s">
        <v>210</v>
      </c>
      <c r="F77" s="628" t="s">
        <v>70</v>
      </c>
      <c r="G77" s="628">
        <v>1</v>
      </c>
      <c r="H77" s="628" t="s">
        <v>211</v>
      </c>
      <c r="I77" s="628">
        <v>2</v>
      </c>
      <c r="J77" s="628" t="s">
        <v>98</v>
      </c>
      <c r="K77" s="628" t="s">
        <v>73</v>
      </c>
      <c r="L77" s="628" t="s">
        <v>117</v>
      </c>
      <c r="M77" s="631"/>
      <c r="N77" s="631"/>
      <c r="O77" s="628" t="s">
        <v>75</v>
      </c>
      <c r="P77" s="628" t="s">
        <v>76</v>
      </c>
      <c r="Q77" s="628" t="s">
        <v>206</v>
      </c>
      <c r="S77" s="667"/>
      <c r="T77" s="667"/>
      <c r="U77" s="667"/>
      <c r="V77" s="667"/>
      <c r="W77" s="667"/>
      <c r="X77" s="667"/>
      <c r="Y77" s="667"/>
      <c r="Z77" s="667"/>
      <c r="AA77" s="667"/>
      <c r="AB77" s="667"/>
      <c r="AC77" s="667"/>
      <c r="AD77" s="667"/>
      <c r="AE77" s="667"/>
      <c r="AF77" s="667"/>
      <c r="AG77" s="667"/>
    </row>
    <row r="78" spans="1:33" ht="240" x14ac:dyDescent="0.35">
      <c r="A78" s="668">
        <f t="shared" si="1"/>
        <v>58</v>
      </c>
      <c r="B78" s="623"/>
      <c r="C78" s="623" t="s">
        <v>202</v>
      </c>
      <c r="D78" s="624">
        <v>45121601</v>
      </c>
      <c r="E78" s="625" t="s">
        <v>212</v>
      </c>
      <c r="F78" s="623" t="s">
        <v>70</v>
      </c>
      <c r="G78" s="623">
        <v>1</v>
      </c>
      <c r="H78" s="623" t="s">
        <v>108</v>
      </c>
      <c r="I78" s="623">
        <v>2</v>
      </c>
      <c r="J78" s="623" t="s">
        <v>72</v>
      </c>
      <c r="K78" s="623" t="s">
        <v>73</v>
      </c>
      <c r="L78" s="623" t="s">
        <v>205</v>
      </c>
      <c r="M78" s="622">
        <v>900000</v>
      </c>
      <c r="N78" s="622">
        <v>900000</v>
      </c>
      <c r="O78" s="623" t="s">
        <v>75</v>
      </c>
      <c r="P78" s="623" t="s">
        <v>76</v>
      </c>
      <c r="Q78" s="623" t="s">
        <v>206</v>
      </c>
      <c r="S78" s="667"/>
      <c r="T78" s="667"/>
      <c r="U78" s="667"/>
      <c r="V78" s="667"/>
      <c r="W78" s="667"/>
      <c r="X78" s="667"/>
      <c r="Y78" s="667"/>
      <c r="Z78" s="667"/>
      <c r="AA78" s="667"/>
      <c r="AB78" s="667"/>
      <c r="AC78" s="667"/>
      <c r="AD78" s="667"/>
      <c r="AE78" s="667"/>
      <c r="AF78" s="667"/>
      <c r="AG78" s="667"/>
    </row>
    <row r="79" spans="1:33" ht="150" x14ac:dyDescent="0.35">
      <c r="A79" s="668">
        <f t="shared" si="1"/>
        <v>59</v>
      </c>
      <c r="B79" s="623"/>
      <c r="C79" s="623" t="s">
        <v>202</v>
      </c>
      <c r="D79" s="624" t="s">
        <v>1239</v>
      </c>
      <c r="E79" s="625" t="s">
        <v>213</v>
      </c>
      <c r="F79" s="623" t="s">
        <v>70</v>
      </c>
      <c r="G79" s="623">
        <v>1</v>
      </c>
      <c r="H79" s="623" t="s">
        <v>120</v>
      </c>
      <c r="I79" s="623">
        <v>9</v>
      </c>
      <c r="J79" s="623" t="s">
        <v>88</v>
      </c>
      <c r="K79" s="623" t="s">
        <v>73</v>
      </c>
      <c r="L79" s="623" t="s">
        <v>214</v>
      </c>
      <c r="M79" s="622">
        <v>36000000</v>
      </c>
      <c r="N79" s="622">
        <v>36000000</v>
      </c>
      <c r="O79" s="623" t="s">
        <v>75</v>
      </c>
      <c r="P79" s="623" t="s">
        <v>76</v>
      </c>
      <c r="Q79" s="623" t="s">
        <v>206</v>
      </c>
      <c r="S79" s="667"/>
      <c r="T79" s="667"/>
      <c r="U79" s="667"/>
      <c r="V79" s="667"/>
      <c r="W79" s="667"/>
      <c r="X79" s="667"/>
      <c r="Y79" s="667"/>
      <c r="Z79" s="667"/>
      <c r="AA79" s="667"/>
      <c r="AB79" s="667"/>
      <c r="AC79" s="667"/>
      <c r="AD79" s="667"/>
      <c r="AE79" s="667"/>
      <c r="AF79" s="667"/>
      <c r="AG79" s="667"/>
    </row>
    <row r="80" spans="1:33" ht="150" x14ac:dyDescent="0.35">
      <c r="A80" s="668">
        <f t="shared" si="1"/>
        <v>60</v>
      </c>
      <c r="B80" s="628"/>
      <c r="C80" s="628" t="s">
        <v>202</v>
      </c>
      <c r="D80" s="629">
        <v>72103302</v>
      </c>
      <c r="E80" s="630" t="s">
        <v>215</v>
      </c>
      <c r="F80" s="628" t="s">
        <v>70</v>
      </c>
      <c r="G80" s="628">
        <v>1</v>
      </c>
      <c r="H80" s="628" t="s">
        <v>204</v>
      </c>
      <c r="I80" s="628">
        <v>10</v>
      </c>
      <c r="J80" s="628" t="s">
        <v>98</v>
      </c>
      <c r="K80" s="628" t="s">
        <v>73</v>
      </c>
      <c r="L80" s="628" t="s">
        <v>89</v>
      </c>
      <c r="M80" s="631"/>
      <c r="N80" s="631"/>
      <c r="O80" s="628" t="s">
        <v>75</v>
      </c>
      <c r="P80" s="628" t="s">
        <v>76</v>
      </c>
      <c r="Q80" s="628" t="s">
        <v>206</v>
      </c>
      <c r="S80" s="667"/>
      <c r="T80" s="667"/>
      <c r="U80" s="667"/>
      <c r="V80" s="667"/>
      <c r="W80" s="667"/>
      <c r="X80" s="667"/>
      <c r="Y80" s="667"/>
      <c r="Z80" s="667"/>
      <c r="AA80" s="667"/>
      <c r="AB80" s="667"/>
      <c r="AC80" s="667"/>
      <c r="AD80" s="667"/>
      <c r="AE80" s="667"/>
      <c r="AF80" s="667"/>
      <c r="AG80" s="667"/>
    </row>
    <row r="81" spans="1:33" ht="210" x14ac:dyDescent="0.35">
      <c r="A81" s="668">
        <f t="shared" si="1"/>
        <v>61</v>
      </c>
      <c r="B81" s="623"/>
      <c r="C81" s="623" t="s">
        <v>129</v>
      </c>
      <c r="D81" s="624" t="s">
        <v>126</v>
      </c>
      <c r="E81" s="625" t="s">
        <v>217</v>
      </c>
      <c r="F81" s="623" t="s">
        <v>70</v>
      </c>
      <c r="G81" s="623">
        <v>1</v>
      </c>
      <c r="H81" s="623" t="s">
        <v>120</v>
      </c>
      <c r="I81" s="623">
        <v>8</v>
      </c>
      <c r="J81" s="623" t="s">
        <v>81</v>
      </c>
      <c r="K81" s="623" t="s">
        <v>130</v>
      </c>
      <c r="L81" s="623" t="s">
        <v>131</v>
      </c>
      <c r="M81" s="622">
        <v>270600000</v>
      </c>
      <c r="N81" s="622">
        <v>270600000</v>
      </c>
      <c r="O81" s="623" t="s">
        <v>209</v>
      </c>
      <c r="P81" s="623" t="s">
        <v>76</v>
      </c>
      <c r="Q81" s="623" t="s">
        <v>132</v>
      </c>
      <c r="S81" s="667"/>
      <c r="T81" s="667"/>
      <c r="U81" s="667"/>
      <c r="V81" s="667"/>
      <c r="W81" s="667"/>
      <c r="X81" s="667"/>
      <c r="Y81" s="667"/>
      <c r="Z81" s="667"/>
      <c r="AA81" s="667"/>
      <c r="AB81" s="667"/>
      <c r="AC81" s="667"/>
      <c r="AD81" s="667"/>
      <c r="AE81" s="667"/>
      <c r="AF81" s="667"/>
      <c r="AG81" s="667"/>
    </row>
    <row r="82" spans="1:33" ht="120" x14ac:dyDescent="0.35">
      <c r="A82" s="668">
        <f t="shared" si="1"/>
        <v>62</v>
      </c>
      <c r="B82" s="628"/>
      <c r="C82" s="628" t="s">
        <v>216</v>
      </c>
      <c r="D82" s="629">
        <v>43211507</v>
      </c>
      <c r="E82" s="630" t="s">
        <v>219</v>
      </c>
      <c r="F82" s="628" t="s">
        <v>70</v>
      </c>
      <c r="G82" s="628">
        <v>1</v>
      </c>
      <c r="H82" s="628" t="s">
        <v>71</v>
      </c>
      <c r="I82" s="628">
        <v>2</v>
      </c>
      <c r="J82" s="628" t="s">
        <v>220</v>
      </c>
      <c r="K82" s="628" t="s">
        <v>73</v>
      </c>
      <c r="L82" s="628" t="s">
        <v>117</v>
      </c>
      <c r="M82" s="631"/>
      <c r="N82" s="631"/>
      <c r="O82" s="628" t="s">
        <v>75</v>
      </c>
      <c r="P82" s="628" t="s">
        <v>76</v>
      </c>
      <c r="Q82" s="628" t="s">
        <v>218</v>
      </c>
      <c r="S82" s="667"/>
      <c r="T82" s="667"/>
      <c r="U82" s="667"/>
      <c r="V82" s="667"/>
      <c r="W82" s="667"/>
      <c r="X82" s="667"/>
      <c r="Y82" s="667"/>
      <c r="Z82" s="667"/>
      <c r="AA82" s="667"/>
      <c r="AB82" s="667"/>
      <c r="AC82" s="667"/>
      <c r="AD82" s="667"/>
      <c r="AE82" s="667"/>
      <c r="AF82" s="667"/>
      <c r="AG82" s="667"/>
    </row>
    <row r="83" spans="1:33" ht="120" x14ac:dyDescent="0.35">
      <c r="A83" s="668">
        <f t="shared" si="1"/>
        <v>63</v>
      </c>
      <c r="B83" s="628"/>
      <c r="C83" s="628" t="s">
        <v>216</v>
      </c>
      <c r="D83" s="629">
        <v>43211507</v>
      </c>
      <c r="E83" s="630" t="s">
        <v>221</v>
      </c>
      <c r="F83" s="628" t="s">
        <v>70</v>
      </c>
      <c r="G83" s="628">
        <v>1</v>
      </c>
      <c r="H83" s="628" t="s">
        <v>96</v>
      </c>
      <c r="I83" s="628">
        <v>12</v>
      </c>
      <c r="J83" s="628" t="s">
        <v>98</v>
      </c>
      <c r="K83" s="628" t="s">
        <v>73</v>
      </c>
      <c r="L83" s="628" t="s">
        <v>222</v>
      </c>
      <c r="M83" s="631"/>
      <c r="N83" s="631"/>
      <c r="O83" s="628" t="s">
        <v>75</v>
      </c>
      <c r="P83" s="628" t="s">
        <v>76</v>
      </c>
      <c r="Q83" s="628" t="s">
        <v>218</v>
      </c>
      <c r="S83" s="667"/>
      <c r="T83" s="667"/>
      <c r="U83" s="667"/>
      <c r="V83" s="667"/>
      <c r="W83" s="667"/>
      <c r="X83" s="667"/>
      <c r="Y83" s="667"/>
      <c r="Z83" s="667"/>
      <c r="AA83" s="667"/>
      <c r="AB83" s="667"/>
      <c r="AC83" s="667"/>
      <c r="AD83" s="667"/>
      <c r="AE83" s="667"/>
      <c r="AF83" s="667"/>
      <c r="AG83" s="667"/>
    </row>
    <row r="84" spans="1:33" ht="120" x14ac:dyDescent="0.35">
      <c r="A84" s="632">
        <f t="shared" si="1"/>
        <v>64</v>
      </c>
      <c r="B84" s="628" t="s">
        <v>223</v>
      </c>
      <c r="C84" s="628" t="s">
        <v>151</v>
      </c>
      <c r="D84" s="629">
        <v>32101617</v>
      </c>
      <c r="E84" s="630" t="s">
        <v>152</v>
      </c>
      <c r="F84" s="628" t="s">
        <v>70</v>
      </c>
      <c r="G84" s="628">
        <v>1</v>
      </c>
      <c r="H84" s="628" t="s">
        <v>102</v>
      </c>
      <c r="I84" s="628">
        <v>12</v>
      </c>
      <c r="J84" s="628" t="s">
        <v>98</v>
      </c>
      <c r="K84" s="628" t="s">
        <v>73</v>
      </c>
      <c r="L84" s="628" t="s">
        <v>117</v>
      </c>
      <c r="M84" s="631"/>
      <c r="N84" s="631"/>
      <c r="O84" s="628" t="s">
        <v>75</v>
      </c>
      <c r="P84" s="628" t="s">
        <v>76</v>
      </c>
      <c r="Q84" s="628" t="s">
        <v>153</v>
      </c>
      <c r="S84" s="667"/>
      <c r="T84" s="667"/>
      <c r="U84" s="667"/>
      <c r="V84" s="667"/>
      <c r="W84" s="667"/>
      <c r="X84" s="667"/>
      <c r="Y84" s="667"/>
      <c r="Z84" s="667"/>
      <c r="AA84" s="667"/>
      <c r="AB84" s="667"/>
      <c r="AC84" s="667"/>
      <c r="AD84" s="667"/>
      <c r="AE84" s="667"/>
      <c r="AF84" s="667"/>
      <c r="AG84" s="667"/>
    </row>
    <row r="85" spans="1:33" ht="120" x14ac:dyDescent="0.35">
      <c r="A85" s="668">
        <f t="shared" si="1"/>
        <v>65</v>
      </c>
      <c r="B85" s="623" t="s">
        <v>224</v>
      </c>
      <c r="C85" s="623" t="s">
        <v>115</v>
      </c>
      <c r="D85" s="624">
        <v>81110000</v>
      </c>
      <c r="E85" s="625" t="s">
        <v>225</v>
      </c>
      <c r="F85" s="623" t="s">
        <v>70</v>
      </c>
      <c r="G85" s="623">
        <v>1</v>
      </c>
      <c r="H85" s="623" t="s">
        <v>226</v>
      </c>
      <c r="I85" s="623">
        <v>12</v>
      </c>
      <c r="J85" s="623" t="s">
        <v>1175</v>
      </c>
      <c r="K85" s="623" t="s">
        <v>130</v>
      </c>
      <c r="L85" s="623" t="s">
        <v>528</v>
      </c>
      <c r="M85" s="622">
        <v>850000000</v>
      </c>
      <c r="N85" s="622">
        <v>850000000</v>
      </c>
      <c r="O85" s="623" t="s">
        <v>75</v>
      </c>
      <c r="P85" s="623" t="s">
        <v>76</v>
      </c>
      <c r="Q85" s="623" t="s">
        <v>118</v>
      </c>
      <c r="S85" s="667"/>
      <c r="T85" s="667"/>
      <c r="U85" s="667"/>
      <c r="V85" s="667"/>
      <c r="W85" s="667"/>
      <c r="X85" s="667"/>
      <c r="Y85" s="667"/>
      <c r="Z85" s="667"/>
      <c r="AA85" s="667"/>
      <c r="AB85" s="667"/>
      <c r="AC85" s="667"/>
      <c r="AD85" s="667"/>
      <c r="AE85" s="667"/>
      <c r="AF85" s="667"/>
      <c r="AG85" s="667"/>
    </row>
    <row r="86" spans="1:33" ht="120" x14ac:dyDescent="0.35">
      <c r="A86" s="668">
        <f t="shared" si="1"/>
        <v>66</v>
      </c>
      <c r="B86" s="623" t="s">
        <v>228</v>
      </c>
      <c r="C86" s="623" t="s">
        <v>115</v>
      </c>
      <c r="D86" s="624" t="s">
        <v>229</v>
      </c>
      <c r="E86" s="625" t="s">
        <v>230</v>
      </c>
      <c r="F86" s="623" t="s">
        <v>70</v>
      </c>
      <c r="G86" s="623">
        <v>1</v>
      </c>
      <c r="H86" s="623" t="s">
        <v>84</v>
      </c>
      <c r="I86" s="623">
        <v>12</v>
      </c>
      <c r="J86" s="623" t="s">
        <v>535</v>
      </c>
      <c r="K86" s="623" t="s">
        <v>130</v>
      </c>
      <c r="L86" s="623" t="s">
        <v>185</v>
      </c>
      <c r="M86" s="622">
        <v>128000000</v>
      </c>
      <c r="N86" s="622">
        <v>128000000</v>
      </c>
      <c r="O86" s="623" t="s">
        <v>75</v>
      </c>
      <c r="P86" s="623" t="s">
        <v>76</v>
      </c>
      <c r="Q86" s="623" t="s">
        <v>118</v>
      </c>
      <c r="S86" s="667"/>
      <c r="T86" s="667"/>
      <c r="U86" s="667"/>
      <c r="V86" s="667"/>
      <c r="W86" s="667"/>
      <c r="X86" s="667"/>
      <c r="Y86" s="667"/>
      <c r="Z86" s="667"/>
      <c r="AA86" s="667"/>
      <c r="AB86" s="667"/>
      <c r="AC86" s="667"/>
      <c r="AD86" s="667"/>
      <c r="AE86" s="667"/>
      <c r="AF86" s="667"/>
      <c r="AG86" s="667"/>
    </row>
    <row r="87" spans="1:33" ht="120" x14ac:dyDescent="0.35">
      <c r="A87" s="668">
        <f t="shared" si="1"/>
        <v>67</v>
      </c>
      <c r="B87" s="623" t="s">
        <v>231</v>
      </c>
      <c r="C87" s="623" t="s">
        <v>115</v>
      </c>
      <c r="D87" s="624" t="s">
        <v>232</v>
      </c>
      <c r="E87" s="625" t="s">
        <v>233</v>
      </c>
      <c r="F87" s="623" t="s">
        <v>70</v>
      </c>
      <c r="G87" s="623">
        <v>1</v>
      </c>
      <c r="H87" s="623" t="s">
        <v>102</v>
      </c>
      <c r="I87" s="623">
        <v>12</v>
      </c>
      <c r="J87" s="623" t="s">
        <v>535</v>
      </c>
      <c r="K87" s="623" t="s">
        <v>130</v>
      </c>
      <c r="L87" s="623" t="s">
        <v>185</v>
      </c>
      <c r="M87" s="622">
        <v>67072480</v>
      </c>
      <c r="N87" s="622">
        <v>67072480</v>
      </c>
      <c r="O87" s="623" t="s">
        <v>75</v>
      </c>
      <c r="P87" s="623" t="s">
        <v>76</v>
      </c>
      <c r="Q87" s="623" t="s">
        <v>118</v>
      </c>
      <c r="S87" s="667"/>
      <c r="T87" s="667"/>
      <c r="U87" s="667"/>
      <c r="V87" s="667"/>
      <c r="W87" s="667"/>
      <c r="X87" s="667"/>
      <c r="Y87" s="667"/>
      <c r="Z87" s="667"/>
      <c r="AA87" s="667"/>
      <c r="AB87" s="667"/>
      <c r="AC87" s="667"/>
      <c r="AD87" s="667"/>
      <c r="AE87" s="667"/>
      <c r="AF87" s="667"/>
      <c r="AG87" s="667"/>
    </row>
    <row r="88" spans="1:33" ht="120" x14ac:dyDescent="0.35">
      <c r="A88" s="668">
        <f t="shared" si="1"/>
        <v>68</v>
      </c>
      <c r="B88" s="623" t="s">
        <v>234</v>
      </c>
      <c r="C88" s="623" t="s">
        <v>115</v>
      </c>
      <c r="D88" s="624" t="s">
        <v>229</v>
      </c>
      <c r="E88" s="625" t="s">
        <v>235</v>
      </c>
      <c r="F88" s="623" t="s">
        <v>70</v>
      </c>
      <c r="G88" s="623">
        <v>1</v>
      </c>
      <c r="H88" s="623" t="s">
        <v>108</v>
      </c>
      <c r="I88" s="623">
        <v>12</v>
      </c>
      <c r="J88" s="623" t="s">
        <v>535</v>
      </c>
      <c r="K88" s="623" t="s">
        <v>130</v>
      </c>
      <c r="L88" s="623" t="s">
        <v>528</v>
      </c>
      <c r="M88" s="622">
        <v>200000000</v>
      </c>
      <c r="N88" s="622">
        <v>200000000</v>
      </c>
      <c r="O88" s="623" t="s">
        <v>75</v>
      </c>
      <c r="P88" s="623" t="s">
        <v>76</v>
      </c>
      <c r="Q88" s="623" t="s">
        <v>118</v>
      </c>
      <c r="S88" s="667"/>
      <c r="T88" s="667"/>
      <c r="U88" s="667"/>
      <c r="V88" s="667"/>
      <c r="W88" s="667"/>
      <c r="X88" s="667"/>
      <c r="Y88" s="667"/>
      <c r="Z88" s="667"/>
      <c r="AA88" s="667"/>
      <c r="AB88" s="667"/>
      <c r="AC88" s="667"/>
      <c r="AD88" s="667"/>
      <c r="AE88" s="667"/>
      <c r="AF88" s="667"/>
      <c r="AG88" s="667"/>
    </row>
    <row r="89" spans="1:33" ht="120" x14ac:dyDescent="0.35">
      <c r="A89" s="668">
        <f t="shared" si="1"/>
        <v>69</v>
      </c>
      <c r="B89" s="623" t="s">
        <v>236</v>
      </c>
      <c r="C89" s="623" t="s">
        <v>115</v>
      </c>
      <c r="D89" s="624" t="s">
        <v>237</v>
      </c>
      <c r="E89" s="625" t="s">
        <v>238</v>
      </c>
      <c r="F89" s="623" t="s">
        <v>70</v>
      </c>
      <c r="G89" s="623">
        <v>1</v>
      </c>
      <c r="H89" s="623" t="s">
        <v>108</v>
      </c>
      <c r="I89" s="623">
        <v>12</v>
      </c>
      <c r="J89" s="623" t="s">
        <v>535</v>
      </c>
      <c r="K89" s="623" t="s">
        <v>130</v>
      </c>
      <c r="L89" s="623" t="s">
        <v>528</v>
      </c>
      <c r="M89" s="622">
        <v>686140000</v>
      </c>
      <c r="N89" s="622">
        <v>686140000</v>
      </c>
      <c r="O89" s="623" t="s">
        <v>75</v>
      </c>
      <c r="P89" s="623" t="s">
        <v>76</v>
      </c>
      <c r="Q89" s="623" t="s">
        <v>118</v>
      </c>
      <c r="S89" s="667"/>
      <c r="T89" s="667"/>
      <c r="U89" s="667"/>
      <c r="V89" s="667"/>
      <c r="W89" s="667"/>
      <c r="X89" s="667"/>
      <c r="Y89" s="667"/>
      <c r="Z89" s="667"/>
      <c r="AA89" s="667"/>
      <c r="AB89" s="667"/>
      <c r="AC89" s="667"/>
      <c r="AD89" s="667"/>
      <c r="AE89" s="667"/>
      <c r="AF89" s="667"/>
      <c r="AG89" s="667"/>
    </row>
    <row r="90" spans="1:33" ht="120" x14ac:dyDescent="0.35">
      <c r="A90" s="668">
        <f t="shared" si="1"/>
        <v>70</v>
      </c>
      <c r="B90" s="623" t="s">
        <v>239</v>
      </c>
      <c r="C90" s="623" t="s">
        <v>115</v>
      </c>
      <c r="D90" s="624" t="s">
        <v>237</v>
      </c>
      <c r="E90" s="625" t="s">
        <v>240</v>
      </c>
      <c r="F90" s="623" t="s">
        <v>70</v>
      </c>
      <c r="G90" s="623">
        <v>1</v>
      </c>
      <c r="H90" s="623" t="s">
        <v>108</v>
      </c>
      <c r="I90" s="623">
        <v>12</v>
      </c>
      <c r="J90" s="623" t="s">
        <v>535</v>
      </c>
      <c r="K90" s="623" t="s">
        <v>130</v>
      </c>
      <c r="L90" s="623" t="s">
        <v>306</v>
      </c>
      <c r="M90" s="622">
        <v>500000000</v>
      </c>
      <c r="N90" s="622">
        <v>500000000</v>
      </c>
      <c r="O90" s="623" t="s">
        <v>75</v>
      </c>
      <c r="P90" s="623" t="s">
        <v>76</v>
      </c>
      <c r="Q90" s="623" t="s">
        <v>118</v>
      </c>
      <c r="S90" s="667"/>
      <c r="T90" s="667"/>
      <c r="U90" s="667"/>
      <c r="V90" s="667"/>
      <c r="W90" s="667"/>
      <c r="X90" s="667"/>
      <c r="Y90" s="667"/>
      <c r="Z90" s="667"/>
      <c r="AA90" s="667"/>
      <c r="AB90" s="667"/>
      <c r="AC90" s="667"/>
      <c r="AD90" s="667"/>
      <c r="AE90" s="667"/>
      <c r="AF90" s="667"/>
      <c r="AG90" s="667"/>
    </row>
    <row r="91" spans="1:33" ht="120" x14ac:dyDescent="0.35">
      <c r="A91" s="668">
        <f t="shared" si="1"/>
        <v>71</v>
      </c>
      <c r="B91" s="623" t="s">
        <v>241</v>
      </c>
      <c r="C91" s="623" t="s">
        <v>115</v>
      </c>
      <c r="D91" s="624">
        <v>80101706</v>
      </c>
      <c r="E91" s="625" t="s">
        <v>242</v>
      </c>
      <c r="F91" s="623" t="s">
        <v>70</v>
      </c>
      <c r="G91" s="623">
        <v>1</v>
      </c>
      <c r="H91" s="623" t="s">
        <v>243</v>
      </c>
      <c r="I91" s="623">
        <v>12</v>
      </c>
      <c r="J91" s="623" t="s">
        <v>244</v>
      </c>
      <c r="K91" s="623" t="s">
        <v>130</v>
      </c>
      <c r="L91" s="623" t="s">
        <v>185</v>
      </c>
      <c r="M91" s="622">
        <v>50000000</v>
      </c>
      <c r="N91" s="622">
        <v>50000000</v>
      </c>
      <c r="O91" s="623" t="s">
        <v>75</v>
      </c>
      <c r="P91" s="623" t="s">
        <v>76</v>
      </c>
      <c r="Q91" s="623" t="s">
        <v>118</v>
      </c>
      <c r="S91" s="667"/>
      <c r="T91" s="667"/>
      <c r="U91" s="667"/>
      <c r="V91" s="667"/>
      <c r="W91" s="667"/>
      <c r="X91" s="667"/>
      <c r="Y91" s="667"/>
      <c r="Z91" s="667"/>
      <c r="AA91" s="667"/>
      <c r="AB91" s="667"/>
      <c r="AC91" s="667"/>
      <c r="AD91" s="667"/>
      <c r="AE91" s="667"/>
      <c r="AF91" s="667"/>
      <c r="AG91" s="667"/>
    </row>
    <row r="92" spans="1:33" ht="120" x14ac:dyDescent="0.35">
      <c r="A92" s="668">
        <f t="shared" si="1"/>
        <v>72</v>
      </c>
      <c r="B92" s="628" t="s">
        <v>245</v>
      </c>
      <c r="C92" s="628" t="s">
        <v>115</v>
      </c>
      <c r="D92" s="629">
        <v>43232703</v>
      </c>
      <c r="E92" s="630" t="s">
        <v>246</v>
      </c>
      <c r="F92" s="628" t="s">
        <v>247</v>
      </c>
      <c r="G92" s="628">
        <v>1</v>
      </c>
      <c r="H92" s="628" t="s">
        <v>108</v>
      </c>
      <c r="I92" s="628">
        <v>12</v>
      </c>
      <c r="J92" s="628" t="s">
        <v>533</v>
      </c>
      <c r="K92" s="628" t="s">
        <v>130</v>
      </c>
      <c r="L92" s="628" t="s">
        <v>185</v>
      </c>
      <c r="M92" s="631"/>
      <c r="N92" s="631"/>
      <c r="O92" s="628" t="s">
        <v>75</v>
      </c>
      <c r="P92" s="628" t="s">
        <v>76</v>
      </c>
      <c r="Q92" s="628" t="s">
        <v>118</v>
      </c>
      <c r="S92" s="667"/>
      <c r="T92" s="667"/>
      <c r="U92" s="667"/>
      <c r="V92" s="667"/>
      <c r="W92" s="667"/>
      <c r="X92" s="667"/>
      <c r="Y92" s="667"/>
      <c r="Z92" s="667"/>
      <c r="AA92" s="667"/>
      <c r="AB92" s="667"/>
      <c r="AC92" s="667"/>
      <c r="AD92" s="667"/>
      <c r="AE92" s="667"/>
      <c r="AF92" s="667"/>
      <c r="AG92" s="667"/>
    </row>
    <row r="93" spans="1:33" ht="120" x14ac:dyDescent="0.35">
      <c r="A93" s="668">
        <f t="shared" si="1"/>
        <v>73</v>
      </c>
      <c r="B93" s="623" t="s">
        <v>248</v>
      </c>
      <c r="C93" s="623" t="s">
        <v>115</v>
      </c>
      <c r="D93" s="624">
        <v>43232703</v>
      </c>
      <c r="E93" s="625" t="s">
        <v>249</v>
      </c>
      <c r="F93" s="623" t="s">
        <v>70</v>
      </c>
      <c r="G93" s="623">
        <v>1</v>
      </c>
      <c r="H93" s="623" t="s">
        <v>120</v>
      </c>
      <c r="I93" s="623">
        <v>6</v>
      </c>
      <c r="J93" s="623" t="s">
        <v>535</v>
      </c>
      <c r="K93" s="623" t="s">
        <v>130</v>
      </c>
      <c r="L93" s="623" t="s">
        <v>185</v>
      </c>
      <c r="M93" s="622">
        <v>30000000</v>
      </c>
      <c r="N93" s="622">
        <v>30000000</v>
      </c>
      <c r="O93" s="623" t="s">
        <v>75</v>
      </c>
      <c r="P93" s="623" t="s">
        <v>76</v>
      </c>
      <c r="Q93" s="623" t="s">
        <v>118</v>
      </c>
      <c r="S93" s="667"/>
      <c r="T93" s="667"/>
      <c r="U93" s="667"/>
      <c r="V93" s="667"/>
      <c r="W93" s="667"/>
      <c r="X93" s="667"/>
      <c r="Y93" s="667"/>
      <c r="Z93" s="667"/>
      <c r="AA93" s="667"/>
      <c r="AB93" s="667"/>
      <c r="AC93" s="667"/>
      <c r="AD93" s="667"/>
      <c r="AE93" s="667"/>
      <c r="AF93" s="667"/>
      <c r="AG93" s="667"/>
    </row>
    <row r="94" spans="1:33" ht="180" x14ac:dyDescent="0.35">
      <c r="A94" s="668">
        <f t="shared" si="1"/>
        <v>74</v>
      </c>
      <c r="B94" s="623" t="s">
        <v>250</v>
      </c>
      <c r="C94" s="623" t="s">
        <v>115</v>
      </c>
      <c r="D94" s="624" t="s">
        <v>251</v>
      </c>
      <c r="E94" s="625" t="s">
        <v>252</v>
      </c>
      <c r="F94" s="623" t="s">
        <v>70</v>
      </c>
      <c r="G94" s="623">
        <v>1</v>
      </c>
      <c r="H94" s="623" t="s">
        <v>86</v>
      </c>
      <c r="I94" s="623">
        <v>12</v>
      </c>
      <c r="J94" s="623" t="s">
        <v>535</v>
      </c>
      <c r="K94" s="623" t="s">
        <v>130</v>
      </c>
      <c r="L94" s="623" t="s">
        <v>528</v>
      </c>
      <c r="M94" s="622">
        <v>50000000</v>
      </c>
      <c r="N94" s="622">
        <v>50000000</v>
      </c>
      <c r="O94" s="623" t="s">
        <v>75</v>
      </c>
      <c r="P94" s="623" t="s">
        <v>76</v>
      </c>
      <c r="Q94" s="623" t="s">
        <v>118</v>
      </c>
      <c r="S94" s="667"/>
      <c r="T94" s="667"/>
      <c r="U94" s="667"/>
      <c r="V94" s="667"/>
      <c r="W94" s="667"/>
      <c r="X94" s="667"/>
      <c r="Y94" s="667"/>
      <c r="Z94" s="667"/>
      <c r="AA94" s="667"/>
      <c r="AB94" s="667"/>
      <c r="AC94" s="667"/>
      <c r="AD94" s="667"/>
      <c r="AE94" s="667"/>
      <c r="AF94" s="667"/>
      <c r="AG94" s="667"/>
    </row>
    <row r="95" spans="1:33" ht="120" x14ac:dyDescent="0.35">
      <c r="A95" s="668">
        <f t="shared" si="1"/>
        <v>75</v>
      </c>
      <c r="B95" s="623" t="s">
        <v>253</v>
      </c>
      <c r="C95" s="623" t="s">
        <v>115</v>
      </c>
      <c r="D95" s="624">
        <v>81112501</v>
      </c>
      <c r="E95" s="625" t="s">
        <v>254</v>
      </c>
      <c r="F95" s="623" t="s">
        <v>70</v>
      </c>
      <c r="G95" s="623">
        <v>1</v>
      </c>
      <c r="H95" s="623" t="s">
        <v>108</v>
      </c>
      <c r="I95" s="623">
        <v>12</v>
      </c>
      <c r="J95" s="623" t="s">
        <v>81</v>
      </c>
      <c r="K95" s="623" t="s">
        <v>130</v>
      </c>
      <c r="L95" s="623" t="s">
        <v>528</v>
      </c>
      <c r="M95" s="622">
        <v>180000000</v>
      </c>
      <c r="N95" s="622">
        <v>180000000</v>
      </c>
      <c r="O95" s="623" t="s">
        <v>75</v>
      </c>
      <c r="P95" s="623" t="s">
        <v>76</v>
      </c>
      <c r="Q95" s="623" t="s">
        <v>118</v>
      </c>
      <c r="S95" s="667"/>
      <c r="T95" s="667"/>
      <c r="U95" s="667"/>
      <c r="V95" s="667"/>
      <c r="W95" s="667"/>
      <c r="X95" s="667"/>
      <c r="Y95" s="667"/>
      <c r="Z95" s="667"/>
      <c r="AA95" s="667"/>
      <c r="AB95" s="667"/>
      <c r="AC95" s="667"/>
      <c r="AD95" s="667"/>
      <c r="AE95" s="667"/>
      <c r="AF95" s="667"/>
      <c r="AG95" s="667"/>
    </row>
    <row r="96" spans="1:33" ht="120" x14ac:dyDescent="0.35">
      <c r="A96" s="668">
        <f t="shared" si="1"/>
        <v>76</v>
      </c>
      <c r="B96" s="623" t="s">
        <v>255</v>
      </c>
      <c r="C96" s="623" t="s">
        <v>115</v>
      </c>
      <c r="D96" s="624">
        <v>81112501</v>
      </c>
      <c r="E96" s="625" t="s">
        <v>256</v>
      </c>
      <c r="F96" s="623" t="s">
        <v>70</v>
      </c>
      <c r="G96" s="623">
        <v>1</v>
      </c>
      <c r="H96" s="623" t="s">
        <v>108</v>
      </c>
      <c r="I96" s="623">
        <v>12</v>
      </c>
      <c r="J96" s="623" t="s">
        <v>81</v>
      </c>
      <c r="K96" s="623" t="s">
        <v>130</v>
      </c>
      <c r="L96" s="623" t="s">
        <v>528</v>
      </c>
      <c r="M96" s="622">
        <v>100000000</v>
      </c>
      <c r="N96" s="622">
        <v>100000000</v>
      </c>
      <c r="O96" s="623" t="s">
        <v>75</v>
      </c>
      <c r="P96" s="623" t="s">
        <v>76</v>
      </c>
      <c r="Q96" s="623" t="s">
        <v>118</v>
      </c>
      <c r="S96" s="667"/>
      <c r="T96" s="667"/>
      <c r="U96" s="667"/>
      <c r="V96" s="667"/>
      <c r="W96" s="667"/>
      <c r="X96" s="667"/>
      <c r="Y96" s="667"/>
      <c r="Z96" s="667"/>
      <c r="AA96" s="667"/>
      <c r="AB96" s="667"/>
      <c r="AC96" s="667"/>
      <c r="AD96" s="667"/>
      <c r="AE96" s="667"/>
      <c r="AF96" s="667"/>
      <c r="AG96" s="667"/>
    </row>
    <row r="97" spans="1:33" ht="120" x14ac:dyDescent="0.35">
      <c r="A97" s="668">
        <f t="shared" si="1"/>
        <v>77</v>
      </c>
      <c r="B97" s="623" t="s">
        <v>257</v>
      </c>
      <c r="C97" s="623" t="s">
        <v>115</v>
      </c>
      <c r="D97" s="624">
        <v>81111805</v>
      </c>
      <c r="E97" s="625" t="s">
        <v>258</v>
      </c>
      <c r="F97" s="623" t="s">
        <v>70</v>
      </c>
      <c r="G97" s="623">
        <v>1</v>
      </c>
      <c r="H97" s="623" t="s">
        <v>108</v>
      </c>
      <c r="I97" s="623">
        <v>12</v>
      </c>
      <c r="J97" s="623" t="s">
        <v>533</v>
      </c>
      <c r="K97" s="623" t="s">
        <v>130</v>
      </c>
      <c r="L97" s="623" t="s">
        <v>528</v>
      </c>
      <c r="M97" s="622">
        <v>20000000</v>
      </c>
      <c r="N97" s="622">
        <v>20000000</v>
      </c>
      <c r="O97" s="623" t="s">
        <v>75</v>
      </c>
      <c r="P97" s="623" t="s">
        <v>76</v>
      </c>
      <c r="Q97" s="623" t="s">
        <v>118</v>
      </c>
      <c r="S97" s="667"/>
      <c r="T97" s="667"/>
      <c r="U97" s="667"/>
      <c r="V97" s="667"/>
      <c r="W97" s="667"/>
      <c r="X97" s="667"/>
      <c r="Y97" s="667"/>
      <c r="Z97" s="667"/>
      <c r="AA97" s="667"/>
      <c r="AB97" s="667"/>
      <c r="AC97" s="667"/>
      <c r="AD97" s="667"/>
      <c r="AE97" s="667"/>
      <c r="AF97" s="667"/>
      <c r="AG97" s="667"/>
    </row>
    <row r="98" spans="1:33" ht="150" x14ac:dyDescent="0.35">
      <c r="A98" s="668">
        <f t="shared" si="1"/>
        <v>78</v>
      </c>
      <c r="B98" s="623" t="s">
        <v>259</v>
      </c>
      <c r="C98" s="623" t="s">
        <v>115</v>
      </c>
      <c r="D98" s="624">
        <v>81112501</v>
      </c>
      <c r="E98" s="625" t="s">
        <v>1176</v>
      </c>
      <c r="F98" s="623" t="s">
        <v>70</v>
      </c>
      <c r="G98" s="623">
        <v>1</v>
      </c>
      <c r="H98" s="623" t="s">
        <v>84</v>
      </c>
      <c r="I98" s="623">
        <v>12</v>
      </c>
      <c r="J98" s="623" t="s">
        <v>81</v>
      </c>
      <c r="K98" s="623" t="s">
        <v>130</v>
      </c>
      <c r="L98" s="623" t="s">
        <v>185</v>
      </c>
      <c r="M98" s="622">
        <v>257000000</v>
      </c>
      <c r="N98" s="622">
        <v>257000000</v>
      </c>
      <c r="O98" s="623" t="s">
        <v>75</v>
      </c>
      <c r="P98" s="623" t="s">
        <v>76</v>
      </c>
      <c r="Q98" s="623" t="s">
        <v>118</v>
      </c>
      <c r="S98" s="866" t="s">
        <v>1208</v>
      </c>
      <c r="T98" s="866" t="s">
        <v>1209</v>
      </c>
      <c r="U98" s="856">
        <v>43536</v>
      </c>
      <c r="V98" s="862" t="s">
        <v>1210</v>
      </c>
      <c r="W98" s="863" t="s">
        <v>903</v>
      </c>
      <c r="X98" s="867">
        <v>54718715.640000001</v>
      </c>
      <c r="Y98" s="868">
        <v>0</v>
      </c>
      <c r="Z98" s="867">
        <v>54718715.640000001</v>
      </c>
      <c r="AA98" s="862" t="s">
        <v>1211</v>
      </c>
      <c r="AB98" s="863">
        <v>17119</v>
      </c>
      <c r="AC98" s="862" t="s">
        <v>1212</v>
      </c>
      <c r="AD98" s="856">
        <v>43536</v>
      </c>
      <c r="AE98" s="856">
        <v>43901</v>
      </c>
      <c r="AF98" s="863" t="s">
        <v>1213</v>
      </c>
      <c r="AG98" s="864" t="s">
        <v>813</v>
      </c>
    </row>
    <row r="99" spans="1:33" ht="120" x14ac:dyDescent="0.35">
      <c r="A99" s="632">
        <f t="shared" si="1"/>
        <v>79</v>
      </c>
      <c r="B99" s="628" t="s">
        <v>260</v>
      </c>
      <c r="C99" s="628" t="s">
        <v>115</v>
      </c>
      <c r="D99" s="629" t="s">
        <v>261</v>
      </c>
      <c r="E99" s="630" t="s">
        <v>262</v>
      </c>
      <c r="F99" s="628" t="s">
        <v>70</v>
      </c>
      <c r="G99" s="628">
        <v>1</v>
      </c>
      <c r="H99" s="628" t="s">
        <v>96</v>
      </c>
      <c r="I99" s="628">
        <v>12</v>
      </c>
      <c r="J99" s="628" t="s">
        <v>244</v>
      </c>
      <c r="K99" s="628" t="s">
        <v>130</v>
      </c>
      <c r="L99" s="628"/>
      <c r="M99" s="631"/>
      <c r="N99" s="631"/>
      <c r="O99" s="628" t="s">
        <v>75</v>
      </c>
      <c r="P99" s="628" t="s">
        <v>76</v>
      </c>
      <c r="Q99" s="628" t="s">
        <v>118</v>
      </c>
      <c r="S99" s="667"/>
      <c r="T99" s="667"/>
      <c r="U99" s="667"/>
      <c r="V99" s="667"/>
      <c r="W99" s="667"/>
      <c r="X99" s="667"/>
      <c r="Y99" s="667"/>
      <c r="Z99" s="667"/>
      <c r="AA99" s="667"/>
      <c r="AB99" s="667"/>
      <c r="AC99" s="667"/>
      <c r="AD99" s="667"/>
      <c r="AE99" s="667"/>
      <c r="AF99" s="667"/>
      <c r="AG99" s="667"/>
    </row>
    <row r="100" spans="1:33" ht="150" x14ac:dyDescent="0.35">
      <c r="A100" s="668">
        <f t="shared" si="1"/>
        <v>80</v>
      </c>
      <c r="B100" s="623" t="s">
        <v>263</v>
      </c>
      <c r="C100" s="623" t="s">
        <v>115</v>
      </c>
      <c r="D100" s="624" t="s">
        <v>264</v>
      </c>
      <c r="E100" s="625" t="s">
        <v>265</v>
      </c>
      <c r="F100" s="623" t="s">
        <v>70</v>
      </c>
      <c r="G100" s="623">
        <v>1</v>
      </c>
      <c r="H100" s="623" t="s">
        <v>102</v>
      </c>
      <c r="I100" s="623">
        <v>12</v>
      </c>
      <c r="J100" s="623" t="s">
        <v>535</v>
      </c>
      <c r="K100" s="623" t="s">
        <v>130</v>
      </c>
      <c r="L100" s="623" t="s">
        <v>528</v>
      </c>
      <c r="M100" s="622">
        <v>110000000</v>
      </c>
      <c r="N100" s="622">
        <v>110000000</v>
      </c>
      <c r="O100" s="623" t="s">
        <v>75</v>
      </c>
      <c r="P100" s="623" t="s">
        <v>76</v>
      </c>
      <c r="Q100" s="623" t="s">
        <v>118</v>
      </c>
      <c r="S100" s="667"/>
      <c r="T100" s="667"/>
      <c r="U100" s="667"/>
      <c r="V100" s="667"/>
      <c r="W100" s="667"/>
      <c r="X100" s="667"/>
      <c r="Y100" s="667"/>
      <c r="Z100" s="667"/>
      <c r="AA100" s="667"/>
      <c r="AB100" s="667"/>
      <c r="AC100" s="667"/>
      <c r="AD100" s="667"/>
      <c r="AE100" s="667"/>
      <c r="AF100" s="667"/>
      <c r="AG100" s="667"/>
    </row>
    <row r="101" spans="1:33" ht="150" x14ac:dyDescent="0.35">
      <c r="A101" s="668">
        <f t="shared" si="1"/>
        <v>81</v>
      </c>
      <c r="B101" s="623" t="s">
        <v>266</v>
      </c>
      <c r="C101" s="623" t="s">
        <v>115</v>
      </c>
      <c r="D101" s="624" t="s">
        <v>267</v>
      </c>
      <c r="E101" s="625" t="s">
        <v>268</v>
      </c>
      <c r="F101" s="623" t="s">
        <v>70</v>
      </c>
      <c r="G101" s="623">
        <v>1</v>
      </c>
      <c r="H101" s="623" t="s">
        <v>84</v>
      </c>
      <c r="I101" s="623">
        <v>12</v>
      </c>
      <c r="J101" s="623" t="s">
        <v>535</v>
      </c>
      <c r="K101" s="623" t="s">
        <v>130</v>
      </c>
      <c r="L101" s="623" t="s">
        <v>185</v>
      </c>
      <c r="M101" s="622">
        <v>200000000</v>
      </c>
      <c r="N101" s="622">
        <v>200000000</v>
      </c>
      <c r="O101" s="623" t="s">
        <v>75</v>
      </c>
      <c r="P101" s="623" t="s">
        <v>76</v>
      </c>
      <c r="Q101" s="623" t="s">
        <v>118</v>
      </c>
      <c r="S101" s="667"/>
      <c r="T101" s="667"/>
      <c r="U101" s="667"/>
      <c r="V101" s="667"/>
      <c r="W101" s="667"/>
      <c r="X101" s="667"/>
      <c r="Y101" s="667"/>
      <c r="Z101" s="667"/>
      <c r="AA101" s="667"/>
      <c r="AB101" s="667"/>
      <c r="AC101" s="667"/>
      <c r="AD101" s="667"/>
      <c r="AE101" s="667"/>
      <c r="AF101" s="667"/>
      <c r="AG101" s="667"/>
    </row>
    <row r="102" spans="1:33" ht="120" x14ac:dyDescent="0.35">
      <c r="A102" s="668">
        <f t="shared" si="1"/>
        <v>82</v>
      </c>
      <c r="B102" s="623" t="s">
        <v>269</v>
      </c>
      <c r="C102" s="623" t="s">
        <v>115</v>
      </c>
      <c r="D102" s="624">
        <v>81112501</v>
      </c>
      <c r="E102" s="625" t="s">
        <v>270</v>
      </c>
      <c r="F102" s="623" t="s">
        <v>70</v>
      </c>
      <c r="G102" s="623">
        <v>1</v>
      </c>
      <c r="H102" s="623" t="s">
        <v>102</v>
      </c>
      <c r="I102" s="623">
        <v>12</v>
      </c>
      <c r="J102" s="623" t="s">
        <v>533</v>
      </c>
      <c r="K102" s="623" t="s">
        <v>130</v>
      </c>
      <c r="L102" s="623" t="s">
        <v>528</v>
      </c>
      <c r="M102" s="622">
        <v>15000000</v>
      </c>
      <c r="N102" s="622">
        <v>15000000</v>
      </c>
      <c r="O102" s="623" t="s">
        <v>75</v>
      </c>
      <c r="P102" s="623" t="s">
        <v>76</v>
      </c>
      <c r="Q102" s="623" t="s">
        <v>118</v>
      </c>
      <c r="S102" s="667"/>
      <c r="T102" s="667"/>
      <c r="U102" s="667"/>
      <c r="V102" s="667"/>
      <c r="W102" s="667"/>
      <c r="X102" s="667"/>
      <c r="Y102" s="667"/>
      <c r="Z102" s="667"/>
      <c r="AA102" s="667"/>
      <c r="AB102" s="667"/>
      <c r="AC102" s="667"/>
      <c r="AD102" s="667"/>
      <c r="AE102" s="667"/>
      <c r="AF102" s="667"/>
      <c r="AG102" s="667"/>
    </row>
    <row r="103" spans="1:33" ht="120" x14ac:dyDescent="0.35">
      <c r="A103" s="668">
        <f t="shared" si="1"/>
        <v>83</v>
      </c>
      <c r="B103" s="623" t="s">
        <v>271</v>
      </c>
      <c r="C103" s="623" t="s">
        <v>115</v>
      </c>
      <c r="D103" s="624" t="s">
        <v>272</v>
      </c>
      <c r="E103" s="625" t="s">
        <v>273</v>
      </c>
      <c r="F103" s="623" t="s">
        <v>70</v>
      </c>
      <c r="G103" s="623">
        <v>1</v>
      </c>
      <c r="H103" s="623" t="s">
        <v>80</v>
      </c>
      <c r="I103" s="623">
        <v>12</v>
      </c>
      <c r="J103" s="623" t="s">
        <v>535</v>
      </c>
      <c r="K103" s="623" t="s">
        <v>130</v>
      </c>
      <c r="L103" s="623" t="s">
        <v>528</v>
      </c>
      <c r="M103" s="622">
        <v>26034767</v>
      </c>
      <c r="N103" s="622">
        <v>26034767</v>
      </c>
      <c r="O103" s="623" t="s">
        <v>75</v>
      </c>
      <c r="P103" s="623" t="s">
        <v>76</v>
      </c>
      <c r="Q103" s="623" t="s">
        <v>118</v>
      </c>
      <c r="S103" s="667"/>
      <c r="T103" s="667"/>
      <c r="U103" s="667"/>
      <c r="V103" s="667"/>
      <c r="W103" s="667"/>
      <c r="X103" s="667"/>
      <c r="Y103" s="667"/>
      <c r="Z103" s="667"/>
      <c r="AA103" s="667"/>
      <c r="AB103" s="667"/>
      <c r="AC103" s="667"/>
      <c r="AD103" s="667"/>
      <c r="AE103" s="667"/>
      <c r="AF103" s="667"/>
      <c r="AG103" s="667"/>
    </row>
    <row r="104" spans="1:33" ht="150" x14ac:dyDescent="0.35">
      <c r="A104" s="668">
        <f t="shared" si="1"/>
        <v>84</v>
      </c>
      <c r="B104" s="623" t="s">
        <v>274</v>
      </c>
      <c r="C104" s="623" t="s">
        <v>115</v>
      </c>
      <c r="D104" s="624" t="s">
        <v>275</v>
      </c>
      <c r="E104" s="625" t="s">
        <v>276</v>
      </c>
      <c r="F104" s="623" t="s">
        <v>70</v>
      </c>
      <c r="G104" s="623">
        <v>1</v>
      </c>
      <c r="H104" s="623" t="s">
        <v>147</v>
      </c>
      <c r="I104" s="623">
        <v>12</v>
      </c>
      <c r="J104" s="623" t="s">
        <v>535</v>
      </c>
      <c r="K104" s="623" t="s">
        <v>130</v>
      </c>
      <c r="L104" s="623" t="s">
        <v>528</v>
      </c>
      <c r="M104" s="622">
        <v>65000000</v>
      </c>
      <c r="N104" s="622">
        <v>65000000</v>
      </c>
      <c r="O104" s="623" t="s">
        <v>75</v>
      </c>
      <c r="P104" s="623" t="s">
        <v>76</v>
      </c>
      <c r="Q104" s="623" t="s">
        <v>118</v>
      </c>
      <c r="S104" s="667"/>
      <c r="T104" s="667"/>
      <c r="U104" s="667"/>
      <c r="V104" s="667"/>
      <c r="W104" s="667"/>
      <c r="X104" s="667"/>
      <c r="Y104" s="667"/>
      <c r="Z104" s="667"/>
      <c r="AA104" s="667"/>
      <c r="AB104" s="667"/>
      <c r="AC104" s="667"/>
      <c r="AD104" s="667"/>
      <c r="AE104" s="667"/>
      <c r="AF104" s="667"/>
      <c r="AG104" s="667"/>
    </row>
    <row r="105" spans="1:33" ht="120" x14ac:dyDescent="0.35">
      <c r="A105" s="668">
        <f t="shared" si="1"/>
        <v>85</v>
      </c>
      <c r="B105" s="623" t="s">
        <v>277</v>
      </c>
      <c r="C105" s="623" t="s">
        <v>115</v>
      </c>
      <c r="D105" s="624">
        <v>83120000</v>
      </c>
      <c r="E105" s="625" t="s">
        <v>278</v>
      </c>
      <c r="F105" s="623" t="s">
        <v>70</v>
      </c>
      <c r="G105" s="623">
        <v>1</v>
      </c>
      <c r="H105" s="623" t="s">
        <v>80</v>
      </c>
      <c r="I105" s="623">
        <v>11.5</v>
      </c>
      <c r="J105" s="623" t="s">
        <v>534</v>
      </c>
      <c r="K105" s="623" t="s">
        <v>130</v>
      </c>
      <c r="L105" s="623" t="s">
        <v>528</v>
      </c>
      <c r="M105" s="622">
        <v>654000000</v>
      </c>
      <c r="N105" s="622">
        <v>654000000</v>
      </c>
      <c r="O105" s="623" t="s">
        <v>75</v>
      </c>
      <c r="P105" s="623" t="s">
        <v>76</v>
      </c>
      <c r="Q105" s="623" t="s">
        <v>118</v>
      </c>
      <c r="S105" s="667"/>
      <c r="T105" s="667"/>
      <c r="U105" s="667"/>
      <c r="V105" s="667"/>
      <c r="W105" s="667"/>
      <c r="X105" s="667"/>
      <c r="Y105" s="667"/>
      <c r="Z105" s="667"/>
      <c r="AA105" s="667"/>
      <c r="AB105" s="667"/>
      <c r="AC105" s="667"/>
      <c r="AD105" s="667"/>
      <c r="AE105" s="667"/>
      <c r="AF105" s="667"/>
      <c r="AG105" s="667"/>
    </row>
    <row r="106" spans="1:33" ht="120" x14ac:dyDescent="0.35">
      <c r="A106" s="668">
        <f t="shared" si="1"/>
        <v>86</v>
      </c>
      <c r="B106" s="623" t="s">
        <v>280</v>
      </c>
      <c r="C106" s="623" t="s">
        <v>115</v>
      </c>
      <c r="D106" s="624">
        <v>83120000</v>
      </c>
      <c r="E106" s="625" t="s">
        <v>281</v>
      </c>
      <c r="F106" s="623" t="s">
        <v>70</v>
      </c>
      <c r="G106" s="623">
        <v>1</v>
      </c>
      <c r="H106" s="623" t="s">
        <v>108</v>
      </c>
      <c r="I106" s="623">
        <v>7</v>
      </c>
      <c r="J106" s="623" t="s">
        <v>1177</v>
      </c>
      <c r="K106" s="623" t="s">
        <v>130</v>
      </c>
      <c r="L106" s="623" t="s">
        <v>528</v>
      </c>
      <c r="M106" s="622">
        <v>200000000</v>
      </c>
      <c r="N106" s="622">
        <v>200000000</v>
      </c>
      <c r="O106" s="623" t="s">
        <v>75</v>
      </c>
      <c r="P106" s="623" t="s">
        <v>76</v>
      </c>
      <c r="Q106" s="623" t="s">
        <v>118</v>
      </c>
      <c r="S106" s="667"/>
      <c r="T106" s="667"/>
      <c r="U106" s="667"/>
      <c r="V106" s="667"/>
      <c r="W106" s="667"/>
      <c r="X106" s="667"/>
      <c r="Y106" s="667"/>
      <c r="Z106" s="667"/>
      <c r="AA106" s="667"/>
      <c r="AB106" s="667"/>
      <c r="AC106" s="667"/>
      <c r="AD106" s="667"/>
      <c r="AE106" s="667"/>
      <c r="AF106" s="667"/>
      <c r="AG106" s="667"/>
    </row>
    <row r="107" spans="1:33" ht="120" x14ac:dyDescent="0.35">
      <c r="A107" s="668">
        <f t="shared" si="1"/>
        <v>87</v>
      </c>
      <c r="B107" s="623" t="s">
        <v>283</v>
      </c>
      <c r="C107" s="623" t="s">
        <v>115</v>
      </c>
      <c r="D107" s="624">
        <v>83120000</v>
      </c>
      <c r="E107" s="625" t="s">
        <v>284</v>
      </c>
      <c r="F107" s="623" t="s">
        <v>70</v>
      </c>
      <c r="G107" s="623">
        <v>1</v>
      </c>
      <c r="H107" s="623" t="s">
        <v>108</v>
      </c>
      <c r="I107" s="623">
        <v>11.5</v>
      </c>
      <c r="J107" s="623" t="s">
        <v>189</v>
      </c>
      <c r="K107" s="623" t="s">
        <v>130</v>
      </c>
      <c r="L107" s="623" t="s">
        <v>306</v>
      </c>
      <c r="M107" s="622">
        <v>600000000</v>
      </c>
      <c r="N107" s="622">
        <v>600000000</v>
      </c>
      <c r="O107" s="623" t="s">
        <v>75</v>
      </c>
      <c r="P107" s="623" t="s">
        <v>76</v>
      </c>
      <c r="Q107" s="623" t="s">
        <v>118</v>
      </c>
      <c r="S107" s="667"/>
      <c r="T107" s="667"/>
      <c r="U107" s="667"/>
      <c r="V107" s="667"/>
      <c r="W107" s="667"/>
      <c r="X107" s="667"/>
      <c r="Y107" s="667"/>
      <c r="Z107" s="667"/>
      <c r="AA107" s="667"/>
      <c r="AB107" s="667"/>
      <c r="AC107" s="667"/>
      <c r="AD107" s="667"/>
      <c r="AE107" s="667"/>
      <c r="AF107" s="667"/>
      <c r="AG107" s="667"/>
    </row>
    <row r="108" spans="1:33" ht="120" x14ac:dyDescent="0.35">
      <c r="A108" s="668">
        <f t="shared" si="1"/>
        <v>88</v>
      </c>
      <c r="B108" s="623" t="s">
        <v>285</v>
      </c>
      <c r="C108" s="623" t="s">
        <v>115</v>
      </c>
      <c r="D108" s="624">
        <v>83120000</v>
      </c>
      <c r="E108" s="625" t="s">
        <v>532</v>
      </c>
      <c r="F108" s="623" t="s">
        <v>70</v>
      </c>
      <c r="G108" s="623">
        <v>1</v>
      </c>
      <c r="H108" s="623" t="s">
        <v>108</v>
      </c>
      <c r="I108" s="623">
        <v>7</v>
      </c>
      <c r="J108" s="623" t="s">
        <v>189</v>
      </c>
      <c r="K108" s="623" t="s">
        <v>130</v>
      </c>
      <c r="L108" s="623" t="s">
        <v>306</v>
      </c>
      <c r="M108" s="622">
        <v>600000000</v>
      </c>
      <c r="N108" s="622">
        <v>600000000</v>
      </c>
      <c r="O108" s="623" t="s">
        <v>75</v>
      </c>
      <c r="P108" s="623" t="s">
        <v>76</v>
      </c>
      <c r="Q108" s="623" t="s">
        <v>118</v>
      </c>
      <c r="S108" s="667"/>
      <c r="T108" s="667"/>
      <c r="U108" s="667"/>
      <c r="V108" s="667"/>
      <c r="W108" s="667"/>
      <c r="X108" s="667"/>
      <c r="Y108" s="667"/>
      <c r="Z108" s="667"/>
      <c r="AA108" s="667"/>
      <c r="AB108" s="667"/>
      <c r="AC108" s="667"/>
      <c r="AD108" s="667"/>
      <c r="AE108" s="667"/>
      <c r="AF108" s="667"/>
      <c r="AG108" s="667"/>
    </row>
    <row r="109" spans="1:33" ht="150" x14ac:dyDescent="0.35">
      <c r="A109" s="668">
        <f t="shared" si="1"/>
        <v>89</v>
      </c>
      <c r="B109" s="628" t="s">
        <v>286</v>
      </c>
      <c r="C109" s="628" t="s">
        <v>115</v>
      </c>
      <c r="D109" s="629">
        <v>81110000</v>
      </c>
      <c r="E109" s="630" t="s">
        <v>549</v>
      </c>
      <c r="F109" s="628" t="s">
        <v>287</v>
      </c>
      <c r="G109" s="628">
        <v>1</v>
      </c>
      <c r="H109" s="628" t="s">
        <v>84</v>
      </c>
      <c r="I109" s="628">
        <v>9</v>
      </c>
      <c r="J109" s="628" t="s">
        <v>88</v>
      </c>
      <c r="K109" s="628" t="s">
        <v>130</v>
      </c>
      <c r="L109" s="628" t="s">
        <v>528</v>
      </c>
      <c r="M109" s="631"/>
      <c r="N109" s="631"/>
      <c r="O109" s="628" t="s">
        <v>75</v>
      </c>
      <c r="P109" s="628" t="s">
        <v>76</v>
      </c>
      <c r="Q109" s="628" t="s">
        <v>118</v>
      </c>
      <c r="S109" s="667"/>
      <c r="T109" s="667"/>
      <c r="U109" s="667"/>
      <c r="V109" s="667"/>
      <c r="W109" s="667"/>
      <c r="X109" s="667"/>
      <c r="Y109" s="667"/>
      <c r="Z109" s="667"/>
      <c r="AA109" s="667"/>
      <c r="AB109" s="667"/>
      <c r="AC109" s="667"/>
      <c r="AD109" s="667"/>
      <c r="AE109" s="667"/>
      <c r="AF109" s="667"/>
      <c r="AG109" s="667"/>
    </row>
    <row r="110" spans="1:33" ht="120" x14ac:dyDescent="0.35">
      <c r="A110" s="668">
        <f t="shared" si="1"/>
        <v>90</v>
      </c>
      <c r="B110" s="623" t="s">
        <v>288</v>
      </c>
      <c r="C110" s="623" t="s">
        <v>115</v>
      </c>
      <c r="D110" s="624">
        <v>86101808</v>
      </c>
      <c r="E110" s="625" t="s">
        <v>289</v>
      </c>
      <c r="F110" s="623" t="s">
        <v>70</v>
      </c>
      <c r="G110" s="623">
        <v>1</v>
      </c>
      <c r="H110" s="623" t="s">
        <v>108</v>
      </c>
      <c r="I110" s="623">
        <v>7</v>
      </c>
      <c r="J110" s="623" t="s">
        <v>88</v>
      </c>
      <c r="K110" s="623" t="s">
        <v>130</v>
      </c>
      <c r="L110" s="623" t="s">
        <v>528</v>
      </c>
      <c r="M110" s="622">
        <v>50000000</v>
      </c>
      <c r="N110" s="622">
        <v>50000000</v>
      </c>
      <c r="O110" s="623" t="s">
        <v>75</v>
      </c>
      <c r="P110" s="623" t="s">
        <v>76</v>
      </c>
      <c r="Q110" s="623" t="s">
        <v>118</v>
      </c>
      <c r="S110" s="667"/>
      <c r="T110" s="667"/>
      <c r="U110" s="667"/>
      <c r="V110" s="667"/>
      <c r="W110" s="667"/>
      <c r="X110" s="667"/>
      <c r="Y110" s="667"/>
      <c r="Z110" s="667"/>
      <c r="AA110" s="667"/>
      <c r="AB110" s="667"/>
      <c r="AC110" s="667"/>
      <c r="AD110" s="667"/>
      <c r="AE110" s="667"/>
      <c r="AF110" s="667"/>
      <c r="AG110" s="667"/>
    </row>
    <row r="111" spans="1:33" ht="162" customHeight="1" x14ac:dyDescent="0.35">
      <c r="A111" s="668">
        <f t="shared" si="1"/>
        <v>91</v>
      </c>
      <c r="B111" s="623" t="s">
        <v>290</v>
      </c>
      <c r="C111" s="623" t="s">
        <v>115</v>
      </c>
      <c r="D111" s="624">
        <v>81112501</v>
      </c>
      <c r="E111" s="625" t="s">
        <v>290</v>
      </c>
      <c r="F111" s="623" t="s">
        <v>70</v>
      </c>
      <c r="G111" s="623">
        <v>1</v>
      </c>
      <c r="H111" s="623" t="s">
        <v>243</v>
      </c>
      <c r="I111" s="623">
        <v>12</v>
      </c>
      <c r="J111" s="623" t="s">
        <v>81</v>
      </c>
      <c r="K111" s="623" t="s">
        <v>130</v>
      </c>
      <c r="L111" s="623" t="s">
        <v>306</v>
      </c>
      <c r="M111" s="622">
        <v>407944240.00000006</v>
      </c>
      <c r="N111" s="622">
        <v>407944240.00000006</v>
      </c>
      <c r="O111" s="623" t="s">
        <v>75</v>
      </c>
      <c r="P111" s="623" t="s">
        <v>76</v>
      </c>
      <c r="Q111" s="623" t="s">
        <v>118</v>
      </c>
      <c r="S111" s="855" t="s">
        <v>1102</v>
      </c>
      <c r="T111" s="855" t="s">
        <v>1103</v>
      </c>
      <c r="U111" s="865">
        <v>43523</v>
      </c>
      <c r="V111" s="857" t="s">
        <v>1104</v>
      </c>
      <c r="W111" s="858" t="s">
        <v>1073</v>
      </c>
      <c r="X111" s="859">
        <v>256621187.12</v>
      </c>
      <c r="Y111" s="860">
        <v>0</v>
      </c>
      <c r="Z111" s="859">
        <v>256621187.12</v>
      </c>
      <c r="AA111" s="857" t="s">
        <v>1105</v>
      </c>
      <c r="AB111" s="858" t="s">
        <v>1106</v>
      </c>
      <c r="AC111" s="857" t="s">
        <v>1107</v>
      </c>
      <c r="AD111" s="865">
        <v>43523</v>
      </c>
      <c r="AE111" s="865">
        <v>43887</v>
      </c>
      <c r="AF111" s="858" t="s">
        <v>1108</v>
      </c>
      <c r="AG111" s="869" t="s">
        <v>813</v>
      </c>
    </row>
    <row r="112" spans="1:33" ht="120" x14ac:dyDescent="0.35">
      <c r="A112" s="668">
        <f t="shared" ref="A112" si="2">SUM(A111+1)</f>
        <v>92</v>
      </c>
      <c r="B112" s="623" t="s">
        <v>291</v>
      </c>
      <c r="C112" s="623" t="s">
        <v>115</v>
      </c>
      <c r="D112" s="624">
        <v>81112501</v>
      </c>
      <c r="E112" s="625" t="s">
        <v>291</v>
      </c>
      <c r="F112" s="623" t="s">
        <v>70</v>
      </c>
      <c r="G112" s="623">
        <v>1</v>
      </c>
      <c r="H112" s="623" t="s">
        <v>84</v>
      </c>
      <c r="I112" s="623">
        <v>9</v>
      </c>
      <c r="J112" s="623" t="s">
        <v>244</v>
      </c>
      <c r="K112" s="623" t="s">
        <v>130</v>
      </c>
      <c r="L112" s="623" t="s">
        <v>306</v>
      </c>
      <c r="M112" s="622">
        <v>150000000</v>
      </c>
      <c r="N112" s="622">
        <v>150000000</v>
      </c>
      <c r="O112" s="623" t="s">
        <v>75</v>
      </c>
      <c r="P112" s="623" t="s">
        <v>76</v>
      </c>
      <c r="Q112" s="623" t="s">
        <v>118</v>
      </c>
      <c r="S112" s="667"/>
      <c r="T112" s="667"/>
      <c r="U112" s="667"/>
      <c r="V112" s="667"/>
      <c r="W112" s="667"/>
      <c r="X112" s="667"/>
      <c r="Y112" s="667"/>
      <c r="Z112" s="667"/>
      <c r="AA112" s="667"/>
      <c r="AB112" s="667"/>
      <c r="AC112" s="667"/>
      <c r="AD112" s="667"/>
      <c r="AE112" s="667"/>
      <c r="AF112" s="667"/>
      <c r="AG112" s="667"/>
    </row>
    <row r="113" spans="1:33" ht="150" x14ac:dyDescent="0.35">
      <c r="A113" s="668">
        <f t="shared" ref="A113:A117" si="3">SUM(A112+1)</f>
        <v>93</v>
      </c>
      <c r="B113" s="623" t="s">
        <v>292</v>
      </c>
      <c r="C113" s="623" t="s">
        <v>115</v>
      </c>
      <c r="D113" s="624" t="s">
        <v>293</v>
      </c>
      <c r="E113" s="625" t="s">
        <v>294</v>
      </c>
      <c r="F113" s="623" t="s">
        <v>70</v>
      </c>
      <c r="G113" s="623">
        <v>1</v>
      </c>
      <c r="H113" s="623" t="s">
        <v>120</v>
      </c>
      <c r="I113" s="623">
        <v>12</v>
      </c>
      <c r="J113" s="623" t="s">
        <v>535</v>
      </c>
      <c r="K113" s="623" t="s">
        <v>130</v>
      </c>
      <c r="L113" s="623" t="s">
        <v>306</v>
      </c>
      <c r="M113" s="622">
        <v>300582187</v>
      </c>
      <c r="N113" s="622">
        <v>300582187</v>
      </c>
      <c r="O113" s="623" t="s">
        <v>75</v>
      </c>
      <c r="P113" s="623" t="s">
        <v>76</v>
      </c>
      <c r="Q113" s="623" t="s">
        <v>118</v>
      </c>
      <c r="S113" s="667"/>
      <c r="T113" s="667"/>
      <c r="U113" s="667"/>
      <c r="V113" s="667"/>
      <c r="W113" s="667"/>
      <c r="X113" s="667"/>
      <c r="Y113" s="667"/>
      <c r="Z113" s="667"/>
      <c r="AA113" s="667"/>
      <c r="AB113" s="667"/>
      <c r="AC113" s="667"/>
      <c r="AD113" s="667"/>
      <c r="AE113" s="667"/>
      <c r="AF113" s="667"/>
      <c r="AG113" s="667"/>
    </row>
    <row r="114" spans="1:33" ht="120" x14ac:dyDescent="0.35">
      <c r="A114" s="668">
        <f t="shared" si="3"/>
        <v>94</v>
      </c>
      <c r="B114" s="623" t="s">
        <v>295</v>
      </c>
      <c r="C114" s="623" t="s">
        <v>115</v>
      </c>
      <c r="D114" s="624">
        <v>81112006</v>
      </c>
      <c r="E114" s="625" t="s">
        <v>296</v>
      </c>
      <c r="F114" s="623" t="s">
        <v>70</v>
      </c>
      <c r="G114" s="623">
        <v>1</v>
      </c>
      <c r="H114" s="623" t="s">
        <v>108</v>
      </c>
      <c r="I114" s="623">
        <v>41</v>
      </c>
      <c r="J114" s="623" t="s">
        <v>533</v>
      </c>
      <c r="K114" s="623" t="s">
        <v>73</v>
      </c>
      <c r="L114" s="623" t="s">
        <v>148</v>
      </c>
      <c r="M114" s="622">
        <v>17000000</v>
      </c>
      <c r="N114" s="622">
        <f>M114/41*10</f>
        <v>4146341.4634146346</v>
      </c>
      <c r="O114" s="623" t="s">
        <v>90</v>
      </c>
      <c r="P114" s="623" t="s">
        <v>76</v>
      </c>
      <c r="Q114" s="623" t="s">
        <v>118</v>
      </c>
      <c r="S114" s="667"/>
      <c r="T114" s="667"/>
      <c r="U114" s="667"/>
      <c r="V114" s="667"/>
      <c r="W114" s="667"/>
      <c r="X114" s="667"/>
      <c r="Y114" s="667"/>
      <c r="Z114" s="667"/>
      <c r="AA114" s="667"/>
      <c r="AB114" s="667"/>
      <c r="AC114" s="667"/>
      <c r="AD114" s="667"/>
      <c r="AE114" s="667"/>
      <c r="AF114" s="667"/>
      <c r="AG114" s="667"/>
    </row>
    <row r="115" spans="1:33" ht="120" x14ac:dyDescent="0.35">
      <c r="A115" s="668">
        <f t="shared" si="3"/>
        <v>95</v>
      </c>
      <c r="B115" s="623" t="s">
        <v>297</v>
      </c>
      <c r="C115" s="623" t="s">
        <v>115</v>
      </c>
      <c r="D115" s="624">
        <v>81112502</v>
      </c>
      <c r="E115" s="625" t="s">
        <v>298</v>
      </c>
      <c r="F115" s="623" t="s">
        <v>70</v>
      </c>
      <c r="G115" s="623">
        <v>1</v>
      </c>
      <c r="H115" s="623" t="s">
        <v>108</v>
      </c>
      <c r="I115" s="623">
        <v>35</v>
      </c>
      <c r="J115" s="623" t="s">
        <v>81</v>
      </c>
      <c r="K115" s="623" t="s">
        <v>73</v>
      </c>
      <c r="L115" s="623" t="s">
        <v>148</v>
      </c>
      <c r="M115" s="622">
        <v>1288986000</v>
      </c>
      <c r="N115" s="622">
        <v>147313000</v>
      </c>
      <c r="O115" s="623" t="s">
        <v>90</v>
      </c>
      <c r="P115" s="623" t="s">
        <v>91</v>
      </c>
      <c r="Q115" s="623" t="s">
        <v>118</v>
      </c>
      <c r="S115" s="667"/>
      <c r="T115" s="667"/>
      <c r="U115" s="667"/>
      <c r="V115" s="667"/>
      <c r="W115" s="667"/>
      <c r="X115" s="667"/>
      <c r="Y115" s="667"/>
      <c r="Z115" s="667"/>
      <c r="AA115" s="667"/>
      <c r="AB115" s="667"/>
      <c r="AC115" s="667"/>
      <c r="AD115" s="667"/>
      <c r="AE115" s="667"/>
      <c r="AF115" s="667"/>
      <c r="AG115" s="667"/>
    </row>
    <row r="116" spans="1:33" ht="180" customHeight="1" x14ac:dyDescent="0.35">
      <c r="A116" s="668">
        <f t="shared" si="3"/>
        <v>96</v>
      </c>
      <c r="B116" s="623" t="s">
        <v>300</v>
      </c>
      <c r="C116" s="623" t="s">
        <v>115</v>
      </c>
      <c r="D116" s="624">
        <v>81112502</v>
      </c>
      <c r="E116" s="625" t="s">
        <v>301</v>
      </c>
      <c r="F116" s="623" t="s">
        <v>70</v>
      </c>
      <c r="G116" s="623">
        <v>1</v>
      </c>
      <c r="H116" s="623" t="s">
        <v>108</v>
      </c>
      <c r="I116" s="623">
        <v>18</v>
      </c>
      <c r="J116" s="623" t="s">
        <v>81</v>
      </c>
      <c r="K116" s="623" t="s">
        <v>73</v>
      </c>
      <c r="L116" s="623" t="s">
        <v>148</v>
      </c>
      <c r="M116" s="622">
        <v>233000000</v>
      </c>
      <c r="N116" s="622">
        <v>130000000</v>
      </c>
      <c r="O116" s="623" t="s">
        <v>90</v>
      </c>
      <c r="P116" s="623" t="s">
        <v>91</v>
      </c>
      <c r="Q116" s="623" t="s">
        <v>118</v>
      </c>
      <c r="S116" s="667"/>
      <c r="T116" s="667"/>
      <c r="U116" s="667"/>
      <c r="V116" s="667"/>
      <c r="W116" s="667"/>
      <c r="X116" s="667"/>
      <c r="Y116" s="667"/>
      <c r="Z116" s="667"/>
      <c r="AA116" s="667"/>
      <c r="AB116" s="667"/>
      <c r="AC116" s="667"/>
      <c r="AD116" s="667"/>
      <c r="AE116" s="667"/>
      <c r="AF116" s="667"/>
      <c r="AG116" s="667"/>
    </row>
    <row r="117" spans="1:33" ht="120" x14ac:dyDescent="0.35">
      <c r="A117" s="668">
        <f t="shared" si="3"/>
        <v>97</v>
      </c>
      <c r="B117" s="623" t="s">
        <v>302</v>
      </c>
      <c r="C117" s="623" t="s">
        <v>115</v>
      </c>
      <c r="D117" s="624">
        <v>81112502</v>
      </c>
      <c r="E117" s="625" t="s">
        <v>303</v>
      </c>
      <c r="F117" s="623" t="s">
        <v>70</v>
      </c>
      <c r="G117" s="623">
        <v>1</v>
      </c>
      <c r="H117" s="623" t="s">
        <v>108</v>
      </c>
      <c r="I117" s="623">
        <v>12</v>
      </c>
      <c r="J117" s="623" t="s">
        <v>81</v>
      </c>
      <c r="K117" s="623" t="s">
        <v>73</v>
      </c>
      <c r="L117" s="623" t="s">
        <v>148</v>
      </c>
      <c r="M117" s="622">
        <v>16130000</v>
      </c>
      <c r="N117" s="622">
        <v>16130000</v>
      </c>
      <c r="O117" s="623" t="s">
        <v>75</v>
      </c>
      <c r="P117" s="623" t="s">
        <v>76</v>
      </c>
      <c r="Q117" s="623" t="s">
        <v>118</v>
      </c>
      <c r="S117" s="667"/>
      <c r="T117" s="667"/>
      <c r="U117" s="667"/>
      <c r="V117" s="667"/>
      <c r="W117" s="667"/>
      <c r="X117" s="667"/>
      <c r="Y117" s="667"/>
      <c r="Z117" s="667"/>
      <c r="AA117" s="667"/>
      <c r="AB117" s="667"/>
      <c r="AC117" s="667"/>
      <c r="AD117" s="667"/>
      <c r="AE117" s="667"/>
      <c r="AF117" s="667"/>
      <c r="AG117" s="667"/>
    </row>
    <row r="118" spans="1:33" ht="150" x14ac:dyDescent="0.35">
      <c r="A118" s="668">
        <f>+A117+1</f>
        <v>98</v>
      </c>
      <c r="B118" s="623"/>
      <c r="C118" s="623" t="s">
        <v>129</v>
      </c>
      <c r="D118" s="624">
        <v>80101706</v>
      </c>
      <c r="E118" s="625" t="s">
        <v>304</v>
      </c>
      <c r="F118" s="623" t="s">
        <v>70</v>
      </c>
      <c r="G118" s="623">
        <v>1</v>
      </c>
      <c r="H118" s="623" t="s">
        <v>96</v>
      </c>
      <c r="I118" s="623">
        <v>10.5</v>
      </c>
      <c r="J118" s="623" t="s">
        <v>244</v>
      </c>
      <c r="K118" s="623" t="s">
        <v>130</v>
      </c>
      <c r="L118" s="623" t="s">
        <v>131</v>
      </c>
      <c r="M118" s="622">
        <v>91875000</v>
      </c>
      <c r="N118" s="622">
        <v>91875000</v>
      </c>
      <c r="O118" s="623" t="s">
        <v>75</v>
      </c>
      <c r="P118" s="623" t="s">
        <v>76</v>
      </c>
      <c r="Q118" s="623" t="s">
        <v>132</v>
      </c>
      <c r="S118" s="855" t="s">
        <v>932</v>
      </c>
      <c r="T118" s="855" t="s">
        <v>933</v>
      </c>
      <c r="U118" s="856">
        <v>43495</v>
      </c>
      <c r="V118" s="857" t="s">
        <v>934</v>
      </c>
      <c r="W118" s="858" t="s">
        <v>553</v>
      </c>
      <c r="X118" s="859">
        <v>91875000</v>
      </c>
      <c r="Y118" s="860">
        <v>0</v>
      </c>
      <c r="Z118" s="859">
        <v>91875000</v>
      </c>
      <c r="AA118" s="857" t="s">
        <v>935</v>
      </c>
      <c r="AB118" s="861">
        <v>8619</v>
      </c>
      <c r="AC118" s="862" t="s">
        <v>749</v>
      </c>
      <c r="AD118" s="856">
        <v>43495</v>
      </c>
      <c r="AE118" s="856">
        <v>43812</v>
      </c>
      <c r="AF118" s="863" t="s">
        <v>936</v>
      </c>
      <c r="AG118" s="864" t="s">
        <v>557</v>
      </c>
    </row>
    <row r="119" spans="1:33" ht="150" x14ac:dyDescent="0.35">
      <c r="A119" s="668">
        <f t="shared" ref="A119:A182" si="4">+A118+1</f>
        <v>99</v>
      </c>
      <c r="B119" s="623"/>
      <c r="C119" s="623" t="s">
        <v>129</v>
      </c>
      <c r="D119" s="624">
        <v>80101706</v>
      </c>
      <c r="E119" s="625" t="s">
        <v>304</v>
      </c>
      <c r="F119" s="623" t="s">
        <v>70</v>
      </c>
      <c r="G119" s="623">
        <v>1</v>
      </c>
      <c r="H119" s="623" t="s">
        <v>96</v>
      </c>
      <c r="I119" s="623">
        <v>11.5</v>
      </c>
      <c r="J119" s="623" t="s">
        <v>244</v>
      </c>
      <c r="K119" s="623" t="s">
        <v>130</v>
      </c>
      <c r="L119" s="623" t="s">
        <v>131</v>
      </c>
      <c r="M119" s="622">
        <v>82800000</v>
      </c>
      <c r="N119" s="622">
        <v>82800000</v>
      </c>
      <c r="O119" s="623" t="s">
        <v>75</v>
      </c>
      <c r="P119" s="623" t="s">
        <v>76</v>
      </c>
      <c r="Q119" s="623" t="s">
        <v>132</v>
      </c>
      <c r="S119" s="855" t="s">
        <v>550</v>
      </c>
      <c r="T119" s="855" t="s">
        <v>551</v>
      </c>
      <c r="U119" s="865">
        <v>43476</v>
      </c>
      <c r="V119" s="857" t="s">
        <v>552</v>
      </c>
      <c r="W119" s="858" t="s">
        <v>553</v>
      </c>
      <c r="X119" s="859">
        <v>82800000</v>
      </c>
      <c r="Y119" s="859">
        <v>0</v>
      </c>
      <c r="Z119" s="859">
        <v>82800000</v>
      </c>
      <c r="AA119" s="857" t="s">
        <v>554</v>
      </c>
      <c r="AB119" s="861">
        <v>719</v>
      </c>
      <c r="AC119" s="857" t="s">
        <v>555</v>
      </c>
      <c r="AD119" s="865">
        <v>43476</v>
      </c>
      <c r="AE119" s="865">
        <v>43824</v>
      </c>
      <c r="AF119" s="858" t="s">
        <v>556</v>
      </c>
      <c r="AG119" s="869" t="s">
        <v>557</v>
      </c>
    </row>
    <row r="120" spans="1:33" ht="150" x14ac:dyDescent="0.35">
      <c r="A120" s="668">
        <f t="shared" si="4"/>
        <v>100</v>
      </c>
      <c r="B120" s="623"/>
      <c r="C120" s="623" t="s">
        <v>129</v>
      </c>
      <c r="D120" s="624">
        <v>80101706</v>
      </c>
      <c r="E120" s="625" t="s">
        <v>304</v>
      </c>
      <c r="F120" s="623" t="s">
        <v>70</v>
      </c>
      <c r="G120" s="623">
        <v>1</v>
      </c>
      <c r="H120" s="623" t="s">
        <v>96</v>
      </c>
      <c r="I120" s="623">
        <v>11.5</v>
      </c>
      <c r="J120" s="623" t="s">
        <v>244</v>
      </c>
      <c r="K120" s="623" t="s">
        <v>130</v>
      </c>
      <c r="L120" s="623" t="s">
        <v>131</v>
      </c>
      <c r="M120" s="622">
        <v>62100000</v>
      </c>
      <c r="N120" s="622">
        <v>62100000</v>
      </c>
      <c r="O120" s="623" t="s">
        <v>75</v>
      </c>
      <c r="P120" s="623" t="s">
        <v>76</v>
      </c>
      <c r="Q120" s="623" t="s">
        <v>132</v>
      </c>
      <c r="S120" s="855" t="s">
        <v>558</v>
      </c>
      <c r="T120" s="855" t="s">
        <v>559</v>
      </c>
      <c r="U120" s="865">
        <v>43476</v>
      </c>
      <c r="V120" s="857" t="s">
        <v>560</v>
      </c>
      <c r="W120" s="858" t="s">
        <v>553</v>
      </c>
      <c r="X120" s="859">
        <v>62100000</v>
      </c>
      <c r="Y120" s="859">
        <v>0</v>
      </c>
      <c r="Z120" s="859">
        <v>62100000</v>
      </c>
      <c r="AA120" s="857" t="s">
        <v>561</v>
      </c>
      <c r="AB120" s="861">
        <v>619</v>
      </c>
      <c r="AC120" s="857" t="s">
        <v>555</v>
      </c>
      <c r="AD120" s="865">
        <v>43476</v>
      </c>
      <c r="AE120" s="865">
        <v>43824</v>
      </c>
      <c r="AF120" s="863" t="s">
        <v>578</v>
      </c>
      <c r="AG120" s="864" t="s">
        <v>557</v>
      </c>
    </row>
    <row r="121" spans="1:33" ht="150" x14ac:dyDescent="0.35">
      <c r="A121" s="668">
        <f t="shared" si="4"/>
        <v>101</v>
      </c>
      <c r="B121" s="623"/>
      <c r="C121" s="623" t="s">
        <v>129</v>
      </c>
      <c r="D121" s="624">
        <v>80101706</v>
      </c>
      <c r="E121" s="625" t="s">
        <v>304</v>
      </c>
      <c r="F121" s="623" t="s">
        <v>70</v>
      </c>
      <c r="G121" s="623">
        <v>1</v>
      </c>
      <c r="H121" s="623" t="s">
        <v>96</v>
      </c>
      <c r="I121" s="623">
        <v>11</v>
      </c>
      <c r="J121" s="623" t="s">
        <v>244</v>
      </c>
      <c r="K121" s="623" t="s">
        <v>130</v>
      </c>
      <c r="L121" s="623" t="s">
        <v>131</v>
      </c>
      <c r="M121" s="622">
        <v>53900000</v>
      </c>
      <c r="N121" s="622">
        <v>53900000</v>
      </c>
      <c r="O121" s="623" t="s">
        <v>75</v>
      </c>
      <c r="P121" s="623" t="s">
        <v>76</v>
      </c>
      <c r="Q121" s="623" t="s">
        <v>132</v>
      </c>
      <c r="S121" s="855" t="s">
        <v>562</v>
      </c>
      <c r="T121" s="855" t="s">
        <v>563</v>
      </c>
      <c r="U121" s="865">
        <v>43483</v>
      </c>
      <c r="V121" s="857" t="s">
        <v>564</v>
      </c>
      <c r="W121" s="858" t="s">
        <v>553</v>
      </c>
      <c r="X121" s="859">
        <v>53900000</v>
      </c>
      <c r="Y121" s="860">
        <v>0</v>
      </c>
      <c r="Z121" s="859">
        <v>53900000</v>
      </c>
      <c r="AA121" s="862" t="s">
        <v>565</v>
      </c>
      <c r="AB121" s="863">
        <v>5819</v>
      </c>
      <c r="AC121" s="862" t="s">
        <v>566</v>
      </c>
      <c r="AD121" s="856">
        <v>43483</v>
      </c>
      <c r="AE121" s="856">
        <v>43816</v>
      </c>
      <c r="AF121" s="863" t="s">
        <v>567</v>
      </c>
      <c r="AG121" s="864" t="s">
        <v>557</v>
      </c>
    </row>
    <row r="122" spans="1:33" ht="150" x14ac:dyDescent="0.35">
      <c r="A122" s="668">
        <f t="shared" si="4"/>
        <v>102</v>
      </c>
      <c r="B122" s="623"/>
      <c r="C122" s="623" t="s">
        <v>129</v>
      </c>
      <c r="D122" s="624">
        <v>80101706</v>
      </c>
      <c r="E122" s="625" t="s">
        <v>304</v>
      </c>
      <c r="F122" s="623" t="s">
        <v>70</v>
      </c>
      <c r="G122" s="623">
        <v>1</v>
      </c>
      <c r="H122" s="623" t="s">
        <v>96</v>
      </c>
      <c r="I122" s="623">
        <v>11</v>
      </c>
      <c r="J122" s="623" t="s">
        <v>244</v>
      </c>
      <c r="K122" s="623" t="s">
        <v>130</v>
      </c>
      <c r="L122" s="623" t="s">
        <v>131</v>
      </c>
      <c r="M122" s="622">
        <v>53900000</v>
      </c>
      <c r="N122" s="622">
        <v>53900000</v>
      </c>
      <c r="O122" s="623" t="s">
        <v>75</v>
      </c>
      <c r="P122" s="623" t="s">
        <v>76</v>
      </c>
      <c r="Q122" s="623" t="s">
        <v>132</v>
      </c>
      <c r="S122" s="855" t="s">
        <v>568</v>
      </c>
      <c r="T122" s="855" t="s">
        <v>569</v>
      </c>
      <c r="U122" s="865">
        <v>43483</v>
      </c>
      <c r="V122" s="857" t="s">
        <v>570</v>
      </c>
      <c r="W122" s="858" t="s">
        <v>553</v>
      </c>
      <c r="X122" s="859">
        <v>53900000</v>
      </c>
      <c r="Y122" s="860">
        <v>0</v>
      </c>
      <c r="Z122" s="859">
        <v>53900000</v>
      </c>
      <c r="AA122" s="862" t="s">
        <v>571</v>
      </c>
      <c r="AB122" s="863">
        <v>7419</v>
      </c>
      <c r="AC122" s="862" t="s">
        <v>566</v>
      </c>
      <c r="AD122" s="856">
        <v>43483</v>
      </c>
      <c r="AE122" s="856">
        <v>43816</v>
      </c>
      <c r="AF122" s="863" t="s">
        <v>567</v>
      </c>
      <c r="AG122" s="864" t="s">
        <v>557</v>
      </c>
    </row>
    <row r="123" spans="1:33" ht="150" x14ac:dyDescent="0.35">
      <c r="A123" s="668">
        <f t="shared" si="4"/>
        <v>103</v>
      </c>
      <c r="B123" s="623"/>
      <c r="C123" s="623" t="s">
        <v>129</v>
      </c>
      <c r="D123" s="624">
        <v>80101706</v>
      </c>
      <c r="E123" s="625" t="s">
        <v>305</v>
      </c>
      <c r="F123" s="623" t="s">
        <v>70</v>
      </c>
      <c r="G123" s="623">
        <v>1</v>
      </c>
      <c r="H123" s="623" t="s">
        <v>96</v>
      </c>
      <c r="I123" s="623">
        <v>11</v>
      </c>
      <c r="J123" s="623" t="s">
        <v>244</v>
      </c>
      <c r="K123" s="623" t="s">
        <v>130</v>
      </c>
      <c r="L123" s="623" t="s">
        <v>131</v>
      </c>
      <c r="M123" s="622">
        <v>22000000</v>
      </c>
      <c r="N123" s="622">
        <v>22000000</v>
      </c>
      <c r="O123" s="623" t="s">
        <v>75</v>
      </c>
      <c r="P123" s="623" t="s">
        <v>76</v>
      </c>
      <c r="Q123" s="623" t="s">
        <v>132</v>
      </c>
      <c r="S123" s="855" t="s">
        <v>572</v>
      </c>
      <c r="T123" s="855" t="s">
        <v>573</v>
      </c>
      <c r="U123" s="856">
        <v>43487</v>
      </c>
      <c r="V123" s="857" t="s">
        <v>574</v>
      </c>
      <c r="W123" s="858" t="s">
        <v>575</v>
      </c>
      <c r="X123" s="859">
        <v>22000000</v>
      </c>
      <c r="Y123" s="860">
        <v>0</v>
      </c>
      <c r="Z123" s="859">
        <v>22000000</v>
      </c>
      <c r="AA123" s="862" t="s">
        <v>576</v>
      </c>
      <c r="AB123" s="863">
        <v>8319</v>
      </c>
      <c r="AC123" s="862" t="s">
        <v>577</v>
      </c>
      <c r="AD123" s="856">
        <v>43487</v>
      </c>
      <c r="AE123" s="856">
        <v>43820</v>
      </c>
      <c r="AF123" s="863" t="s">
        <v>578</v>
      </c>
      <c r="AG123" s="864" t="s">
        <v>557</v>
      </c>
    </row>
    <row r="124" spans="1:33" ht="150" x14ac:dyDescent="0.35">
      <c r="A124" s="668">
        <f t="shared" si="4"/>
        <v>104</v>
      </c>
      <c r="B124" s="623"/>
      <c r="C124" s="623" t="s">
        <v>129</v>
      </c>
      <c r="D124" s="624">
        <v>80101706</v>
      </c>
      <c r="E124" s="625" t="s">
        <v>304</v>
      </c>
      <c r="F124" s="623" t="s">
        <v>70</v>
      </c>
      <c r="G124" s="623">
        <v>1</v>
      </c>
      <c r="H124" s="623" t="s">
        <v>96</v>
      </c>
      <c r="I124" s="623">
        <v>11</v>
      </c>
      <c r="J124" s="623" t="s">
        <v>244</v>
      </c>
      <c r="K124" s="623" t="s">
        <v>130</v>
      </c>
      <c r="L124" s="623" t="s">
        <v>299</v>
      </c>
      <c r="M124" s="622">
        <v>49500000</v>
      </c>
      <c r="N124" s="622">
        <v>49500000</v>
      </c>
      <c r="O124" s="623" t="s">
        <v>75</v>
      </c>
      <c r="P124" s="623" t="s">
        <v>76</v>
      </c>
      <c r="Q124" s="623" t="s">
        <v>132</v>
      </c>
      <c r="S124" s="855" t="s">
        <v>937</v>
      </c>
      <c r="T124" s="855" t="s">
        <v>938</v>
      </c>
      <c r="U124" s="856">
        <v>43496</v>
      </c>
      <c r="V124" s="857" t="s">
        <v>939</v>
      </c>
      <c r="W124" s="858" t="s">
        <v>553</v>
      </c>
      <c r="X124" s="859">
        <v>69300000</v>
      </c>
      <c r="Y124" s="860">
        <v>0</v>
      </c>
      <c r="Z124" s="859">
        <v>69300000</v>
      </c>
      <c r="AA124" s="857" t="s">
        <v>940</v>
      </c>
      <c r="AB124" s="858">
        <v>13419</v>
      </c>
      <c r="AC124" s="862" t="s">
        <v>811</v>
      </c>
      <c r="AD124" s="856">
        <v>43497</v>
      </c>
      <c r="AE124" s="856">
        <v>43814</v>
      </c>
      <c r="AF124" s="863" t="s">
        <v>578</v>
      </c>
      <c r="AG124" s="864" t="s">
        <v>557</v>
      </c>
    </row>
    <row r="125" spans="1:33" ht="150" x14ac:dyDescent="0.35">
      <c r="A125" s="668">
        <f t="shared" si="4"/>
        <v>105</v>
      </c>
      <c r="B125" s="623"/>
      <c r="C125" s="623" t="s">
        <v>129</v>
      </c>
      <c r="D125" s="624">
        <v>80101706</v>
      </c>
      <c r="E125" s="625" t="s">
        <v>304</v>
      </c>
      <c r="F125" s="623" t="s">
        <v>70</v>
      </c>
      <c r="G125" s="623">
        <v>1</v>
      </c>
      <c r="H125" s="623" t="s">
        <v>96</v>
      </c>
      <c r="I125" s="623">
        <v>10.5</v>
      </c>
      <c r="J125" s="623" t="s">
        <v>244</v>
      </c>
      <c r="K125" s="623" t="s">
        <v>130</v>
      </c>
      <c r="L125" s="623" t="s">
        <v>131</v>
      </c>
      <c r="M125" s="622">
        <v>91875000</v>
      </c>
      <c r="N125" s="622">
        <v>91875000</v>
      </c>
      <c r="O125" s="623" t="s">
        <v>75</v>
      </c>
      <c r="P125" s="623" t="s">
        <v>76</v>
      </c>
      <c r="Q125" s="623" t="s">
        <v>132</v>
      </c>
      <c r="S125" s="855" t="s">
        <v>941</v>
      </c>
      <c r="T125" s="855" t="s">
        <v>942</v>
      </c>
      <c r="U125" s="856">
        <v>43501</v>
      </c>
      <c r="V125" s="857" t="s">
        <v>943</v>
      </c>
      <c r="W125" s="858" t="s">
        <v>553</v>
      </c>
      <c r="X125" s="859">
        <v>91850000</v>
      </c>
      <c r="Y125" s="860">
        <v>0</v>
      </c>
      <c r="Z125" s="859">
        <v>91850000</v>
      </c>
      <c r="AA125" s="857" t="s">
        <v>944</v>
      </c>
      <c r="AB125" s="858">
        <v>8819</v>
      </c>
      <c r="AC125" s="862" t="s">
        <v>811</v>
      </c>
      <c r="AD125" s="856">
        <v>43501</v>
      </c>
      <c r="AE125" s="856">
        <v>43818</v>
      </c>
      <c r="AF125" s="863" t="s">
        <v>556</v>
      </c>
      <c r="AG125" s="864" t="s">
        <v>557</v>
      </c>
    </row>
    <row r="126" spans="1:33" ht="150" x14ac:dyDescent="0.35">
      <c r="A126" s="668">
        <f t="shared" si="4"/>
        <v>106</v>
      </c>
      <c r="B126" s="623"/>
      <c r="C126" s="623" t="s">
        <v>129</v>
      </c>
      <c r="D126" s="624">
        <v>80101706</v>
      </c>
      <c r="E126" s="625" t="s">
        <v>304</v>
      </c>
      <c r="F126" s="623" t="s">
        <v>70</v>
      </c>
      <c r="G126" s="623">
        <v>1</v>
      </c>
      <c r="H126" s="623" t="s">
        <v>96</v>
      </c>
      <c r="I126" s="623">
        <v>10.5</v>
      </c>
      <c r="J126" s="623" t="s">
        <v>244</v>
      </c>
      <c r="K126" s="623" t="s">
        <v>130</v>
      </c>
      <c r="L126" s="623" t="s">
        <v>131</v>
      </c>
      <c r="M126" s="622">
        <v>91875000</v>
      </c>
      <c r="N126" s="622">
        <v>91875000</v>
      </c>
      <c r="O126" s="623" t="s">
        <v>75</v>
      </c>
      <c r="P126" s="623" t="s">
        <v>76</v>
      </c>
      <c r="Q126" s="623" t="s">
        <v>132</v>
      </c>
      <c r="S126" s="855" t="s">
        <v>1109</v>
      </c>
      <c r="T126" s="855" t="s">
        <v>1110</v>
      </c>
      <c r="U126" s="865">
        <v>43515</v>
      </c>
      <c r="V126" s="857" t="s">
        <v>1111</v>
      </c>
      <c r="W126" s="858" t="s">
        <v>553</v>
      </c>
      <c r="X126" s="859">
        <v>87500000</v>
      </c>
      <c r="Y126" s="860">
        <v>0</v>
      </c>
      <c r="Z126" s="859">
        <v>87500000</v>
      </c>
      <c r="AA126" s="857" t="s">
        <v>1112</v>
      </c>
      <c r="AB126" s="858">
        <v>8919</v>
      </c>
      <c r="AC126" s="862" t="s">
        <v>1009</v>
      </c>
      <c r="AD126" s="856">
        <v>43515</v>
      </c>
      <c r="AE126" s="856">
        <v>43817</v>
      </c>
      <c r="AF126" s="863" t="s">
        <v>556</v>
      </c>
      <c r="AG126" s="864" t="s">
        <v>557</v>
      </c>
    </row>
    <row r="127" spans="1:33" ht="150" x14ac:dyDescent="0.35">
      <c r="A127" s="668">
        <f t="shared" si="4"/>
        <v>107</v>
      </c>
      <c r="B127" s="623"/>
      <c r="C127" s="623" t="s">
        <v>129</v>
      </c>
      <c r="D127" s="624">
        <v>80101706</v>
      </c>
      <c r="E127" s="625" t="s">
        <v>304</v>
      </c>
      <c r="F127" s="623" t="s">
        <v>70</v>
      </c>
      <c r="G127" s="623">
        <v>1</v>
      </c>
      <c r="H127" s="623" t="s">
        <v>96</v>
      </c>
      <c r="I127" s="623">
        <v>10.5</v>
      </c>
      <c r="J127" s="623" t="s">
        <v>244</v>
      </c>
      <c r="K127" s="623" t="s">
        <v>130</v>
      </c>
      <c r="L127" s="623" t="s">
        <v>131</v>
      </c>
      <c r="M127" s="622">
        <v>91875000</v>
      </c>
      <c r="N127" s="622">
        <v>91875000</v>
      </c>
      <c r="O127" s="623" t="s">
        <v>75</v>
      </c>
      <c r="P127" s="623" t="s">
        <v>76</v>
      </c>
      <c r="Q127" s="623" t="s">
        <v>132</v>
      </c>
      <c r="S127" s="855" t="s">
        <v>945</v>
      </c>
      <c r="T127" s="855" t="s">
        <v>946</v>
      </c>
      <c r="U127" s="865">
        <v>43502</v>
      </c>
      <c r="V127" s="857" t="s">
        <v>943</v>
      </c>
      <c r="W127" s="858" t="s">
        <v>553</v>
      </c>
      <c r="X127" s="859">
        <v>91875000</v>
      </c>
      <c r="Y127" s="860">
        <v>0</v>
      </c>
      <c r="Z127" s="859">
        <v>91875000</v>
      </c>
      <c r="AA127" s="857" t="s">
        <v>947</v>
      </c>
      <c r="AB127" s="858">
        <v>9019</v>
      </c>
      <c r="AC127" s="862" t="s">
        <v>811</v>
      </c>
      <c r="AD127" s="856">
        <v>43502</v>
      </c>
      <c r="AE127" s="856">
        <v>43819</v>
      </c>
      <c r="AF127" s="863" t="s">
        <v>556</v>
      </c>
      <c r="AG127" s="864" t="s">
        <v>557</v>
      </c>
    </row>
    <row r="128" spans="1:33" ht="150" x14ac:dyDescent="0.35">
      <c r="A128" s="668">
        <f t="shared" si="4"/>
        <v>108</v>
      </c>
      <c r="B128" s="623"/>
      <c r="C128" s="623" t="s">
        <v>129</v>
      </c>
      <c r="D128" s="624">
        <v>80101706</v>
      </c>
      <c r="E128" s="625" t="s">
        <v>304</v>
      </c>
      <c r="F128" s="623" t="s">
        <v>70</v>
      </c>
      <c r="G128" s="623">
        <v>1</v>
      </c>
      <c r="H128" s="623" t="s">
        <v>96</v>
      </c>
      <c r="I128" s="623">
        <v>10.5</v>
      </c>
      <c r="J128" s="623" t="s">
        <v>244</v>
      </c>
      <c r="K128" s="623" t="s">
        <v>130</v>
      </c>
      <c r="L128" s="623" t="s">
        <v>131</v>
      </c>
      <c r="M128" s="622">
        <v>91875000</v>
      </c>
      <c r="N128" s="622">
        <v>91875000</v>
      </c>
      <c r="O128" s="623" t="s">
        <v>75</v>
      </c>
      <c r="P128" s="623" t="s">
        <v>76</v>
      </c>
      <c r="Q128" s="623" t="s">
        <v>132</v>
      </c>
      <c r="S128" s="855" t="s">
        <v>948</v>
      </c>
      <c r="T128" s="855" t="s">
        <v>949</v>
      </c>
      <c r="U128" s="856">
        <v>43503</v>
      </c>
      <c r="V128" s="857" t="s">
        <v>950</v>
      </c>
      <c r="W128" s="858" t="s">
        <v>553</v>
      </c>
      <c r="X128" s="859">
        <v>91875000</v>
      </c>
      <c r="Y128" s="860">
        <v>0</v>
      </c>
      <c r="Z128" s="859">
        <v>91875000</v>
      </c>
      <c r="AA128" s="857" t="s">
        <v>947</v>
      </c>
      <c r="AB128" s="858">
        <v>9119</v>
      </c>
      <c r="AC128" s="862" t="s">
        <v>811</v>
      </c>
      <c r="AD128" s="856">
        <v>43503</v>
      </c>
      <c r="AE128" s="856">
        <v>43820</v>
      </c>
      <c r="AF128" s="863" t="s">
        <v>556</v>
      </c>
      <c r="AG128" s="864" t="s">
        <v>557</v>
      </c>
    </row>
    <row r="129" spans="1:33" ht="150" x14ac:dyDescent="0.35">
      <c r="A129" s="668">
        <f t="shared" si="4"/>
        <v>109</v>
      </c>
      <c r="B129" s="623"/>
      <c r="C129" s="623" t="s">
        <v>129</v>
      </c>
      <c r="D129" s="624">
        <v>80101706</v>
      </c>
      <c r="E129" s="625" t="s">
        <v>304</v>
      </c>
      <c r="F129" s="623" t="s">
        <v>70</v>
      </c>
      <c r="G129" s="623">
        <v>1</v>
      </c>
      <c r="H129" s="623" t="s">
        <v>96</v>
      </c>
      <c r="I129" s="623">
        <v>10.5</v>
      </c>
      <c r="J129" s="623" t="s">
        <v>244</v>
      </c>
      <c r="K129" s="623" t="s">
        <v>130</v>
      </c>
      <c r="L129" s="623" t="s">
        <v>131</v>
      </c>
      <c r="M129" s="622">
        <v>91875000</v>
      </c>
      <c r="N129" s="622">
        <v>91875000</v>
      </c>
      <c r="O129" s="623" t="s">
        <v>75</v>
      </c>
      <c r="P129" s="623" t="s">
        <v>76</v>
      </c>
      <c r="Q129" s="623" t="s">
        <v>132</v>
      </c>
      <c r="S129" s="855" t="s">
        <v>951</v>
      </c>
      <c r="T129" s="855" t="s">
        <v>952</v>
      </c>
      <c r="U129" s="856">
        <v>43501</v>
      </c>
      <c r="V129" s="857" t="s">
        <v>943</v>
      </c>
      <c r="W129" s="858" t="s">
        <v>553</v>
      </c>
      <c r="X129" s="859">
        <v>91875000</v>
      </c>
      <c r="Y129" s="860">
        <v>0</v>
      </c>
      <c r="Z129" s="859">
        <v>91875000</v>
      </c>
      <c r="AA129" s="857" t="s">
        <v>944</v>
      </c>
      <c r="AB129" s="858">
        <v>9219</v>
      </c>
      <c r="AC129" s="862" t="s">
        <v>811</v>
      </c>
      <c r="AD129" s="856">
        <v>43502</v>
      </c>
      <c r="AE129" s="856">
        <v>43819</v>
      </c>
      <c r="AF129" s="863" t="s">
        <v>556</v>
      </c>
      <c r="AG129" s="864" t="s">
        <v>557</v>
      </c>
    </row>
    <row r="130" spans="1:33" ht="150" x14ac:dyDescent="0.35">
      <c r="A130" s="668">
        <f t="shared" si="4"/>
        <v>110</v>
      </c>
      <c r="B130" s="623"/>
      <c r="C130" s="623" t="s">
        <v>129</v>
      </c>
      <c r="D130" s="624">
        <v>80101706</v>
      </c>
      <c r="E130" s="625" t="s">
        <v>304</v>
      </c>
      <c r="F130" s="623" t="s">
        <v>70</v>
      </c>
      <c r="G130" s="623">
        <v>1</v>
      </c>
      <c r="H130" s="623" t="s">
        <v>96</v>
      </c>
      <c r="I130" s="623">
        <v>10.5</v>
      </c>
      <c r="J130" s="623" t="s">
        <v>244</v>
      </c>
      <c r="K130" s="623" t="s">
        <v>130</v>
      </c>
      <c r="L130" s="623" t="s">
        <v>131</v>
      </c>
      <c r="M130" s="622">
        <v>91875000</v>
      </c>
      <c r="N130" s="622">
        <v>91875000</v>
      </c>
      <c r="O130" s="623" t="s">
        <v>75</v>
      </c>
      <c r="P130" s="623" t="s">
        <v>76</v>
      </c>
      <c r="Q130" s="623" t="s">
        <v>132</v>
      </c>
      <c r="S130" s="855" t="s">
        <v>953</v>
      </c>
      <c r="T130" s="855" t="s">
        <v>954</v>
      </c>
      <c r="U130" s="856">
        <v>43501</v>
      </c>
      <c r="V130" s="857" t="s">
        <v>955</v>
      </c>
      <c r="W130" s="858" t="s">
        <v>553</v>
      </c>
      <c r="X130" s="859">
        <v>91875000</v>
      </c>
      <c r="Y130" s="860">
        <v>0</v>
      </c>
      <c r="Z130" s="859">
        <v>91875000</v>
      </c>
      <c r="AA130" s="857" t="s">
        <v>956</v>
      </c>
      <c r="AB130" s="858">
        <v>9319</v>
      </c>
      <c r="AC130" s="862" t="s">
        <v>811</v>
      </c>
      <c r="AD130" s="856">
        <v>43502</v>
      </c>
      <c r="AE130" s="856">
        <v>43819</v>
      </c>
      <c r="AF130" s="863" t="s">
        <v>936</v>
      </c>
      <c r="AG130" s="864" t="s">
        <v>557</v>
      </c>
    </row>
    <row r="131" spans="1:33" ht="150" x14ac:dyDescent="0.35">
      <c r="A131" s="668">
        <f t="shared" si="4"/>
        <v>111</v>
      </c>
      <c r="B131" s="623"/>
      <c r="C131" s="623" t="s">
        <v>129</v>
      </c>
      <c r="D131" s="624">
        <v>80101706</v>
      </c>
      <c r="E131" s="625" t="s">
        <v>304</v>
      </c>
      <c r="F131" s="623" t="s">
        <v>70</v>
      </c>
      <c r="G131" s="623">
        <v>1</v>
      </c>
      <c r="H131" s="623" t="s">
        <v>96</v>
      </c>
      <c r="I131" s="623">
        <v>10.5</v>
      </c>
      <c r="J131" s="623" t="s">
        <v>244</v>
      </c>
      <c r="K131" s="623" t="s">
        <v>130</v>
      </c>
      <c r="L131" s="623" t="s">
        <v>131</v>
      </c>
      <c r="M131" s="622">
        <v>91875000</v>
      </c>
      <c r="N131" s="622">
        <v>91875000</v>
      </c>
      <c r="O131" s="623" t="s">
        <v>75</v>
      </c>
      <c r="P131" s="623" t="s">
        <v>76</v>
      </c>
      <c r="Q131" s="623" t="s">
        <v>132</v>
      </c>
      <c r="S131" s="855" t="s">
        <v>957</v>
      </c>
      <c r="T131" s="855" t="s">
        <v>958</v>
      </c>
      <c r="U131" s="856">
        <v>43501</v>
      </c>
      <c r="V131" s="857" t="s">
        <v>959</v>
      </c>
      <c r="W131" s="858" t="s">
        <v>553</v>
      </c>
      <c r="X131" s="859">
        <v>91875000</v>
      </c>
      <c r="Y131" s="860">
        <v>0</v>
      </c>
      <c r="Z131" s="859">
        <v>91875000</v>
      </c>
      <c r="AA131" s="857" t="s">
        <v>956</v>
      </c>
      <c r="AB131" s="858">
        <v>9419</v>
      </c>
      <c r="AC131" s="862" t="s">
        <v>811</v>
      </c>
      <c r="AD131" s="856">
        <v>43502</v>
      </c>
      <c r="AE131" s="856">
        <v>43819</v>
      </c>
      <c r="AF131" s="863" t="s">
        <v>556</v>
      </c>
      <c r="AG131" s="864" t="s">
        <v>557</v>
      </c>
    </row>
    <row r="132" spans="1:33" ht="150" x14ac:dyDescent="0.35">
      <c r="A132" s="668">
        <f t="shared" si="4"/>
        <v>112</v>
      </c>
      <c r="B132" s="623"/>
      <c r="C132" s="623" t="s">
        <v>129</v>
      </c>
      <c r="D132" s="624">
        <v>80101706</v>
      </c>
      <c r="E132" s="625" t="s">
        <v>304</v>
      </c>
      <c r="F132" s="623" t="s">
        <v>70</v>
      </c>
      <c r="G132" s="623">
        <v>1</v>
      </c>
      <c r="H132" s="623" t="s">
        <v>96</v>
      </c>
      <c r="I132" s="623">
        <v>10.5</v>
      </c>
      <c r="J132" s="623" t="s">
        <v>244</v>
      </c>
      <c r="K132" s="623" t="s">
        <v>130</v>
      </c>
      <c r="L132" s="623" t="s">
        <v>131</v>
      </c>
      <c r="M132" s="622">
        <v>91875000</v>
      </c>
      <c r="N132" s="622">
        <v>91875000</v>
      </c>
      <c r="O132" s="623" t="s">
        <v>75</v>
      </c>
      <c r="P132" s="623" t="s">
        <v>76</v>
      </c>
      <c r="Q132" s="623" t="s">
        <v>132</v>
      </c>
      <c r="S132" s="855" t="s">
        <v>960</v>
      </c>
      <c r="T132" s="855" t="s">
        <v>961</v>
      </c>
      <c r="U132" s="856">
        <v>43501</v>
      </c>
      <c r="V132" s="857" t="s">
        <v>962</v>
      </c>
      <c r="W132" s="858" t="s">
        <v>553</v>
      </c>
      <c r="X132" s="859">
        <v>91875000</v>
      </c>
      <c r="Y132" s="860">
        <v>0</v>
      </c>
      <c r="Z132" s="859">
        <v>91875000</v>
      </c>
      <c r="AA132" s="857" t="s">
        <v>956</v>
      </c>
      <c r="AB132" s="858">
        <v>9519</v>
      </c>
      <c r="AC132" s="862" t="s">
        <v>811</v>
      </c>
      <c r="AD132" s="856">
        <v>43502</v>
      </c>
      <c r="AE132" s="856">
        <v>43819</v>
      </c>
      <c r="AF132" s="863" t="s">
        <v>556</v>
      </c>
      <c r="AG132" s="864" t="s">
        <v>557</v>
      </c>
    </row>
    <row r="133" spans="1:33" ht="150" x14ac:dyDescent="0.35">
      <c r="A133" s="668">
        <f t="shared" si="4"/>
        <v>113</v>
      </c>
      <c r="B133" s="623"/>
      <c r="C133" s="623" t="s">
        <v>129</v>
      </c>
      <c r="D133" s="624">
        <v>80101706</v>
      </c>
      <c r="E133" s="625" t="s">
        <v>304</v>
      </c>
      <c r="F133" s="623" t="s">
        <v>70</v>
      </c>
      <c r="G133" s="623">
        <v>1</v>
      </c>
      <c r="H133" s="623" t="s">
        <v>96</v>
      </c>
      <c r="I133" s="623">
        <v>10.5</v>
      </c>
      <c r="J133" s="623" t="s">
        <v>244</v>
      </c>
      <c r="K133" s="623" t="s">
        <v>130</v>
      </c>
      <c r="L133" s="623" t="s">
        <v>131</v>
      </c>
      <c r="M133" s="622">
        <v>91875000</v>
      </c>
      <c r="N133" s="622">
        <v>91875000</v>
      </c>
      <c r="O133" s="623" t="s">
        <v>75</v>
      </c>
      <c r="P133" s="623" t="s">
        <v>76</v>
      </c>
      <c r="Q133" s="623" t="s">
        <v>132</v>
      </c>
      <c r="S133" s="855" t="s">
        <v>963</v>
      </c>
      <c r="T133" s="855" t="s">
        <v>964</v>
      </c>
      <c r="U133" s="856">
        <v>43501</v>
      </c>
      <c r="V133" s="857" t="s">
        <v>943</v>
      </c>
      <c r="W133" s="858" t="s">
        <v>553</v>
      </c>
      <c r="X133" s="859">
        <v>91875000</v>
      </c>
      <c r="Y133" s="860">
        <v>0</v>
      </c>
      <c r="Z133" s="859">
        <v>91875000</v>
      </c>
      <c r="AA133" s="857" t="s">
        <v>947</v>
      </c>
      <c r="AB133" s="858">
        <v>9619</v>
      </c>
      <c r="AC133" s="862" t="s">
        <v>811</v>
      </c>
      <c r="AD133" s="856">
        <v>43502</v>
      </c>
      <c r="AE133" s="856">
        <v>43819</v>
      </c>
      <c r="AF133" s="863" t="s">
        <v>556</v>
      </c>
      <c r="AG133" s="864" t="s">
        <v>557</v>
      </c>
    </row>
    <row r="134" spans="1:33" ht="150" x14ac:dyDescent="0.35">
      <c r="A134" s="668">
        <f t="shared" si="4"/>
        <v>114</v>
      </c>
      <c r="B134" s="623"/>
      <c r="C134" s="623" t="s">
        <v>129</v>
      </c>
      <c r="D134" s="624">
        <v>80101706</v>
      </c>
      <c r="E134" s="625" t="s">
        <v>304</v>
      </c>
      <c r="F134" s="623" t="s">
        <v>70</v>
      </c>
      <c r="G134" s="623">
        <v>1</v>
      </c>
      <c r="H134" s="623" t="s">
        <v>96</v>
      </c>
      <c r="I134" s="623">
        <v>10.5</v>
      </c>
      <c r="J134" s="623" t="s">
        <v>244</v>
      </c>
      <c r="K134" s="623" t="s">
        <v>130</v>
      </c>
      <c r="L134" s="623" t="s">
        <v>131</v>
      </c>
      <c r="M134" s="622">
        <v>91875000</v>
      </c>
      <c r="N134" s="622">
        <v>91875000</v>
      </c>
      <c r="O134" s="623" t="s">
        <v>75</v>
      </c>
      <c r="P134" s="623" t="s">
        <v>76</v>
      </c>
      <c r="Q134" s="623" t="s">
        <v>132</v>
      </c>
      <c r="S134" s="855" t="s">
        <v>1113</v>
      </c>
      <c r="T134" s="855" t="s">
        <v>1114</v>
      </c>
      <c r="U134" s="856">
        <v>43510</v>
      </c>
      <c r="V134" s="857" t="s">
        <v>1115</v>
      </c>
      <c r="W134" s="858" t="s">
        <v>553</v>
      </c>
      <c r="X134" s="859">
        <v>87500000</v>
      </c>
      <c r="Y134" s="860">
        <v>0</v>
      </c>
      <c r="Z134" s="859">
        <v>87500000</v>
      </c>
      <c r="AA134" s="857" t="s">
        <v>1116</v>
      </c>
      <c r="AB134" s="858">
        <v>9719</v>
      </c>
      <c r="AC134" s="862" t="s">
        <v>1009</v>
      </c>
      <c r="AD134" s="856">
        <v>43511</v>
      </c>
      <c r="AE134" s="856">
        <v>43813</v>
      </c>
      <c r="AF134" s="863" t="s">
        <v>556</v>
      </c>
      <c r="AG134" s="864" t="s">
        <v>557</v>
      </c>
    </row>
    <row r="135" spans="1:33" ht="150" x14ac:dyDescent="0.35">
      <c r="A135" s="668">
        <f t="shared" si="4"/>
        <v>115</v>
      </c>
      <c r="B135" s="623"/>
      <c r="C135" s="623" t="s">
        <v>129</v>
      </c>
      <c r="D135" s="624">
        <v>80101706</v>
      </c>
      <c r="E135" s="625" t="s">
        <v>304</v>
      </c>
      <c r="F135" s="623" t="s">
        <v>70</v>
      </c>
      <c r="G135" s="623">
        <v>1</v>
      </c>
      <c r="H135" s="623" t="s">
        <v>96</v>
      </c>
      <c r="I135" s="623">
        <v>10.5</v>
      </c>
      <c r="J135" s="623" t="s">
        <v>244</v>
      </c>
      <c r="K135" s="623" t="s">
        <v>130</v>
      </c>
      <c r="L135" s="623" t="s">
        <v>131</v>
      </c>
      <c r="M135" s="622">
        <v>91875000</v>
      </c>
      <c r="N135" s="622">
        <v>91875000</v>
      </c>
      <c r="O135" s="623" t="s">
        <v>75</v>
      </c>
      <c r="P135" s="623" t="s">
        <v>76</v>
      </c>
      <c r="Q135" s="623" t="s">
        <v>132</v>
      </c>
      <c r="S135" s="866" t="s">
        <v>1214</v>
      </c>
      <c r="T135" s="866" t="s">
        <v>1215</v>
      </c>
      <c r="U135" s="856">
        <v>43530</v>
      </c>
      <c r="V135" s="862" t="s">
        <v>1216</v>
      </c>
      <c r="W135" s="863" t="s">
        <v>553</v>
      </c>
      <c r="X135" s="867">
        <v>83125000</v>
      </c>
      <c r="Y135" s="868">
        <v>0</v>
      </c>
      <c r="Z135" s="867">
        <v>83125000</v>
      </c>
      <c r="AA135" s="862" t="s">
        <v>1217</v>
      </c>
      <c r="AB135" s="858">
        <v>9819</v>
      </c>
      <c r="AC135" s="862" t="s">
        <v>1138</v>
      </c>
      <c r="AD135" s="856">
        <v>43530</v>
      </c>
      <c r="AE135" s="856">
        <v>43819</v>
      </c>
      <c r="AF135" s="863" t="s">
        <v>556</v>
      </c>
      <c r="AG135" s="864" t="s">
        <v>557</v>
      </c>
    </row>
    <row r="136" spans="1:33" ht="150" x14ac:dyDescent="0.35">
      <c r="A136" s="668">
        <f t="shared" si="4"/>
        <v>116</v>
      </c>
      <c r="B136" s="623"/>
      <c r="C136" s="623" t="s">
        <v>129</v>
      </c>
      <c r="D136" s="624">
        <v>80101706</v>
      </c>
      <c r="E136" s="625" t="s">
        <v>304</v>
      </c>
      <c r="F136" s="623" t="s">
        <v>70</v>
      </c>
      <c r="G136" s="623">
        <v>1</v>
      </c>
      <c r="H136" s="623" t="s">
        <v>96</v>
      </c>
      <c r="I136" s="623">
        <v>10.5</v>
      </c>
      <c r="J136" s="623" t="s">
        <v>244</v>
      </c>
      <c r="K136" s="623" t="s">
        <v>130</v>
      </c>
      <c r="L136" s="623" t="s">
        <v>131</v>
      </c>
      <c r="M136" s="622">
        <v>91875000</v>
      </c>
      <c r="N136" s="622">
        <v>91875000</v>
      </c>
      <c r="O136" s="623" t="s">
        <v>75</v>
      </c>
      <c r="P136" s="623" t="s">
        <v>76</v>
      </c>
      <c r="Q136" s="623" t="s">
        <v>132</v>
      </c>
      <c r="S136" s="855" t="s">
        <v>1117</v>
      </c>
      <c r="T136" s="855" t="s">
        <v>1118</v>
      </c>
      <c r="U136" s="856">
        <v>43516</v>
      </c>
      <c r="V136" s="857" t="s">
        <v>1119</v>
      </c>
      <c r="W136" s="858" t="s">
        <v>553</v>
      </c>
      <c r="X136" s="859">
        <v>87500000</v>
      </c>
      <c r="Y136" s="860">
        <v>0</v>
      </c>
      <c r="Z136" s="859">
        <v>87500000</v>
      </c>
      <c r="AA136" s="857" t="s">
        <v>1120</v>
      </c>
      <c r="AB136" s="858">
        <v>9919</v>
      </c>
      <c r="AC136" s="862" t="s">
        <v>1009</v>
      </c>
      <c r="AD136" s="856">
        <v>43517</v>
      </c>
      <c r="AE136" s="856">
        <v>43819</v>
      </c>
      <c r="AF136" s="863" t="s">
        <v>556</v>
      </c>
      <c r="AG136" s="864" t="s">
        <v>557</v>
      </c>
    </row>
    <row r="137" spans="1:33" ht="150" x14ac:dyDescent="0.35">
      <c r="A137" s="668">
        <f t="shared" si="4"/>
        <v>117</v>
      </c>
      <c r="B137" s="623"/>
      <c r="C137" s="623" t="s">
        <v>129</v>
      </c>
      <c r="D137" s="624">
        <v>80101706</v>
      </c>
      <c r="E137" s="625" t="s">
        <v>304</v>
      </c>
      <c r="F137" s="623" t="s">
        <v>70</v>
      </c>
      <c r="G137" s="623">
        <v>1</v>
      </c>
      <c r="H137" s="623" t="s">
        <v>96</v>
      </c>
      <c r="I137" s="623">
        <v>10.5</v>
      </c>
      <c r="J137" s="623" t="s">
        <v>244</v>
      </c>
      <c r="K137" s="623" t="s">
        <v>130</v>
      </c>
      <c r="L137" s="623" t="s">
        <v>131</v>
      </c>
      <c r="M137" s="622">
        <v>91875000</v>
      </c>
      <c r="N137" s="622">
        <v>91875000</v>
      </c>
      <c r="O137" s="623" t="s">
        <v>75</v>
      </c>
      <c r="P137" s="623" t="s">
        <v>76</v>
      </c>
      <c r="Q137" s="623" t="s">
        <v>132</v>
      </c>
      <c r="S137" s="855" t="s">
        <v>1121</v>
      </c>
      <c r="T137" s="855" t="s">
        <v>1122</v>
      </c>
      <c r="U137" s="865">
        <v>43516</v>
      </c>
      <c r="V137" s="857" t="s">
        <v>1123</v>
      </c>
      <c r="W137" s="858" t="s">
        <v>553</v>
      </c>
      <c r="X137" s="859">
        <v>87500000</v>
      </c>
      <c r="Y137" s="860">
        <v>0</v>
      </c>
      <c r="Z137" s="859">
        <v>87500000</v>
      </c>
      <c r="AA137" s="857" t="s">
        <v>1120</v>
      </c>
      <c r="AB137" s="858">
        <v>10019</v>
      </c>
      <c r="AC137" s="862" t="s">
        <v>1009</v>
      </c>
      <c r="AD137" s="856">
        <v>43516</v>
      </c>
      <c r="AE137" s="856">
        <v>43818</v>
      </c>
      <c r="AF137" s="863" t="s">
        <v>556</v>
      </c>
      <c r="AG137" s="864" t="s">
        <v>557</v>
      </c>
    </row>
    <row r="138" spans="1:33" ht="150" x14ac:dyDescent="0.35">
      <c r="A138" s="668">
        <f t="shared" si="4"/>
        <v>118</v>
      </c>
      <c r="B138" s="623"/>
      <c r="C138" s="623" t="s">
        <v>129</v>
      </c>
      <c r="D138" s="624">
        <v>80101706</v>
      </c>
      <c r="E138" s="625" t="s">
        <v>304</v>
      </c>
      <c r="F138" s="623" t="s">
        <v>70</v>
      </c>
      <c r="G138" s="623">
        <v>1</v>
      </c>
      <c r="H138" s="623" t="s">
        <v>96</v>
      </c>
      <c r="I138" s="623">
        <v>10.5</v>
      </c>
      <c r="J138" s="623" t="s">
        <v>244</v>
      </c>
      <c r="K138" s="623" t="s">
        <v>130</v>
      </c>
      <c r="L138" s="623" t="s">
        <v>131</v>
      </c>
      <c r="M138" s="622">
        <v>91875000</v>
      </c>
      <c r="N138" s="622">
        <v>91875000</v>
      </c>
      <c r="O138" s="623" t="s">
        <v>75</v>
      </c>
      <c r="P138" s="623" t="s">
        <v>76</v>
      </c>
      <c r="Q138" s="623" t="s">
        <v>132</v>
      </c>
      <c r="S138" s="855" t="s">
        <v>1124</v>
      </c>
      <c r="T138" s="855" t="s">
        <v>1125</v>
      </c>
      <c r="U138" s="856">
        <v>43524</v>
      </c>
      <c r="V138" s="857" t="s">
        <v>1126</v>
      </c>
      <c r="W138" s="858" t="s">
        <v>553</v>
      </c>
      <c r="X138" s="859">
        <v>83125000</v>
      </c>
      <c r="Y138" s="860">
        <v>0</v>
      </c>
      <c r="Z138" s="859">
        <v>83125000</v>
      </c>
      <c r="AA138" s="857" t="s">
        <v>1127</v>
      </c>
      <c r="AB138" s="858">
        <v>10119</v>
      </c>
      <c r="AC138" s="862" t="s">
        <v>1128</v>
      </c>
      <c r="AD138" s="856">
        <v>43524</v>
      </c>
      <c r="AE138" s="856">
        <v>43811</v>
      </c>
      <c r="AF138" s="863" t="s">
        <v>556</v>
      </c>
      <c r="AG138" s="864" t="s">
        <v>557</v>
      </c>
    </row>
    <row r="139" spans="1:33" ht="150" x14ac:dyDescent="0.35">
      <c r="A139" s="668">
        <f t="shared" si="4"/>
        <v>119</v>
      </c>
      <c r="B139" s="623"/>
      <c r="C139" s="623" t="s">
        <v>129</v>
      </c>
      <c r="D139" s="624">
        <v>80101706</v>
      </c>
      <c r="E139" s="625" t="s">
        <v>304</v>
      </c>
      <c r="F139" s="623" t="s">
        <v>70</v>
      </c>
      <c r="G139" s="623">
        <v>1</v>
      </c>
      <c r="H139" s="623" t="s">
        <v>71</v>
      </c>
      <c r="I139" s="623">
        <v>10</v>
      </c>
      <c r="J139" s="623" t="s">
        <v>244</v>
      </c>
      <c r="K139" s="623" t="s">
        <v>130</v>
      </c>
      <c r="L139" s="623" t="s">
        <v>299</v>
      </c>
      <c r="M139" s="622">
        <v>60000000</v>
      </c>
      <c r="N139" s="622">
        <v>60000000</v>
      </c>
      <c r="O139" s="623" t="s">
        <v>75</v>
      </c>
      <c r="P139" s="623" t="s">
        <v>76</v>
      </c>
      <c r="Q139" s="623" t="s">
        <v>132</v>
      </c>
      <c r="S139" s="855" t="s">
        <v>1129</v>
      </c>
      <c r="T139" s="855" t="s">
        <v>1130</v>
      </c>
      <c r="U139" s="856">
        <v>43522</v>
      </c>
      <c r="V139" s="857" t="s">
        <v>1131</v>
      </c>
      <c r="W139" s="858" t="s">
        <v>553</v>
      </c>
      <c r="X139" s="859">
        <v>60000000</v>
      </c>
      <c r="Y139" s="860">
        <v>0</v>
      </c>
      <c r="Z139" s="859">
        <v>60000000</v>
      </c>
      <c r="AA139" s="857" t="s">
        <v>1132</v>
      </c>
      <c r="AB139" s="858">
        <v>15619</v>
      </c>
      <c r="AC139" s="862" t="s">
        <v>1009</v>
      </c>
      <c r="AD139" s="856">
        <v>43522</v>
      </c>
      <c r="AE139" s="856">
        <v>43824</v>
      </c>
      <c r="AF139" s="863" t="s">
        <v>1133</v>
      </c>
      <c r="AG139" s="864" t="s">
        <v>557</v>
      </c>
    </row>
    <row r="140" spans="1:33" ht="150" x14ac:dyDescent="0.35">
      <c r="A140" s="668">
        <f t="shared" si="4"/>
        <v>120</v>
      </c>
      <c r="B140" s="623"/>
      <c r="C140" s="623" t="s">
        <v>129</v>
      </c>
      <c r="D140" s="624">
        <v>80101706</v>
      </c>
      <c r="E140" s="625" t="s">
        <v>304</v>
      </c>
      <c r="F140" s="623" t="s">
        <v>70</v>
      </c>
      <c r="G140" s="623">
        <v>1</v>
      </c>
      <c r="H140" s="623" t="s">
        <v>71</v>
      </c>
      <c r="I140" s="623">
        <v>10</v>
      </c>
      <c r="J140" s="623" t="s">
        <v>244</v>
      </c>
      <c r="K140" s="623" t="s">
        <v>130</v>
      </c>
      <c r="L140" s="623" t="s">
        <v>299</v>
      </c>
      <c r="M140" s="622">
        <v>70000000</v>
      </c>
      <c r="N140" s="622">
        <v>70000000</v>
      </c>
      <c r="O140" s="623" t="s">
        <v>75</v>
      </c>
      <c r="P140" s="623" t="s">
        <v>76</v>
      </c>
      <c r="Q140" s="623" t="s">
        <v>132</v>
      </c>
      <c r="S140" s="855" t="s">
        <v>1134</v>
      </c>
      <c r="T140" s="855" t="s">
        <v>1135</v>
      </c>
      <c r="U140" s="856">
        <v>43525</v>
      </c>
      <c r="V140" s="857" t="s">
        <v>1136</v>
      </c>
      <c r="W140" s="858" t="s">
        <v>553</v>
      </c>
      <c r="X140" s="859">
        <v>66500000</v>
      </c>
      <c r="Y140" s="860">
        <v>0</v>
      </c>
      <c r="Z140" s="859">
        <v>66500000</v>
      </c>
      <c r="AA140" s="857" t="s">
        <v>1137</v>
      </c>
      <c r="AB140" s="858">
        <v>15719</v>
      </c>
      <c r="AC140" s="862" t="s">
        <v>1138</v>
      </c>
      <c r="AD140" s="856">
        <v>43528</v>
      </c>
      <c r="AE140" s="856">
        <v>43817</v>
      </c>
      <c r="AF140" s="863" t="s">
        <v>1133</v>
      </c>
      <c r="AG140" s="864" t="s">
        <v>557</v>
      </c>
    </row>
    <row r="141" spans="1:33" ht="120" x14ac:dyDescent="0.35">
      <c r="A141" s="668">
        <f t="shared" si="4"/>
        <v>121</v>
      </c>
      <c r="B141" s="623"/>
      <c r="C141" s="623" t="s">
        <v>129</v>
      </c>
      <c r="D141" s="624">
        <v>80101706</v>
      </c>
      <c r="E141" s="625" t="s">
        <v>304</v>
      </c>
      <c r="F141" s="623" t="s">
        <v>70</v>
      </c>
      <c r="G141" s="623">
        <v>1</v>
      </c>
      <c r="H141" s="623" t="s">
        <v>96</v>
      </c>
      <c r="I141" s="846">
        <v>10.5</v>
      </c>
      <c r="J141" s="623" t="s">
        <v>244</v>
      </c>
      <c r="K141" s="623" t="s">
        <v>130</v>
      </c>
      <c r="L141" s="623" t="s">
        <v>306</v>
      </c>
      <c r="M141" s="622">
        <v>96600000</v>
      </c>
      <c r="N141" s="622">
        <v>96600000</v>
      </c>
      <c r="O141" s="623" t="s">
        <v>75</v>
      </c>
      <c r="P141" s="623" t="s">
        <v>76</v>
      </c>
      <c r="Q141" s="623" t="s">
        <v>132</v>
      </c>
      <c r="S141" s="855" t="s">
        <v>965</v>
      </c>
      <c r="T141" s="855" t="s">
        <v>966</v>
      </c>
      <c r="U141" s="856">
        <v>43502</v>
      </c>
      <c r="V141" s="857" t="s">
        <v>967</v>
      </c>
      <c r="W141" s="858" t="s">
        <v>553</v>
      </c>
      <c r="X141" s="859">
        <v>96600000</v>
      </c>
      <c r="Y141" s="860">
        <v>0</v>
      </c>
      <c r="Z141" s="859">
        <v>96600000</v>
      </c>
      <c r="AA141" s="857" t="s">
        <v>968</v>
      </c>
      <c r="AB141" s="858">
        <v>14619</v>
      </c>
      <c r="AC141" s="862" t="s">
        <v>811</v>
      </c>
      <c r="AD141" s="856">
        <v>43502</v>
      </c>
      <c r="AE141" s="856">
        <v>43819</v>
      </c>
      <c r="AF141" s="863" t="s">
        <v>969</v>
      </c>
      <c r="AG141" s="864" t="s">
        <v>557</v>
      </c>
    </row>
    <row r="142" spans="1:33" ht="120" x14ac:dyDescent="0.35">
      <c r="A142" s="668">
        <f t="shared" si="4"/>
        <v>122</v>
      </c>
      <c r="B142" s="623"/>
      <c r="C142" s="623" t="s">
        <v>129</v>
      </c>
      <c r="D142" s="624">
        <v>80101706</v>
      </c>
      <c r="E142" s="625" t="s">
        <v>304</v>
      </c>
      <c r="F142" s="623" t="s">
        <v>70</v>
      </c>
      <c r="G142" s="623">
        <v>1</v>
      </c>
      <c r="H142" s="623" t="s">
        <v>96</v>
      </c>
      <c r="I142" s="623">
        <v>10.5</v>
      </c>
      <c r="J142" s="623" t="s">
        <v>244</v>
      </c>
      <c r="K142" s="623" t="s">
        <v>130</v>
      </c>
      <c r="L142" s="623" t="s">
        <v>306</v>
      </c>
      <c r="M142" s="622">
        <v>96600000</v>
      </c>
      <c r="N142" s="622">
        <v>96600000</v>
      </c>
      <c r="O142" s="623" t="s">
        <v>75</v>
      </c>
      <c r="P142" s="623" t="s">
        <v>76</v>
      </c>
      <c r="Q142" s="623" t="s">
        <v>132</v>
      </c>
      <c r="S142" s="855" t="s">
        <v>970</v>
      </c>
      <c r="T142" s="855" t="s">
        <v>971</v>
      </c>
      <c r="U142" s="856">
        <v>43504</v>
      </c>
      <c r="V142" s="857" t="s">
        <v>972</v>
      </c>
      <c r="W142" s="858" t="s">
        <v>553</v>
      </c>
      <c r="X142" s="859">
        <v>96600000</v>
      </c>
      <c r="Y142" s="860">
        <v>0</v>
      </c>
      <c r="Z142" s="859">
        <v>96600000</v>
      </c>
      <c r="AA142" s="857" t="s">
        <v>968</v>
      </c>
      <c r="AB142" s="858">
        <v>14519</v>
      </c>
      <c r="AC142" s="862" t="s">
        <v>811</v>
      </c>
      <c r="AD142" s="856">
        <v>43504</v>
      </c>
      <c r="AE142" s="856">
        <v>43821</v>
      </c>
      <c r="AF142" s="863" t="s">
        <v>578</v>
      </c>
      <c r="AG142" s="864" t="s">
        <v>557</v>
      </c>
    </row>
    <row r="143" spans="1:33" ht="150" x14ac:dyDescent="0.35">
      <c r="A143" s="668">
        <f t="shared" si="4"/>
        <v>123</v>
      </c>
      <c r="B143" s="623"/>
      <c r="C143" s="623" t="s">
        <v>129</v>
      </c>
      <c r="D143" s="624">
        <v>80101706</v>
      </c>
      <c r="E143" s="625" t="s">
        <v>304</v>
      </c>
      <c r="F143" s="623" t="s">
        <v>70</v>
      </c>
      <c r="G143" s="623">
        <v>1</v>
      </c>
      <c r="H143" s="623" t="s">
        <v>120</v>
      </c>
      <c r="I143" s="623">
        <v>5</v>
      </c>
      <c r="J143" s="623" t="s">
        <v>244</v>
      </c>
      <c r="K143" s="623" t="s">
        <v>130</v>
      </c>
      <c r="L143" s="623" t="s">
        <v>299</v>
      </c>
      <c r="M143" s="622">
        <v>63000000</v>
      </c>
      <c r="N143" s="622">
        <v>63000000</v>
      </c>
      <c r="O143" s="623" t="s">
        <v>75</v>
      </c>
      <c r="P143" s="623" t="s">
        <v>76</v>
      </c>
      <c r="Q143" s="623" t="s">
        <v>132</v>
      </c>
      <c r="S143" s="667"/>
      <c r="T143" s="667"/>
      <c r="U143" s="667"/>
      <c r="V143" s="667"/>
      <c r="W143" s="667"/>
      <c r="X143" s="667"/>
      <c r="Y143" s="667"/>
      <c r="Z143" s="667"/>
      <c r="AA143" s="667"/>
      <c r="AB143" s="667"/>
      <c r="AC143" s="667"/>
      <c r="AD143" s="667"/>
      <c r="AE143" s="667"/>
      <c r="AF143" s="667"/>
      <c r="AG143" s="667"/>
    </row>
    <row r="144" spans="1:33" ht="150" x14ac:dyDescent="0.35">
      <c r="A144" s="668">
        <f t="shared" si="4"/>
        <v>124</v>
      </c>
      <c r="B144" s="623"/>
      <c r="C144" s="623" t="s">
        <v>129</v>
      </c>
      <c r="D144" s="624">
        <v>80101706</v>
      </c>
      <c r="E144" s="625" t="s">
        <v>304</v>
      </c>
      <c r="F144" s="623" t="s">
        <v>70</v>
      </c>
      <c r="G144" s="623">
        <v>1</v>
      </c>
      <c r="H144" s="623" t="s">
        <v>96</v>
      </c>
      <c r="I144" s="623">
        <v>9</v>
      </c>
      <c r="J144" s="623" t="s">
        <v>244</v>
      </c>
      <c r="K144" s="623" t="s">
        <v>130</v>
      </c>
      <c r="L144" s="623" t="s">
        <v>299</v>
      </c>
      <c r="M144" s="622">
        <v>63800000</v>
      </c>
      <c r="N144" s="622">
        <v>63800000</v>
      </c>
      <c r="O144" s="623" t="s">
        <v>75</v>
      </c>
      <c r="P144" s="623" t="s">
        <v>76</v>
      </c>
      <c r="Q144" s="623" t="s">
        <v>132</v>
      </c>
      <c r="S144" s="855" t="s">
        <v>973</v>
      </c>
      <c r="T144" s="855" t="s">
        <v>974</v>
      </c>
      <c r="U144" s="856">
        <v>43495</v>
      </c>
      <c r="V144" s="857" t="s">
        <v>975</v>
      </c>
      <c r="W144" s="858" t="s">
        <v>553</v>
      </c>
      <c r="X144" s="859">
        <v>60900000</v>
      </c>
      <c r="Y144" s="860">
        <v>0</v>
      </c>
      <c r="Z144" s="859">
        <v>60900000</v>
      </c>
      <c r="AA144" s="857" t="s">
        <v>976</v>
      </c>
      <c r="AB144" s="863">
        <v>10319</v>
      </c>
      <c r="AC144" s="862" t="s">
        <v>749</v>
      </c>
      <c r="AD144" s="856">
        <v>43495</v>
      </c>
      <c r="AE144" s="856">
        <v>43812</v>
      </c>
      <c r="AF144" s="863" t="s">
        <v>977</v>
      </c>
      <c r="AG144" s="864" t="s">
        <v>557</v>
      </c>
    </row>
    <row r="145" spans="1:33" ht="120" x14ac:dyDescent="0.35">
      <c r="A145" s="668">
        <f t="shared" si="4"/>
        <v>125</v>
      </c>
      <c r="B145" s="623"/>
      <c r="C145" s="623" t="s">
        <v>129</v>
      </c>
      <c r="D145" s="624">
        <v>80101706</v>
      </c>
      <c r="E145" s="625" t="s">
        <v>304</v>
      </c>
      <c r="F145" s="623" t="s">
        <v>70</v>
      </c>
      <c r="G145" s="623">
        <v>1</v>
      </c>
      <c r="H145" s="623" t="s">
        <v>71</v>
      </c>
      <c r="I145" s="623">
        <v>10</v>
      </c>
      <c r="J145" s="623" t="s">
        <v>244</v>
      </c>
      <c r="K145" s="623" t="s">
        <v>130</v>
      </c>
      <c r="L145" s="623" t="s">
        <v>306</v>
      </c>
      <c r="M145" s="622">
        <v>91875000</v>
      </c>
      <c r="N145" s="622">
        <v>91875000</v>
      </c>
      <c r="O145" s="623" t="s">
        <v>75</v>
      </c>
      <c r="P145" s="623" t="s">
        <v>76</v>
      </c>
      <c r="Q145" s="623" t="s">
        <v>132</v>
      </c>
      <c r="S145" s="855" t="s">
        <v>978</v>
      </c>
      <c r="T145" s="855" t="s">
        <v>979</v>
      </c>
      <c r="U145" s="865">
        <v>43495</v>
      </c>
      <c r="V145" s="857" t="s">
        <v>980</v>
      </c>
      <c r="W145" s="858" t="s">
        <v>553</v>
      </c>
      <c r="X145" s="859">
        <v>91875000</v>
      </c>
      <c r="Y145" s="860">
        <v>0</v>
      </c>
      <c r="Z145" s="859">
        <v>91875000</v>
      </c>
      <c r="AA145" s="857" t="s">
        <v>981</v>
      </c>
      <c r="AB145" s="863">
        <v>14819</v>
      </c>
      <c r="AC145" s="862" t="s">
        <v>749</v>
      </c>
      <c r="AD145" s="856">
        <v>43495</v>
      </c>
      <c r="AE145" s="856">
        <v>43812</v>
      </c>
      <c r="AF145" s="863" t="s">
        <v>969</v>
      </c>
      <c r="AG145" s="864" t="s">
        <v>557</v>
      </c>
    </row>
    <row r="146" spans="1:33" ht="120" x14ac:dyDescent="0.35">
      <c r="A146" s="668">
        <f t="shared" si="4"/>
        <v>126</v>
      </c>
      <c r="B146" s="623"/>
      <c r="C146" s="623" t="s">
        <v>216</v>
      </c>
      <c r="D146" s="624">
        <v>80101706</v>
      </c>
      <c r="E146" s="625" t="s">
        <v>307</v>
      </c>
      <c r="F146" s="623" t="s">
        <v>70</v>
      </c>
      <c r="G146" s="623">
        <v>1</v>
      </c>
      <c r="H146" s="623" t="s">
        <v>96</v>
      </c>
      <c r="I146" s="623">
        <v>11</v>
      </c>
      <c r="J146" s="623" t="s">
        <v>244</v>
      </c>
      <c r="K146" s="623" t="s">
        <v>130</v>
      </c>
      <c r="L146" s="623" t="s">
        <v>279</v>
      </c>
      <c r="M146" s="622">
        <v>69300000</v>
      </c>
      <c r="N146" s="622">
        <v>69300000</v>
      </c>
      <c r="O146" s="623" t="s">
        <v>75</v>
      </c>
      <c r="P146" s="623" t="s">
        <v>76</v>
      </c>
      <c r="Q146" s="623" t="s">
        <v>218</v>
      </c>
      <c r="S146" s="855" t="s">
        <v>579</v>
      </c>
      <c r="T146" s="855" t="s">
        <v>580</v>
      </c>
      <c r="U146" s="856">
        <v>43488</v>
      </c>
      <c r="V146" s="857" t="s">
        <v>581</v>
      </c>
      <c r="W146" s="858" t="s">
        <v>553</v>
      </c>
      <c r="X146" s="859">
        <v>69300000</v>
      </c>
      <c r="Y146" s="860">
        <v>0</v>
      </c>
      <c r="Z146" s="859">
        <v>69300000</v>
      </c>
      <c r="AA146" s="862" t="s">
        <v>582</v>
      </c>
      <c r="AB146" s="863">
        <v>7319</v>
      </c>
      <c r="AC146" s="862" t="s">
        <v>577</v>
      </c>
      <c r="AD146" s="856">
        <v>43488</v>
      </c>
      <c r="AE146" s="856">
        <v>43821</v>
      </c>
      <c r="AF146" s="863" t="s">
        <v>583</v>
      </c>
      <c r="AG146" s="864" t="s">
        <v>584</v>
      </c>
    </row>
    <row r="147" spans="1:33" ht="120" x14ac:dyDescent="0.35">
      <c r="A147" s="668">
        <f t="shared" si="4"/>
        <v>127</v>
      </c>
      <c r="B147" s="623"/>
      <c r="C147" s="623" t="s">
        <v>216</v>
      </c>
      <c r="D147" s="624">
        <v>80101706</v>
      </c>
      <c r="E147" s="625" t="s">
        <v>307</v>
      </c>
      <c r="F147" s="623" t="s">
        <v>70</v>
      </c>
      <c r="G147" s="623">
        <v>1</v>
      </c>
      <c r="H147" s="623" t="s">
        <v>120</v>
      </c>
      <c r="I147" s="623">
        <v>8.5</v>
      </c>
      <c r="J147" s="623" t="s">
        <v>244</v>
      </c>
      <c r="K147" s="623" t="s">
        <v>130</v>
      </c>
      <c r="L147" s="623" t="s">
        <v>306</v>
      </c>
      <c r="M147" s="622">
        <v>67100000</v>
      </c>
      <c r="N147" s="622">
        <v>67100000</v>
      </c>
      <c r="O147" s="623" t="s">
        <v>75</v>
      </c>
      <c r="P147" s="623" t="s">
        <v>76</v>
      </c>
      <c r="Q147" s="623" t="s">
        <v>218</v>
      </c>
      <c r="S147" s="667"/>
      <c r="T147" s="667"/>
      <c r="U147" s="667"/>
      <c r="V147" s="667"/>
      <c r="W147" s="667"/>
      <c r="X147" s="667"/>
      <c r="Y147" s="667"/>
      <c r="Z147" s="667"/>
      <c r="AA147" s="667"/>
      <c r="AB147" s="667"/>
      <c r="AC147" s="667"/>
      <c r="AD147" s="667"/>
      <c r="AE147" s="667"/>
      <c r="AF147" s="667"/>
      <c r="AG147" s="667"/>
    </row>
    <row r="148" spans="1:33" ht="150" x14ac:dyDescent="0.35">
      <c r="A148" s="668">
        <f t="shared" si="4"/>
        <v>128</v>
      </c>
      <c r="B148" s="623"/>
      <c r="C148" s="623" t="s">
        <v>216</v>
      </c>
      <c r="D148" s="624">
        <v>80101706</v>
      </c>
      <c r="E148" s="625" t="s">
        <v>307</v>
      </c>
      <c r="F148" s="623" t="s">
        <v>70</v>
      </c>
      <c r="G148" s="623">
        <v>1</v>
      </c>
      <c r="H148" s="623" t="s">
        <v>96</v>
      </c>
      <c r="I148" s="623">
        <v>11</v>
      </c>
      <c r="J148" s="623" t="s">
        <v>244</v>
      </c>
      <c r="K148" s="623" t="s">
        <v>130</v>
      </c>
      <c r="L148" s="623" t="s">
        <v>306</v>
      </c>
      <c r="M148" s="622">
        <v>67100000</v>
      </c>
      <c r="N148" s="622">
        <v>67100000</v>
      </c>
      <c r="O148" s="623" t="s">
        <v>75</v>
      </c>
      <c r="P148" s="623" t="s">
        <v>76</v>
      </c>
      <c r="Q148" s="623" t="s">
        <v>218</v>
      </c>
      <c r="S148" s="855" t="s">
        <v>982</v>
      </c>
      <c r="T148" s="855" t="s">
        <v>983</v>
      </c>
      <c r="U148" s="865">
        <v>43497</v>
      </c>
      <c r="V148" s="857" t="s">
        <v>984</v>
      </c>
      <c r="W148" s="858" t="s">
        <v>553</v>
      </c>
      <c r="X148" s="859">
        <v>42700000</v>
      </c>
      <c r="Y148" s="860">
        <v>0</v>
      </c>
      <c r="Z148" s="859">
        <v>42700000</v>
      </c>
      <c r="AA148" s="857" t="s">
        <v>985</v>
      </c>
      <c r="AB148" s="858">
        <v>14319</v>
      </c>
      <c r="AC148" s="862" t="s">
        <v>986</v>
      </c>
      <c r="AD148" s="856">
        <v>43497</v>
      </c>
      <c r="AE148" s="856">
        <v>44074</v>
      </c>
      <c r="AF148" s="863" t="s">
        <v>987</v>
      </c>
      <c r="AG148" s="864" t="s">
        <v>584</v>
      </c>
    </row>
    <row r="149" spans="1:33" ht="120" x14ac:dyDescent="0.35">
      <c r="A149" s="668">
        <f t="shared" si="4"/>
        <v>129</v>
      </c>
      <c r="B149" s="623"/>
      <c r="C149" s="623" t="s">
        <v>216</v>
      </c>
      <c r="D149" s="624">
        <v>80101706</v>
      </c>
      <c r="E149" s="625" t="s">
        <v>307</v>
      </c>
      <c r="F149" s="623" t="s">
        <v>70</v>
      </c>
      <c r="G149" s="623">
        <v>1</v>
      </c>
      <c r="H149" s="623" t="s">
        <v>96</v>
      </c>
      <c r="I149" s="623">
        <v>11</v>
      </c>
      <c r="J149" s="623" t="s">
        <v>244</v>
      </c>
      <c r="K149" s="623" t="s">
        <v>130</v>
      </c>
      <c r="L149" s="623" t="s">
        <v>306</v>
      </c>
      <c r="M149" s="622">
        <v>72600000</v>
      </c>
      <c r="N149" s="622">
        <v>72600000</v>
      </c>
      <c r="O149" s="623" t="s">
        <v>75</v>
      </c>
      <c r="P149" s="623" t="s">
        <v>76</v>
      </c>
      <c r="Q149" s="623" t="s">
        <v>218</v>
      </c>
      <c r="S149" s="855" t="s">
        <v>988</v>
      </c>
      <c r="T149" s="855" t="s">
        <v>989</v>
      </c>
      <c r="U149" s="865">
        <v>43495</v>
      </c>
      <c r="V149" s="857" t="s">
        <v>990</v>
      </c>
      <c r="W149" s="858" t="s">
        <v>553</v>
      </c>
      <c r="X149" s="859">
        <v>66000000</v>
      </c>
      <c r="Y149" s="860">
        <v>0</v>
      </c>
      <c r="Z149" s="859">
        <v>66000000</v>
      </c>
      <c r="AA149" s="857" t="s">
        <v>991</v>
      </c>
      <c r="AB149" s="858">
        <v>12319</v>
      </c>
      <c r="AC149" s="862" t="s">
        <v>992</v>
      </c>
      <c r="AD149" s="856">
        <v>43495</v>
      </c>
      <c r="AE149" s="856">
        <v>43798</v>
      </c>
      <c r="AF149" s="863" t="s">
        <v>993</v>
      </c>
      <c r="AG149" s="864" t="s">
        <v>584</v>
      </c>
    </row>
    <row r="150" spans="1:33" ht="120" x14ac:dyDescent="0.35">
      <c r="A150" s="668">
        <f t="shared" si="4"/>
        <v>130</v>
      </c>
      <c r="B150" s="623"/>
      <c r="C150" s="623" t="s">
        <v>308</v>
      </c>
      <c r="D150" s="624">
        <v>80101706</v>
      </c>
      <c r="E150" s="625" t="s">
        <v>309</v>
      </c>
      <c r="F150" s="623" t="s">
        <v>70</v>
      </c>
      <c r="G150" s="623">
        <v>1</v>
      </c>
      <c r="H150" s="623" t="s">
        <v>96</v>
      </c>
      <c r="I150" s="623">
        <v>11</v>
      </c>
      <c r="J150" s="623" t="s">
        <v>244</v>
      </c>
      <c r="K150" s="623" t="s">
        <v>130</v>
      </c>
      <c r="L150" s="623" t="s">
        <v>279</v>
      </c>
      <c r="M150" s="622">
        <v>59400000</v>
      </c>
      <c r="N150" s="622">
        <v>59400000</v>
      </c>
      <c r="O150" s="623" t="s">
        <v>75</v>
      </c>
      <c r="P150" s="623" t="s">
        <v>76</v>
      </c>
      <c r="Q150" s="623" t="s">
        <v>310</v>
      </c>
      <c r="S150" s="855" t="s">
        <v>585</v>
      </c>
      <c r="T150" s="855" t="s">
        <v>586</v>
      </c>
      <c r="U150" s="865">
        <v>43483</v>
      </c>
      <c r="V150" s="857" t="s">
        <v>587</v>
      </c>
      <c r="W150" s="858" t="s">
        <v>553</v>
      </c>
      <c r="X150" s="859">
        <v>59400000</v>
      </c>
      <c r="Y150" s="859">
        <v>0</v>
      </c>
      <c r="Z150" s="859">
        <v>59400000</v>
      </c>
      <c r="AA150" s="862" t="s">
        <v>588</v>
      </c>
      <c r="AB150" s="863">
        <v>7519</v>
      </c>
      <c r="AC150" s="862" t="s">
        <v>589</v>
      </c>
      <c r="AD150" s="856">
        <v>43483</v>
      </c>
      <c r="AE150" s="856">
        <v>43816</v>
      </c>
      <c r="AF150" s="863" t="s">
        <v>590</v>
      </c>
      <c r="AG150" s="864" t="s">
        <v>591</v>
      </c>
    </row>
    <row r="151" spans="1:33" ht="120" x14ac:dyDescent="0.35">
      <c r="A151" s="668">
        <f t="shared" si="4"/>
        <v>131</v>
      </c>
      <c r="B151" s="623"/>
      <c r="C151" s="623" t="s">
        <v>308</v>
      </c>
      <c r="D151" s="624">
        <v>80101706</v>
      </c>
      <c r="E151" s="625" t="s">
        <v>309</v>
      </c>
      <c r="F151" s="623" t="s">
        <v>70</v>
      </c>
      <c r="G151" s="623">
        <v>1</v>
      </c>
      <c r="H151" s="623" t="s">
        <v>96</v>
      </c>
      <c r="I151" s="623">
        <v>11</v>
      </c>
      <c r="J151" s="623" t="s">
        <v>244</v>
      </c>
      <c r="K151" s="623" t="s">
        <v>130</v>
      </c>
      <c r="L151" s="623" t="s">
        <v>279</v>
      </c>
      <c r="M151" s="622">
        <v>67100000</v>
      </c>
      <c r="N151" s="622">
        <v>67100000</v>
      </c>
      <c r="O151" s="623" t="s">
        <v>75</v>
      </c>
      <c r="P151" s="623" t="s">
        <v>76</v>
      </c>
      <c r="Q151" s="623" t="s">
        <v>310</v>
      </c>
      <c r="S151" s="855" t="s">
        <v>592</v>
      </c>
      <c r="T151" s="855" t="s">
        <v>593</v>
      </c>
      <c r="U151" s="856">
        <v>43486</v>
      </c>
      <c r="V151" s="857" t="s">
        <v>594</v>
      </c>
      <c r="W151" s="858" t="s">
        <v>553</v>
      </c>
      <c r="X151" s="859">
        <v>67100000</v>
      </c>
      <c r="Y151" s="859">
        <v>0</v>
      </c>
      <c r="Z151" s="859">
        <v>67100000</v>
      </c>
      <c r="AA151" s="862" t="s">
        <v>595</v>
      </c>
      <c r="AB151" s="863">
        <v>6119</v>
      </c>
      <c r="AC151" s="862" t="s">
        <v>577</v>
      </c>
      <c r="AD151" s="856">
        <v>43486</v>
      </c>
      <c r="AE151" s="856">
        <v>43819</v>
      </c>
      <c r="AF151" s="863" t="s">
        <v>590</v>
      </c>
      <c r="AG151" s="864" t="s">
        <v>591</v>
      </c>
    </row>
    <row r="152" spans="1:33" ht="120" x14ac:dyDescent="0.35">
      <c r="A152" s="668">
        <f t="shared" si="4"/>
        <v>132</v>
      </c>
      <c r="B152" s="623"/>
      <c r="C152" s="623" t="s">
        <v>308</v>
      </c>
      <c r="D152" s="624">
        <v>80101706</v>
      </c>
      <c r="E152" s="625" t="s">
        <v>309</v>
      </c>
      <c r="F152" s="623" t="s">
        <v>70</v>
      </c>
      <c r="G152" s="623">
        <v>1</v>
      </c>
      <c r="H152" s="623" t="s">
        <v>96</v>
      </c>
      <c r="I152" s="623">
        <v>11</v>
      </c>
      <c r="J152" s="623" t="s">
        <v>244</v>
      </c>
      <c r="K152" s="623" t="s">
        <v>130</v>
      </c>
      <c r="L152" s="623" t="s">
        <v>279</v>
      </c>
      <c r="M152" s="622">
        <v>27500000</v>
      </c>
      <c r="N152" s="622">
        <v>27500000</v>
      </c>
      <c r="O152" s="623" t="s">
        <v>75</v>
      </c>
      <c r="P152" s="623" t="s">
        <v>76</v>
      </c>
      <c r="Q152" s="623" t="s">
        <v>310</v>
      </c>
      <c r="S152" s="855" t="s">
        <v>596</v>
      </c>
      <c r="T152" s="855" t="s">
        <v>597</v>
      </c>
      <c r="U152" s="856">
        <v>43487</v>
      </c>
      <c r="V152" s="857" t="s">
        <v>598</v>
      </c>
      <c r="W152" s="858" t="s">
        <v>553</v>
      </c>
      <c r="X152" s="859">
        <v>27500000</v>
      </c>
      <c r="Y152" s="860">
        <v>0</v>
      </c>
      <c r="Z152" s="859">
        <v>27500000</v>
      </c>
      <c r="AA152" s="862" t="s">
        <v>599</v>
      </c>
      <c r="AB152" s="863">
        <v>6219</v>
      </c>
      <c r="AC152" s="862" t="s">
        <v>577</v>
      </c>
      <c r="AD152" s="856">
        <v>43486</v>
      </c>
      <c r="AE152" s="856">
        <v>43819</v>
      </c>
      <c r="AF152" s="863" t="s">
        <v>590</v>
      </c>
      <c r="AG152" s="864" t="s">
        <v>591</v>
      </c>
    </row>
    <row r="153" spans="1:33" ht="120" x14ac:dyDescent="0.35">
      <c r="A153" s="668">
        <f t="shared" si="4"/>
        <v>133</v>
      </c>
      <c r="B153" s="623"/>
      <c r="C153" s="623" t="s">
        <v>308</v>
      </c>
      <c r="D153" s="624">
        <v>80101706</v>
      </c>
      <c r="E153" s="625" t="s">
        <v>309</v>
      </c>
      <c r="F153" s="623" t="s">
        <v>70</v>
      </c>
      <c r="G153" s="623">
        <v>1</v>
      </c>
      <c r="H153" s="623" t="s">
        <v>71</v>
      </c>
      <c r="I153" s="623">
        <v>6</v>
      </c>
      <c r="J153" s="623" t="s">
        <v>244</v>
      </c>
      <c r="K153" s="623" t="s">
        <v>130</v>
      </c>
      <c r="L153" s="623" t="s">
        <v>306</v>
      </c>
      <c r="M153" s="622">
        <v>49800000</v>
      </c>
      <c r="N153" s="622">
        <v>49800000</v>
      </c>
      <c r="O153" s="623" t="s">
        <v>75</v>
      </c>
      <c r="P153" s="623" t="s">
        <v>76</v>
      </c>
      <c r="Q153" s="623" t="s">
        <v>310</v>
      </c>
      <c r="S153" s="855" t="s">
        <v>994</v>
      </c>
      <c r="T153" s="855" t="s">
        <v>995</v>
      </c>
      <c r="U153" s="856">
        <v>43507</v>
      </c>
      <c r="V153" s="857" t="s">
        <v>996</v>
      </c>
      <c r="W153" s="858" t="s">
        <v>553</v>
      </c>
      <c r="X153" s="859">
        <v>49800000</v>
      </c>
      <c r="Y153" s="860">
        <v>0</v>
      </c>
      <c r="Z153" s="859">
        <v>49800000</v>
      </c>
      <c r="AA153" s="857" t="s">
        <v>997</v>
      </c>
      <c r="AB153" s="858">
        <v>16319</v>
      </c>
      <c r="AC153" s="862" t="s">
        <v>998</v>
      </c>
      <c r="AD153" s="856">
        <v>43507</v>
      </c>
      <c r="AE153" s="856">
        <v>43687</v>
      </c>
      <c r="AF153" s="863" t="s">
        <v>999</v>
      </c>
      <c r="AG153" s="864" t="s">
        <v>591</v>
      </c>
    </row>
    <row r="154" spans="1:33" ht="131.25" x14ac:dyDescent="0.35">
      <c r="A154" s="668">
        <f t="shared" si="4"/>
        <v>134</v>
      </c>
      <c r="B154" s="623"/>
      <c r="C154" s="623" t="s">
        <v>311</v>
      </c>
      <c r="D154" s="624">
        <v>80101706</v>
      </c>
      <c r="E154" s="625" t="s">
        <v>312</v>
      </c>
      <c r="F154" s="623" t="s">
        <v>70</v>
      </c>
      <c r="G154" s="623">
        <v>1</v>
      </c>
      <c r="H154" s="623" t="s">
        <v>96</v>
      </c>
      <c r="I154" s="623">
        <v>11.5</v>
      </c>
      <c r="J154" s="623" t="s">
        <v>244</v>
      </c>
      <c r="K154" s="623" t="s">
        <v>130</v>
      </c>
      <c r="L154" s="623" t="s">
        <v>279</v>
      </c>
      <c r="M154" s="622">
        <v>89159500</v>
      </c>
      <c r="N154" s="622">
        <v>89159500</v>
      </c>
      <c r="O154" s="623" t="s">
        <v>75</v>
      </c>
      <c r="P154" s="623" t="s">
        <v>76</v>
      </c>
      <c r="Q154" s="623" t="s">
        <v>313</v>
      </c>
      <c r="S154" s="855" t="s">
        <v>600</v>
      </c>
      <c r="T154" s="855" t="s">
        <v>601</v>
      </c>
      <c r="U154" s="856">
        <v>43479</v>
      </c>
      <c r="V154" s="857" t="s">
        <v>602</v>
      </c>
      <c r="W154" s="858" t="s">
        <v>553</v>
      </c>
      <c r="X154" s="859">
        <v>89159500</v>
      </c>
      <c r="Y154" s="859">
        <v>0</v>
      </c>
      <c r="Z154" s="859">
        <v>89159500</v>
      </c>
      <c r="AA154" s="862" t="s">
        <v>603</v>
      </c>
      <c r="AB154" s="863">
        <v>2619</v>
      </c>
      <c r="AC154" s="862" t="s">
        <v>555</v>
      </c>
      <c r="AD154" s="856">
        <v>43479</v>
      </c>
      <c r="AE154" s="856">
        <v>43827</v>
      </c>
      <c r="AF154" s="863" t="s">
        <v>604</v>
      </c>
      <c r="AG154" s="864" t="s">
        <v>605</v>
      </c>
    </row>
    <row r="155" spans="1:33" ht="120" x14ac:dyDescent="0.35">
      <c r="A155" s="668">
        <f t="shared" si="4"/>
        <v>135</v>
      </c>
      <c r="B155" s="623"/>
      <c r="C155" s="623" t="s">
        <v>311</v>
      </c>
      <c r="D155" s="624">
        <v>80101706</v>
      </c>
      <c r="E155" s="625" t="s">
        <v>312</v>
      </c>
      <c r="F155" s="623" t="s">
        <v>70</v>
      </c>
      <c r="G155" s="623">
        <v>1</v>
      </c>
      <c r="H155" s="623" t="s">
        <v>96</v>
      </c>
      <c r="I155" s="623">
        <v>11</v>
      </c>
      <c r="J155" s="623" t="s">
        <v>244</v>
      </c>
      <c r="K155" s="623" t="s">
        <v>130</v>
      </c>
      <c r="L155" s="623" t="s">
        <v>279</v>
      </c>
      <c r="M155" s="622">
        <v>59400000</v>
      </c>
      <c r="N155" s="622">
        <v>59400000</v>
      </c>
      <c r="O155" s="623" t="s">
        <v>75</v>
      </c>
      <c r="P155" s="623" t="s">
        <v>76</v>
      </c>
      <c r="Q155" s="623" t="s">
        <v>313</v>
      </c>
      <c r="S155" s="855" t="s">
        <v>606</v>
      </c>
      <c r="T155" s="855" t="s">
        <v>607</v>
      </c>
      <c r="U155" s="856">
        <v>43486</v>
      </c>
      <c r="V155" s="857" t="s">
        <v>608</v>
      </c>
      <c r="W155" s="858" t="s">
        <v>553</v>
      </c>
      <c r="X155" s="859">
        <v>59400000</v>
      </c>
      <c r="Y155" s="859">
        <v>0</v>
      </c>
      <c r="Z155" s="859">
        <v>59400000</v>
      </c>
      <c r="AA155" s="862" t="s">
        <v>609</v>
      </c>
      <c r="AB155" s="863">
        <v>7819</v>
      </c>
      <c r="AC155" s="862" t="s">
        <v>577</v>
      </c>
      <c r="AD155" s="856">
        <v>43486</v>
      </c>
      <c r="AE155" s="856">
        <v>43819</v>
      </c>
      <c r="AF155" s="863" t="s">
        <v>610</v>
      </c>
      <c r="AG155" s="864" t="s">
        <v>605</v>
      </c>
    </row>
    <row r="156" spans="1:33" ht="131.25" x14ac:dyDescent="0.35">
      <c r="A156" s="668">
        <f t="shared" si="4"/>
        <v>136</v>
      </c>
      <c r="B156" s="623"/>
      <c r="C156" s="623" t="s">
        <v>311</v>
      </c>
      <c r="D156" s="624">
        <v>80101706</v>
      </c>
      <c r="E156" s="625" t="s">
        <v>312</v>
      </c>
      <c r="F156" s="623" t="s">
        <v>70</v>
      </c>
      <c r="G156" s="623">
        <v>1</v>
      </c>
      <c r="H156" s="623" t="s">
        <v>71</v>
      </c>
      <c r="I156" s="623">
        <v>10</v>
      </c>
      <c r="J156" s="623" t="s">
        <v>244</v>
      </c>
      <c r="K156" s="623" t="s">
        <v>130</v>
      </c>
      <c r="L156" s="623" t="s">
        <v>306</v>
      </c>
      <c r="M156" s="622">
        <v>54000000</v>
      </c>
      <c r="N156" s="622">
        <v>54000000</v>
      </c>
      <c r="O156" s="623" t="s">
        <v>75</v>
      </c>
      <c r="P156" s="623" t="s">
        <v>76</v>
      </c>
      <c r="Q156" s="623" t="s">
        <v>313</v>
      </c>
      <c r="S156" s="855" t="s">
        <v>1000</v>
      </c>
      <c r="T156" s="855" t="s">
        <v>1001</v>
      </c>
      <c r="U156" s="856">
        <v>43508</v>
      </c>
      <c r="V156" s="857" t="s">
        <v>1002</v>
      </c>
      <c r="W156" s="858" t="s">
        <v>553</v>
      </c>
      <c r="X156" s="859">
        <v>54000000</v>
      </c>
      <c r="Y156" s="860">
        <v>0</v>
      </c>
      <c r="Z156" s="859">
        <v>54000000</v>
      </c>
      <c r="AA156" s="857" t="s">
        <v>1003</v>
      </c>
      <c r="AB156" s="858">
        <v>16419</v>
      </c>
      <c r="AC156" s="862" t="s">
        <v>1004</v>
      </c>
      <c r="AD156" s="856">
        <v>43508</v>
      </c>
      <c r="AE156" s="856">
        <v>43810</v>
      </c>
      <c r="AF156" s="863" t="s">
        <v>1005</v>
      </c>
      <c r="AG156" s="864" t="s">
        <v>605</v>
      </c>
    </row>
    <row r="157" spans="1:33" ht="131.25" x14ac:dyDescent="0.35">
      <c r="A157" s="668">
        <f t="shared" si="4"/>
        <v>137</v>
      </c>
      <c r="B157" s="623"/>
      <c r="C157" s="623" t="s">
        <v>311</v>
      </c>
      <c r="D157" s="624">
        <v>80101706</v>
      </c>
      <c r="E157" s="625" t="s">
        <v>312</v>
      </c>
      <c r="F157" s="623" t="s">
        <v>70</v>
      </c>
      <c r="G157" s="623">
        <v>1</v>
      </c>
      <c r="H157" s="623" t="s">
        <v>71</v>
      </c>
      <c r="I157" s="623">
        <v>10</v>
      </c>
      <c r="J157" s="623" t="s">
        <v>244</v>
      </c>
      <c r="K157" s="623" t="s">
        <v>130</v>
      </c>
      <c r="L157" s="623" t="s">
        <v>306</v>
      </c>
      <c r="M157" s="622">
        <v>54000000</v>
      </c>
      <c r="N157" s="622">
        <v>54000000</v>
      </c>
      <c r="O157" s="623" t="s">
        <v>75</v>
      </c>
      <c r="P157" s="623" t="s">
        <v>76</v>
      </c>
      <c r="Q157" s="623" t="s">
        <v>313</v>
      </c>
      <c r="S157" s="855" t="s">
        <v>1006</v>
      </c>
      <c r="T157" s="855" t="s">
        <v>1007</v>
      </c>
      <c r="U157" s="856">
        <v>43508</v>
      </c>
      <c r="V157" s="857" t="s">
        <v>1002</v>
      </c>
      <c r="W157" s="858" t="s">
        <v>553</v>
      </c>
      <c r="X157" s="859">
        <v>54000000</v>
      </c>
      <c r="Y157" s="860">
        <v>0</v>
      </c>
      <c r="Z157" s="859">
        <v>54000000</v>
      </c>
      <c r="AA157" s="857" t="s">
        <v>1008</v>
      </c>
      <c r="AB157" s="858">
        <v>16519</v>
      </c>
      <c r="AC157" s="862" t="s">
        <v>1009</v>
      </c>
      <c r="AD157" s="856">
        <v>43508</v>
      </c>
      <c r="AE157" s="856">
        <v>43810</v>
      </c>
      <c r="AF157" s="863" t="s">
        <v>1005</v>
      </c>
      <c r="AG157" s="864" t="s">
        <v>605</v>
      </c>
    </row>
    <row r="158" spans="1:33" ht="120" x14ac:dyDescent="0.35">
      <c r="A158" s="668">
        <f t="shared" si="4"/>
        <v>138</v>
      </c>
      <c r="B158" s="623"/>
      <c r="C158" s="623" t="s">
        <v>311</v>
      </c>
      <c r="D158" s="624">
        <v>80101706</v>
      </c>
      <c r="E158" s="625" t="s">
        <v>312</v>
      </c>
      <c r="F158" s="623" t="s">
        <v>70</v>
      </c>
      <c r="G158" s="623">
        <v>1</v>
      </c>
      <c r="H158" s="623" t="s">
        <v>71</v>
      </c>
      <c r="I158" s="623">
        <v>10</v>
      </c>
      <c r="J158" s="623" t="s">
        <v>244</v>
      </c>
      <c r="K158" s="623" t="s">
        <v>130</v>
      </c>
      <c r="L158" s="623" t="s">
        <v>306</v>
      </c>
      <c r="M158" s="622">
        <v>54000000</v>
      </c>
      <c r="N158" s="622">
        <v>54000000</v>
      </c>
      <c r="O158" s="623" t="s">
        <v>75</v>
      </c>
      <c r="P158" s="623" t="s">
        <v>76</v>
      </c>
      <c r="Q158" s="623" t="s">
        <v>313</v>
      </c>
      <c r="S158" s="855" t="s">
        <v>1010</v>
      </c>
      <c r="T158" s="855" t="s">
        <v>1011</v>
      </c>
      <c r="U158" s="856">
        <v>43510</v>
      </c>
      <c r="V158" s="857" t="s">
        <v>1012</v>
      </c>
      <c r="W158" s="858" t="s">
        <v>553</v>
      </c>
      <c r="X158" s="859">
        <v>54000000</v>
      </c>
      <c r="Y158" s="860">
        <v>0</v>
      </c>
      <c r="Z158" s="859">
        <v>54000000</v>
      </c>
      <c r="AA158" s="857" t="s">
        <v>1013</v>
      </c>
      <c r="AB158" s="858">
        <v>16619</v>
      </c>
      <c r="AC158" s="862" t="s">
        <v>1009</v>
      </c>
      <c r="AD158" s="856">
        <v>43510</v>
      </c>
      <c r="AE158" s="856">
        <v>43812</v>
      </c>
      <c r="AF158" s="863" t="s">
        <v>1139</v>
      </c>
      <c r="AG158" s="864" t="s">
        <v>605</v>
      </c>
    </row>
    <row r="159" spans="1:33" ht="120" x14ac:dyDescent="0.35">
      <c r="A159" s="668">
        <f t="shared" si="4"/>
        <v>139</v>
      </c>
      <c r="B159" s="623"/>
      <c r="C159" s="623" t="s">
        <v>311</v>
      </c>
      <c r="D159" s="624">
        <v>80101706</v>
      </c>
      <c r="E159" s="625" t="s">
        <v>312</v>
      </c>
      <c r="F159" s="623" t="s">
        <v>70</v>
      </c>
      <c r="G159" s="623">
        <v>1</v>
      </c>
      <c r="H159" s="623" t="s">
        <v>96</v>
      </c>
      <c r="I159" s="623">
        <v>11</v>
      </c>
      <c r="J159" s="623" t="s">
        <v>244</v>
      </c>
      <c r="K159" s="623" t="s">
        <v>130</v>
      </c>
      <c r="L159" s="623" t="s">
        <v>279</v>
      </c>
      <c r="M159" s="622">
        <v>63800000</v>
      </c>
      <c r="N159" s="622">
        <v>63800000</v>
      </c>
      <c r="O159" s="623" t="s">
        <v>75</v>
      </c>
      <c r="P159" s="623" t="s">
        <v>76</v>
      </c>
      <c r="Q159" s="623" t="s">
        <v>313</v>
      </c>
      <c r="S159" s="855" t="s">
        <v>611</v>
      </c>
      <c r="T159" s="855" t="s">
        <v>612</v>
      </c>
      <c r="U159" s="856">
        <v>43489</v>
      </c>
      <c r="V159" s="857" t="s">
        <v>613</v>
      </c>
      <c r="W159" s="858" t="s">
        <v>553</v>
      </c>
      <c r="X159" s="859">
        <v>63800000</v>
      </c>
      <c r="Y159" s="860">
        <v>0</v>
      </c>
      <c r="Z159" s="859">
        <v>63800000</v>
      </c>
      <c r="AA159" s="857" t="s">
        <v>614</v>
      </c>
      <c r="AB159" s="858">
        <v>8019</v>
      </c>
      <c r="AC159" s="857" t="s">
        <v>577</v>
      </c>
      <c r="AD159" s="865">
        <v>43489</v>
      </c>
      <c r="AE159" s="865">
        <v>43822</v>
      </c>
      <c r="AF159" s="858" t="s">
        <v>615</v>
      </c>
      <c r="AG159" s="869" t="s">
        <v>605</v>
      </c>
    </row>
    <row r="160" spans="1:33" ht="120" x14ac:dyDescent="0.35">
      <c r="A160" s="668">
        <f t="shared" si="4"/>
        <v>140</v>
      </c>
      <c r="B160" s="623"/>
      <c r="C160" s="623" t="s">
        <v>311</v>
      </c>
      <c r="D160" s="624">
        <v>80101706</v>
      </c>
      <c r="E160" s="625" t="s">
        <v>312</v>
      </c>
      <c r="F160" s="623" t="s">
        <v>70</v>
      </c>
      <c r="G160" s="623">
        <v>1</v>
      </c>
      <c r="H160" s="623" t="s">
        <v>71</v>
      </c>
      <c r="I160" s="623">
        <v>10</v>
      </c>
      <c r="J160" s="623" t="s">
        <v>244</v>
      </c>
      <c r="K160" s="623" t="s">
        <v>130</v>
      </c>
      <c r="L160" s="623" t="s">
        <v>306</v>
      </c>
      <c r="M160" s="622">
        <v>36730000</v>
      </c>
      <c r="N160" s="622">
        <v>36730000</v>
      </c>
      <c r="O160" s="623" t="s">
        <v>75</v>
      </c>
      <c r="P160" s="623" t="s">
        <v>76</v>
      </c>
      <c r="Q160" s="623" t="s">
        <v>313</v>
      </c>
      <c r="S160" s="855" t="s">
        <v>1014</v>
      </c>
      <c r="T160" s="855" t="s">
        <v>1015</v>
      </c>
      <c r="U160" s="856">
        <v>43510</v>
      </c>
      <c r="V160" s="857" t="s">
        <v>1016</v>
      </c>
      <c r="W160" s="858" t="s">
        <v>553</v>
      </c>
      <c r="X160" s="859">
        <v>36730000</v>
      </c>
      <c r="Y160" s="860">
        <v>0</v>
      </c>
      <c r="Z160" s="859">
        <v>36730000</v>
      </c>
      <c r="AA160" s="857" t="s">
        <v>1017</v>
      </c>
      <c r="AB160" s="858">
        <v>16719</v>
      </c>
      <c r="AC160" s="862" t="s">
        <v>1009</v>
      </c>
      <c r="AD160" s="856">
        <v>43510</v>
      </c>
      <c r="AE160" s="856">
        <v>43812</v>
      </c>
      <c r="AF160" s="863" t="s">
        <v>1140</v>
      </c>
      <c r="AG160" s="864" t="s">
        <v>605</v>
      </c>
    </row>
    <row r="161" spans="1:33" ht="120" x14ac:dyDescent="0.35">
      <c r="A161" s="668">
        <f t="shared" si="4"/>
        <v>141</v>
      </c>
      <c r="B161" s="623"/>
      <c r="C161" s="623" t="s">
        <v>311</v>
      </c>
      <c r="D161" s="624">
        <v>80101706</v>
      </c>
      <c r="E161" s="625" t="s">
        <v>314</v>
      </c>
      <c r="F161" s="623" t="s">
        <v>70</v>
      </c>
      <c r="G161" s="623">
        <v>1</v>
      </c>
      <c r="H161" s="623" t="s">
        <v>71</v>
      </c>
      <c r="I161" s="623">
        <v>10</v>
      </c>
      <c r="J161" s="623" t="s">
        <v>244</v>
      </c>
      <c r="K161" s="623" t="s">
        <v>130</v>
      </c>
      <c r="L161" s="623" t="s">
        <v>306</v>
      </c>
      <c r="M161" s="622">
        <v>19500000</v>
      </c>
      <c r="N161" s="622">
        <v>19500000</v>
      </c>
      <c r="O161" s="623" t="s">
        <v>75</v>
      </c>
      <c r="P161" s="623" t="s">
        <v>76</v>
      </c>
      <c r="Q161" s="623" t="s">
        <v>313</v>
      </c>
      <c r="S161" s="855" t="s">
        <v>1141</v>
      </c>
      <c r="T161" s="855" t="s">
        <v>1142</v>
      </c>
      <c r="U161" s="865">
        <v>43504</v>
      </c>
      <c r="V161" s="857" t="s">
        <v>1143</v>
      </c>
      <c r="W161" s="858" t="s">
        <v>575</v>
      </c>
      <c r="X161" s="859">
        <v>19500000</v>
      </c>
      <c r="Y161" s="860">
        <v>0</v>
      </c>
      <c r="Z161" s="859">
        <v>19500000</v>
      </c>
      <c r="AA161" s="857" t="s">
        <v>1144</v>
      </c>
      <c r="AB161" s="863">
        <v>16119</v>
      </c>
      <c r="AC161" s="862" t="s">
        <v>1145</v>
      </c>
      <c r="AD161" s="856">
        <v>43504</v>
      </c>
      <c r="AE161" s="856">
        <v>43806</v>
      </c>
      <c r="AF161" s="863" t="s">
        <v>1140</v>
      </c>
      <c r="AG161" s="864" t="s">
        <v>605</v>
      </c>
    </row>
    <row r="162" spans="1:33" ht="120" x14ac:dyDescent="0.35">
      <c r="A162" s="668">
        <f t="shared" si="4"/>
        <v>142</v>
      </c>
      <c r="B162" s="623"/>
      <c r="C162" s="623" t="s">
        <v>315</v>
      </c>
      <c r="D162" s="624">
        <v>80101706</v>
      </c>
      <c r="E162" s="625" t="s">
        <v>316</v>
      </c>
      <c r="F162" s="623" t="s">
        <v>70</v>
      </c>
      <c r="G162" s="623">
        <v>1</v>
      </c>
      <c r="H162" s="623" t="s">
        <v>96</v>
      </c>
      <c r="I162" s="623">
        <v>11</v>
      </c>
      <c r="J162" s="623" t="s">
        <v>244</v>
      </c>
      <c r="K162" s="623" t="s">
        <v>130</v>
      </c>
      <c r="L162" s="623" t="s">
        <v>279</v>
      </c>
      <c r="M162" s="622">
        <v>96250000</v>
      </c>
      <c r="N162" s="622">
        <v>96250000</v>
      </c>
      <c r="O162" s="623" t="s">
        <v>75</v>
      </c>
      <c r="P162" s="623" t="s">
        <v>76</v>
      </c>
      <c r="Q162" s="623" t="s">
        <v>317</v>
      </c>
      <c r="S162" s="855" t="s">
        <v>616</v>
      </c>
      <c r="T162" s="855" t="s">
        <v>617</v>
      </c>
      <c r="U162" s="865">
        <v>43483</v>
      </c>
      <c r="V162" s="857" t="s">
        <v>618</v>
      </c>
      <c r="W162" s="858" t="s">
        <v>553</v>
      </c>
      <c r="X162" s="859">
        <v>96250000</v>
      </c>
      <c r="Y162" s="860">
        <v>0</v>
      </c>
      <c r="Z162" s="859">
        <v>96250000</v>
      </c>
      <c r="AA162" s="857" t="s">
        <v>619</v>
      </c>
      <c r="AB162" s="858">
        <v>6419</v>
      </c>
      <c r="AC162" s="857" t="s">
        <v>566</v>
      </c>
      <c r="AD162" s="865">
        <v>43483</v>
      </c>
      <c r="AE162" s="865">
        <v>43816</v>
      </c>
      <c r="AF162" s="858" t="s">
        <v>620</v>
      </c>
      <c r="AG162" s="869" t="s">
        <v>621</v>
      </c>
    </row>
    <row r="163" spans="1:33" ht="120" x14ac:dyDescent="0.35">
      <c r="A163" s="668">
        <f t="shared" si="4"/>
        <v>143</v>
      </c>
      <c r="B163" s="623"/>
      <c r="C163" s="623" t="s">
        <v>315</v>
      </c>
      <c r="D163" s="624">
        <v>80101706</v>
      </c>
      <c r="E163" s="625" t="s">
        <v>527</v>
      </c>
      <c r="F163" s="623" t="s">
        <v>70</v>
      </c>
      <c r="G163" s="623">
        <v>1</v>
      </c>
      <c r="H163" s="623" t="s">
        <v>120</v>
      </c>
      <c r="I163" s="623">
        <v>8.5</v>
      </c>
      <c r="J163" s="623" t="s">
        <v>244</v>
      </c>
      <c r="K163" s="623" t="s">
        <v>130</v>
      </c>
      <c r="L163" s="623" t="s">
        <v>306</v>
      </c>
      <c r="M163" s="622">
        <v>55200000</v>
      </c>
      <c r="N163" s="622">
        <v>55200000</v>
      </c>
      <c r="O163" s="623" t="s">
        <v>75</v>
      </c>
      <c r="P163" s="623" t="s">
        <v>76</v>
      </c>
      <c r="Q163" s="623" t="s">
        <v>317</v>
      </c>
      <c r="S163" s="667"/>
      <c r="T163" s="667"/>
      <c r="U163" s="667"/>
      <c r="V163" s="667"/>
      <c r="W163" s="667"/>
      <c r="X163" s="667"/>
      <c r="Y163" s="667"/>
      <c r="Z163" s="667"/>
      <c r="AA163" s="667"/>
      <c r="AB163" s="667"/>
      <c r="AC163" s="667"/>
      <c r="AD163" s="667"/>
      <c r="AE163" s="667"/>
      <c r="AF163" s="667"/>
      <c r="AG163" s="667"/>
    </row>
    <row r="164" spans="1:33" ht="120" x14ac:dyDescent="0.35">
      <c r="A164" s="668">
        <f t="shared" si="4"/>
        <v>144</v>
      </c>
      <c r="B164" s="623"/>
      <c r="C164" s="623" t="s">
        <v>315</v>
      </c>
      <c r="D164" s="624">
        <v>80101706</v>
      </c>
      <c r="E164" s="625" t="s">
        <v>316</v>
      </c>
      <c r="F164" s="623" t="s">
        <v>70</v>
      </c>
      <c r="G164" s="623">
        <v>1</v>
      </c>
      <c r="H164" s="623" t="s">
        <v>96</v>
      </c>
      <c r="I164" s="623">
        <v>11</v>
      </c>
      <c r="J164" s="623" t="s">
        <v>244</v>
      </c>
      <c r="K164" s="623" t="s">
        <v>130</v>
      </c>
      <c r="L164" s="623" t="s">
        <v>306</v>
      </c>
      <c r="M164" s="622">
        <v>80850000</v>
      </c>
      <c r="N164" s="622">
        <v>80850000</v>
      </c>
      <c r="O164" s="623" t="s">
        <v>75</v>
      </c>
      <c r="P164" s="623" t="s">
        <v>76</v>
      </c>
      <c r="Q164" s="623" t="s">
        <v>317</v>
      </c>
      <c r="S164" s="855" t="s">
        <v>622</v>
      </c>
      <c r="T164" s="855" t="s">
        <v>623</v>
      </c>
      <c r="U164" s="856">
        <v>43490</v>
      </c>
      <c r="V164" s="857" t="s">
        <v>624</v>
      </c>
      <c r="W164" s="858" t="s">
        <v>553</v>
      </c>
      <c r="X164" s="859">
        <v>80850000</v>
      </c>
      <c r="Y164" s="860">
        <v>0</v>
      </c>
      <c r="Z164" s="859">
        <v>80850000</v>
      </c>
      <c r="AA164" s="862" t="s">
        <v>625</v>
      </c>
      <c r="AB164" s="863">
        <v>10419</v>
      </c>
      <c r="AC164" s="862" t="s">
        <v>577</v>
      </c>
      <c r="AD164" s="856">
        <v>43490</v>
      </c>
      <c r="AE164" s="856">
        <v>43823</v>
      </c>
      <c r="AF164" s="863" t="s">
        <v>626</v>
      </c>
      <c r="AG164" s="864" t="s">
        <v>621</v>
      </c>
    </row>
    <row r="165" spans="1:33" ht="120" x14ac:dyDescent="0.35">
      <c r="A165" s="668">
        <f t="shared" si="4"/>
        <v>145</v>
      </c>
      <c r="B165" s="623"/>
      <c r="C165" s="623" t="s">
        <v>315</v>
      </c>
      <c r="D165" s="624">
        <v>80101706</v>
      </c>
      <c r="E165" s="625" t="s">
        <v>316</v>
      </c>
      <c r="F165" s="623" t="s">
        <v>70</v>
      </c>
      <c r="G165" s="623">
        <v>1</v>
      </c>
      <c r="H165" s="623" t="s">
        <v>96</v>
      </c>
      <c r="I165" s="623">
        <v>11</v>
      </c>
      <c r="J165" s="623" t="s">
        <v>244</v>
      </c>
      <c r="K165" s="623" t="s">
        <v>130</v>
      </c>
      <c r="L165" s="623" t="s">
        <v>279</v>
      </c>
      <c r="M165" s="622">
        <v>80850000</v>
      </c>
      <c r="N165" s="622">
        <v>80850000</v>
      </c>
      <c r="O165" s="623" t="s">
        <v>75</v>
      </c>
      <c r="P165" s="623" t="s">
        <v>76</v>
      </c>
      <c r="Q165" s="623" t="s">
        <v>317</v>
      </c>
      <c r="S165" s="855" t="s">
        <v>627</v>
      </c>
      <c r="T165" s="855" t="s">
        <v>628</v>
      </c>
      <c r="U165" s="856">
        <v>43488</v>
      </c>
      <c r="V165" s="857" t="s">
        <v>629</v>
      </c>
      <c r="W165" s="858" t="s">
        <v>553</v>
      </c>
      <c r="X165" s="859">
        <v>80850000</v>
      </c>
      <c r="Y165" s="860">
        <v>0</v>
      </c>
      <c r="Z165" s="859">
        <v>80850000</v>
      </c>
      <c r="AA165" s="857" t="s">
        <v>630</v>
      </c>
      <c r="AB165" s="858">
        <v>7919</v>
      </c>
      <c r="AC165" s="857" t="s">
        <v>577</v>
      </c>
      <c r="AD165" s="865">
        <v>43488</v>
      </c>
      <c r="AE165" s="865">
        <v>43821</v>
      </c>
      <c r="AF165" s="858" t="s">
        <v>626</v>
      </c>
      <c r="AG165" s="869" t="s">
        <v>621</v>
      </c>
    </row>
    <row r="166" spans="1:33" ht="120" x14ac:dyDescent="0.35">
      <c r="A166" s="668">
        <f t="shared" si="4"/>
        <v>146</v>
      </c>
      <c r="B166" s="623"/>
      <c r="C166" s="623" t="s">
        <v>315</v>
      </c>
      <c r="D166" s="624">
        <v>80101706</v>
      </c>
      <c r="E166" s="625" t="s">
        <v>316</v>
      </c>
      <c r="F166" s="623" t="s">
        <v>70</v>
      </c>
      <c r="G166" s="623">
        <v>1</v>
      </c>
      <c r="H166" s="623" t="s">
        <v>96</v>
      </c>
      <c r="I166" s="623">
        <v>11</v>
      </c>
      <c r="J166" s="623" t="s">
        <v>244</v>
      </c>
      <c r="K166" s="623" t="s">
        <v>130</v>
      </c>
      <c r="L166" s="623" t="s">
        <v>279</v>
      </c>
      <c r="M166" s="622">
        <v>96250000</v>
      </c>
      <c r="N166" s="622">
        <v>96250000</v>
      </c>
      <c r="O166" s="623" t="s">
        <v>75</v>
      </c>
      <c r="P166" s="623" t="s">
        <v>76</v>
      </c>
      <c r="Q166" s="623" t="s">
        <v>317</v>
      </c>
      <c r="S166" s="855" t="s">
        <v>631</v>
      </c>
      <c r="T166" s="855" t="s">
        <v>632</v>
      </c>
      <c r="U166" s="865">
        <v>43488</v>
      </c>
      <c r="V166" s="857" t="s">
        <v>633</v>
      </c>
      <c r="W166" s="858" t="s">
        <v>553</v>
      </c>
      <c r="X166" s="859">
        <v>96250000</v>
      </c>
      <c r="Y166" s="860">
        <v>0</v>
      </c>
      <c r="Z166" s="859">
        <v>96250000</v>
      </c>
      <c r="AA166" s="857" t="s">
        <v>634</v>
      </c>
      <c r="AB166" s="858">
        <v>6919</v>
      </c>
      <c r="AC166" s="857" t="s">
        <v>577</v>
      </c>
      <c r="AD166" s="865">
        <v>43488</v>
      </c>
      <c r="AE166" s="865">
        <v>43821</v>
      </c>
      <c r="AF166" s="858" t="s">
        <v>620</v>
      </c>
      <c r="AG166" s="869" t="s">
        <v>621</v>
      </c>
    </row>
    <row r="167" spans="1:33" ht="131.25" x14ac:dyDescent="0.35">
      <c r="A167" s="668">
        <f t="shared" si="4"/>
        <v>147</v>
      </c>
      <c r="B167" s="623"/>
      <c r="C167" s="623" t="s">
        <v>315</v>
      </c>
      <c r="D167" s="624">
        <v>80101706</v>
      </c>
      <c r="E167" s="625" t="s">
        <v>316</v>
      </c>
      <c r="F167" s="623" t="s">
        <v>70</v>
      </c>
      <c r="G167" s="623">
        <v>1</v>
      </c>
      <c r="H167" s="623" t="s">
        <v>96</v>
      </c>
      <c r="I167" s="623">
        <v>11</v>
      </c>
      <c r="J167" s="623" t="s">
        <v>244</v>
      </c>
      <c r="K167" s="623" t="s">
        <v>130</v>
      </c>
      <c r="L167" s="623" t="s">
        <v>306</v>
      </c>
      <c r="M167" s="622">
        <v>44000000</v>
      </c>
      <c r="N167" s="622">
        <v>44000000</v>
      </c>
      <c r="O167" s="623" t="s">
        <v>75</v>
      </c>
      <c r="P167" s="623" t="s">
        <v>76</v>
      </c>
      <c r="Q167" s="623" t="s">
        <v>317</v>
      </c>
      <c r="S167" s="855" t="s">
        <v>1018</v>
      </c>
      <c r="T167" s="855" t="s">
        <v>1019</v>
      </c>
      <c r="U167" s="865">
        <v>43497</v>
      </c>
      <c r="V167" s="857" t="s">
        <v>1020</v>
      </c>
      <c r="W167" s="858" t="s">
        <v>553</v>
      </c>
      <c r="X167" s="859">
        <v>42000000</v>
      </c>
      <c r="Y167" s="860">
        <v>0</v>
      </c>
      <c r="Z167" s="859">
        <v>42000000</v>
      </c>
      <c r="AA167" s="857" t="s">
        <v>1021</v>
      </c>
      <c r="AB167" s="858">
        <v>14219</v>
      </c>
      <c r="AC167" s="862" t="s">
        <v>811</v>
      </c>
      <c r="AD167" s="856">
        <v>43497</v>
      </c>
      <c r="AE167" s="856">
        <v>43814</v>
      </c>
      <c r="AF167" s="863" t="s">
        <v>620</v>
      </c>
      <c r="AG167" s="864" t="s">
        <v>621</v>
      </c>
    </row>
    <row r="168" spans="1:33" ht="131.25" x14ac:dyDescent="0.35">
      <c r="A168" s="668">
        <f t="shared" si="4"/>
        <v>148</v>
      </c>
      <c r="B168" s="623"/>
      <c r="C168" s="623" t="s">
        <v>318</v>
      </c>
      <c r="D168" s="624">
        <v>80101706</v>
      </c>
      <c r="E168" s="625" t="s">
        <v>319</v>
      </c>
      <c r="F168" s="623" t="s">
        <v>70</v>
      </c>
      <c r="G168" s="623">
        <v>1</v>
      </c>
      <c r="H168" s="623" t="s">
        <v>96</v>
      </c>
      <c r="I168" s="623">
        <v>11</v>
      </c>
      <c r="J168" s="623" t="s">
        <v>244</v>
      </c>
      <c r="K168" s="623" t="s">
        <v>130</v>
      </c>
      <c r="L168" s="623" t="s">
        <v>279</v>
      </c>
      <c r="M168" s="622">
        <v>59400000</v>
      </c>
      <c r="N168" s="622">
        <v>59400000</v>
      </c>
      <c r="O168" s="623" t="s">
        <v>75</v>
      </c>
      <c r="P168" s="623" t="s">
        <v>76</v>
      </c>
      <c r="Q168" s="623" t="s">
        <v>320</v>
      </c>
      <c r="S168" s="855" t="s">
        <v>635</v>
      </c>
      <c r="T168" s="855" t="s">
        <v>636</v>
      </c>
      <c r="U168" s="856">
        <v>43483</v>
      </c>
      <c r="V168" s="857" t="s">
        <v>637</v>
      </c>
      <c r="W168" s="858" t="s">
        <v>553</v>
      </c>
      <c r="X168" s="859">
        <v>59400000</v>
      </c>
      <c r="Y168" s="859">
        <v>0</v>
      </c>
      <c r="Z168" s="859">
        <v>59400000</v>
      </c>
      <c r="AA168" s="862" t="s">
        <v>638</v>
      </c>
      <c r="AB168" s="863">
        <v>6519</v>
      </c>
      <c r="AC168" s="862" t="s">
        <v>577</v>
      </c>
      <c r="AD168" s="856">
        <v>43483</v>
      </c>
      <c r="AE168" s="856">
        <v>43816</v>
      </c>
      <c r="AF168" s="863" t="s">
        <v>639</v>
      </c>
      <c r="AG168" s="864" t="s">
        <v>640</v>
      </c>
    </row>
    <row r="169" spans="1:33" ht="120" x14ac:dyDescent="0.35">
      <c r="A169" s="668">
        <f t="shared" si="4"/>
        <v>149</v>
      </c>
      <c r="B169" s="623"/>
      <c r="C169" s="623" t="s">
        <v>318</v>
      </c>
      <c r="D169" s="624">
        <v>80101706</v>
      </c>
      <c r="E169" s="625" t="s">
        <v>319</v>
      </c>
      <c r="F169" s="623" t="s">
        <v>70</v>
      </c>
      <c r="G169" s="623">
        <v>1</v>
      </c>
      <c r="H169" s="623" t="s">
        <v>96</v>
      </c>
      <c r="I169" s="623">
        <v>11</v>
      </c>
      <c r="J169" s="623" t="s">
        <v>244</v>
      </c>
      <c r="K169" s="623" t="s">
        <v>130</v>
      </c>
      <c r="L169" s="623" t="s">
        <v>306</v>
      </c>
      <c r="M169" s="622">
        <v>27500000</v>
      </c>
      <c r="N169" s="622">
        <v>27500000</v>
      </c>
      <c r="O169" s="623" t="s">
        <v>75</v>
      </c>
      <c r="P169" s="623" t="s">
        <v>76</v>
      </c>
      <c r="Q169" s="623" t="s">
        <v>320</v>
      </c>
      <c r="S169" s="855" t="s">
        <v>641</v>
      </c>
      <c r="T169" s="855" t="s">
        <v>642</v>
      </c>
      <c r="U169" s="856">
        <v>43489</v>
      </c>
      <c r="V169" s="857" t="s">
        <v>643</v>
      </c>
      <c r="W169" s="858" t="s">
        <v>553</v>
      </c>
      <c r="X169" s="859">
        <v>27500000</v>
      </c>
      <c r="Y169" s="860">
        <v>0</v>
      </c>
      <c r="Z169" s="859">
        <v>27500000</v>
      </c>
      <c r="AA169" s="857" t="s">
        <v>644</v>
      </c>
      <c r="AB169" s="858">
        <v>10519</v>
      </c>
      <c r="AC169" s="857" t="s">
        <v>577</v>
      </c>
      <c r="AD169" s="865">
        <v>43489</v>
      </c>
      <c r="AE169" s="865">
        <v>43822</v>
      </c>
      <c r="AF169" s="858" t="s">
        <v>639</v>
      </c>
      <c r="AG169" s="869" t="s">
        <v>640</v>
      </c>
    </row>
    <row r="170" spans="1:33" ht="120" x14ac:dyDescent="0.35">
      <c r="A170" s="668">
        <f t="shared" si="4"/>
        <v>150</v>
      </c>
      <c r="B170" s="623"/>
      <c r="C170" s="623" t="s">
        <v>318</v>
      </c>
      <c r="D170" s="624">
        <v>80101706</v>
      </c>
      <c r="E170" s="625" t="s">
        <v>319</v>
      </c>
      <c r="F170" s="623" t="s">
        <v>70</v>
      </c>
      <c r="G170" s="623">
        <v>1</v>
      </c>
      <c r="H170" s="623" t="s">
        <v>96</v>
      </c>
      <c r="I170" s="623">
        <v>11.5</v>
      </c>
      <c r="J170" s="623" t="s">
        <v>244</v>
      </c>
      <c r="K170" s="623" t="s">
        <v>130</v>
      </c>
      <c r="L170" s="623" t="s">
        <v>279</v>
      </c>
      <c r="M170" s="622">
        <v>28750000</v>
      </c>
      <c r="N170" s="622">
        <v>28750000</v>
      </c>
      <c r="O170" s="623" t="s">
        <v>75</v>
      </c>
      <c r="P170" s="623" t="s">
        <v>76</v>
      </c>
      <c r="Q170" s="623" t="s">
        <v>320</v>
      </c>
      <c r="S170" s="855" t="s">
        <v>645</v>
      </c>
      <c r="T170" s="855" t="s">
        <v>646</v>
      </c>
      <c r="U170" s="865">
        <v>43476</v>
      </c>
      <c r="V170" s="857" t="s">
        <v>647</v>
      </c>
      <c r="W170" s="858" t="s">
        <v>553</v>
      </c>
      <c r="X170" s="859">
        <v>28750000</v>
      </c>
      <c r="Y170" s="859">
        <v>0</v>
      </c>
      <c r="Z170" s="859">
        <v>28750000</v>
      </c>
      <c r="AA170" s="862" t="s">
        <v>648</v>
      </c>
      <c r="AB170" s="863">
        <v>3519</v>
      </c>
      <c r="AC170" s="862" t="s">
        <v>555</v>
      </c>
      <c r="AD170" s="856">
        <v>43476</v>
      </c>
      <c r="AE170" s="856">
        <v>43824</v>
      </c>
      <c r="AF170" s="863" t="s">
        <v>649</v>
      </c>
      <c r="AG170" s="864" t="s">
        <v>640</v>
      </c>
    </row>
    <row r="171" spans="1:33" ht="120" x14ac:dyDescent="0.35">
      <c r="A171" s="668">
        <f t="shared" si="4"/>
        <v>151</v>
      </c>
      <c r="B171" s="623"/>
      <c r="C171" s="623" t="s">
        <v>318</v>
      </c>
      <c r="D171" s="624">
        <v>80101706</v>
      </c>
      <c r="E171" s="625" t="s">
        <v>321</v>
      </c>
      <c r="F171" s="623" t="s">
        <v>70</v>
      </c>
      <c r="G171" s="623">
        <v>1</v>
      </c>
      <c r="H171" s="623" t="s">
        <v>96</v>
      </c>
      <c r="I171" s="623">
        <v>11.5</v>
      </c>
      <c r="J171" s="623" t="s">
        <v>244</v>
      </c>
      <c r="K171" s="623" t="s">
        <v>130</v>
      </c>
      <c r="L171" s="623" t="s">
        <v>279</v>
      </c>
      <c r="M171" s="622">
        <v>23000000</v>
      </c>
      <c r="N171" s="622">
        <v>23000000</v>
      </c>
      <c r="O171" s="623" t="s">
        <v>75</v>
      </c>
      <c r="P171" s="623" t="s">
        <v>76</v>
      </c>
      <c r="Q171" s="623" t="s">
        <v>320</v>
      </c>
      <c r="S171" s="855" t="s">
        <v>650</v>
      </c>
      <c r="T171" s="855" t="s">
        <v>651</v>
      </c>
      <c r="U171" s="856">
        <v>43489</v>
      </c>
      <c r="V171" s="857" t="s">
        <v>652</v>
      </c>
      <c r="W171" s="858" t="s">
        <v>575</v>
      </c>
      <c r="X171" s="867">
        <v>22000000</v>
      </c>
      <c r="Y171" s="868">
        <v>0</v>
      </c>
      <c r="Z171" s="867">
        <v>22000000</v>
      </c>
      <c r="AA171" s="862" t="s">
        <v>1022</v>
      </c>
      <c r="AB171" s="863">
        <v>3419</v>
      </c>
      <c r="AC171" s="862" t="s">
        <v>653</v>
      </c>
      <c r="AD171" s="856">
        <v>43489</v>
      </c>
      <c r="AE171" s="856">
        <v>43822</v>
      </c>
      <c r="AF171" s="863" t="s">
        <v>1146</v>
      </c>
      <c r="AG171" s="864" t="s">
        <v>640</v>
      </c>
    </row>
    <row r="172" spans="1:33" ht="120" x14ac:dyDescent="0.35">
      <c r="A172" s="668">
        <f t="shared" si="4"/>
        <v>152</v>
      </c>
      <c r="B172" s="623"/>
      <c r="C172" s="623" t="s">
        <v>154</v>
      </c>
      <c r="D172" s="624">
        <v>80101706</v>
      </c>
      <c r="E172" s="625" t="s">
        <v>322</v>
      </c>
      <c r="F172" s="623" t="s">
        <v>70</v>
      </c>
      <c r="G172" s="623">
        <v>1</v>
      </c>
      <c r="H172" s="623" t="s">
        <v>96</v>
      </c>
      <c r="I172" s="623">
        <v>11</v>
      </c>
      <c r="J172" s="623" t="s">
        <v>244</v>
      </c>
      <c r="K172" s="623" t="s">
        <v>130</v>
      </c>
      <c r="L172" s="623" t="s">
        <v>306</v>
      </c>
      <c r="M172" s="622">
        <v>101200000</v>
      </c>
      <c r="N172" s="622">
        <v>101200000</v>
      </c>
      <c r="O172" s="623" t="s">
        <v>75</v>
      </c>
      <c r="P172" s="623" t="s">
        <v>76</v>
      </c>
      <c r="Q172" s="623" t="s">
        <v>156</v>
      </c>
      <c r="S172" s="855" t="s">
        <v>654</v>
      </c>
      <c r="T172" s="855" t="s">
        <v>655</v>
      </c>
      <c r="U172" s="865">
        <v>43490</v>
      </c>
      <c r="V172" s="857" t="s">
        <v>656</v>
      </c>
      <c r="W172" s="858" t="s">
        <v>553</v>
      </c>
      <c r="X172" s="859">
        <v>101200000</v>
      </c>
      <c r="Y172" s="860">
        <v>0</v>
      </c>
      <c r="Z172" s="859">
        <v>101200000</v>
      </c>
      <c r="AA172" s="862" t="s">
        <v>657</v>
      </c>
      <c r="AB172" s="863">
        <v>11019</v>
      </c>
      <c r="AC172" s="862" t="s">
        <v>577</v>
      </c>
      <c r="AD172" s="856">
        <v>43490</v>
      </c>
      <c r="AE172" s="856">
        <v>43823</v>
      </c>
      <c r="AF172" s="863" t="s">
        <v>658</v>
      </c>
      <c r="AG172" s="864" t="s">
        <v>659</v>
      </c>
    </row>
    <row r="173" spans="1:33" ht="131.25" x14ac:dyDescent="0.35">
      <c r="A173" s="668">
        <f t="shared" si="4"/>
        <v>153</v>
      </c>
      <c r="B173" s="623"/>
      <c r="C173" s="623" t="s">
        <v>154</v>
      </c>
      <c r="D173" s="624">
        <v>80101706</v>
      </c>
      <c r="E173" s="625" t="s">
        <v>322</v>
      </c>
      <c r="F173" s="623" t="s">
        <v>70</v>
      </c>
      <c r="G173" s="623">
        <v>1</v>
      </c>
      <c r="H173" s="623" t="s">
        <v>96</v>
      </c>
      <c r="I173" s="623">
        <v>10.5</v>
      </c>
      <c r="J173" s="623" t="s">
        <v>244</v>
      </c>
      <c r="K173" s="623" t="s">
        <v>130</v>
      </c>
      <c r="L173" s="623" t="s">
        <v>306</v>
      </c>
      <c r="M173" s="622">
        <v>47250000</v>
      </c>
      <c r="N173" s="622">
        <v>47250000</v>
      </c>
      <c r="O173" s="623" t="s">
        <v>75</v>
      </c>
      <c r="P173" s="623" t="s">
        <v>76</v>
      </c>
      <c r="Q173" s="623" t="s">
        <v>156</v>
      </c>
      <c r="S173" s="855" t="s">
        <v>1023</v>
      </c>
      <c r="T173" s="855" t="s">
        <v>1024</v>
      </c>
      <c r="U173" s="856">
        <v>43504</v>
      </c>
      <c r="V173" s="857" t="s">
        <v>1025</v>
      </c>
      <c r="W173" s="858" t="s">
        <v>553</v>
      </c>
      <c r="X173" s="859">
        <v>47250000</v>
      </c>
      <c r="Y173" s="860">
        <v>0</v>
      </c>
      <c r="Z173" s="859">
        <v>47250000</v>
      </c>
      <c r="AA173" s="857" t="s">
        <v>1026</v>
      </c>
      <c r="AB173" s="858">
        <v>15119</v>
      </c>
      <c r="AC173" s="862" t="s">
        <v>1027</v>
      </c>
      <c r="AD173" s="856">
        <v>43504</v>
      </c>
      <c r="AE173" s="856">
        <v>43821</v>
      </c>
      <c r="AF173" s="863" t="s">
        <v>1028</v>
      </c>
      <c r="AG173" s="864" t="s">
        <v>659</v>
      </c>
    </row>
    <row r="174" spans="1:33" ht="120" x14ac:dyDescent="0.35">
      <c r="A174" s="668">
        <f t="shared" si="4"/>
        <v>154</v>
      </c>
      <c r="B174" s="623"/>
      <c r="C174" s="623" t="s">
        <v>154</v>
      </c>
      <c r="D174" s="624">
        <v>80101706</v>
      </c>
      <c r="E174" s="625" t="s">
        <v>322</v>
      </c>
      <c r="F174" s="623" t="s">
        <v>70</v>
      </c>
      <c r="G174" s="623">
        <v>1</v>
      </c>
      <c r="H174" s="623" t="s">
        <v>96</v>
      </c>
      <c r="I174" s="623">
        <v>11</v>
      </c>
      <c r="J174" s="623" t="s">
        <v>244</v>
      </c>
      <c r="K174" s="623" t="s">
        <v>130</v>
      </c>
      <c r="L174" s="623" t="s">
        <v>279</v>
      </c>
      <c r="M174" s="622">
        <v>27500000</v>
      </c>
      <c r="N174" s="622">
        <v>27500000</v>
      </c>
      <c r="O174" s="623" t="s">
        <v>75</v>
      </c>
      <c r="P174" s="623" t="s">
        <v>76</v>
      </c>
      <c r="Q174" s="623" t="s">
        <v>156</v>
      </c>
      <c r="S174" s="855" t="s">
        <v>660</v>
      </c>
      <c r="T174" s="855" t="s">
        <v>661</v>
      </c>
      <c r="U174" s="856">
        <v>43490</v>
      </c>
      <c r="V174" s="857" t="s">
        <v>662</v>
      </c>
      <c r="W174" s="858" t="s">
        <v>553</v>
      </c>
      <c r="X174" s="859">
        <v>27500000</v>
      </c>
      <c r="Y174" s="860">
        <v>0</v>
      </c>
      <c r="Z174" s="859">
        <v>27500000</v>
      </c>
      <c r="AA174" s="857" t="s">
        <v>663</v>
      </c>
      <c r="AB174" s="858">
        <v>1019</v>
      </c>
      <c r="AC174" s="857" t="s">
        <v>577</v>
      </c>
      <c r="AD174" s="865">
        <v>43490</v>
      </c>
      <c r="AE174" s="865">
        <v>43823</v>
      </c>
      <c r="AF174" s="858" t="s">
        <v>664</v>
      </c>
      <c r="AG174" s="869" t="s">
        <v>659</v>
      </c>
    </row>
    <row r="175" spans="1:33" ht="120" x14ac:dyDescent="0.35">
      <c r="A175" s="668">
        <f t="shared" si="4"/>
        <v>155</v>
      </c>
      <c r="B175" s="623"/>
      <c r="C175" s="623" t="s">
        <v>154</v>
      </c>
      <c r="D175" s="624">
        <v>80101706</v>
      </c>
      <c r="E175" s="625" t="s">
        <v>322</v>
      </c>
      <c r="F175" s="623" t="s">
        <v>70</v>
      </c>
      <c r="G175" s="623">
        <v>1</v>
      </c>
      <c r="H175" s="623" t="s">
        <v>96</v>
      </c>
      <c r="I175" s="623">
        <v>11</v>
      </c>
      <c r="J175" s="623" t="s">
        <v>244</v>
      </c>
      <c r="K175" s="623" t="s">
        <v>130</v>
      </c>
      <c r="L175" s="623" t="s">
        <v>279</v>
      </c>
      <c r="M175" s="622">
        <v>27500000</v>
      </c>
      <c r="N175" s="622">
        <v>27500000</v>
      </c>
      <c r="O175" s="623" t="s">
        <v>75</v>
      </c>
      <c r="P175" s="623" t="s">
        <v>76</v>
      </c>
      <c r="Q175" s="623" t="s">
        <v>156</v>
      </c>
      <c r="S175" s="855" t="s">
        <v>665</v>
      </c>
      <c r="T175" s="855" t="s">
        <v>666</v>
      </c>
      <c r="U175" s="856">
        <v>43482</v>
      </c>
      <c r="V175" s="857" t="s">
        <v>667</v>
      </c>
      <c r="W175" s="858" t="s">
        <v>553</v>
      </c>
      <c r="X175" s="859">
        <v>27500000</v>
      </c>
      <c r="Y175" s="860">
        <v>0</v>
      </c>
      <c r="Z175" s="859">
        <v>27500000</v>
      </c>
      <c r="AA175" s="862" t="s">
        <v>668</v>
      </c>
      <c r="AB175" s="863">
        <v>7119</v>
      </c>
      <c r="AC175" s="862" t="s">
        <v>577</v>
      </c>
      <c r="AD175" s="856">
        <v>43482</v>
      </c>
      <c r="AE175" s="856">
        <v>43815</v>
      </c>
      <c r="AF175" s="863" t="s">
        <v>664</v>
      </c>
      <c r="AG175" s="864" t="s">
        <v>659</v>
      </c>
    </row>
    <row r="176" spans="1:33" ht="120" x14ac:dyDescent="0.35">
      <c r="A176" s="668">
        <f t="shared" si="4"/>
        <v>156</v>
      </c>
      <c r="B176" s="623"/>
      <c r="C176" s="623" t="s">
        <v>154</v>
      </c>
      <c r="D176" s="624">
        <v>80101706</v>
      </c>
      <c r="E176" s="625" t="s">
        <v>322</v>
      </c>
      <c r="F176" s="623" t="s">
        <v>70</v>
      </c>
      <c r="G176" s="623">
        <v>1</v>
      </c>
      <c r="H176" s="623" t="s">
        <v>96</v>
      </c>
      <c r="I176" s="623">
        <v>11</v>
      </c>
      <c r="J176" s="623" t="s">
        <v>244</v>
      </c>
      <c r="K176" s="623" t="s">
        <v>130</v>
      </c>
      <c r="L176" s="623" t="s">
        <v>306</v>
      </c>
      <c r="M176" s="622">
        <v>53900000</v>
      </c>
      <c r="N176" s="622">
        <v>53900000</v>
      </c>
      <c r="O176" s="623" t="s">
        <v>75</v>
      </c>
      <c r="P176" s="623" t="s">
        <v>76</v>
      </c>
      <c r="Q176" s="623" t="s">
        <v>156</v>
      </c>
      <c r="S176" s="855" t="s">
        <v>1147</v>
      </c>
      <c r="T176" s="855" t="s">
        <v>1148</v>
      </c>
      <c r="U176" s="865">
        <v>43518</v>
      </c>
      <c r="V176" s="857" t="s">
        <v>1149</v>
      </c>
      <c r="W176" s="858" t="s">
        <v>553</v>
      </c>
      <c r="X176" s="859">
        <v>49000000</v>
      </c>
      <c r="Y176" s="860">
        <v>0</v>
      </c>
      <c r="Z176" s="859">
        <v>49000000</v>
      </c>
      <c r="AA176" s="857" t="s">
        <v>1150</v>
      </c>
      <c r="AB176" s="858">
        <v>14119</v>
      </c>
      <c r="AC176" s="862" t="s">
        <v>1009</v>
      </c>
      <c r="AD176" s="856">
        <v>43518</v>
      </c>
      <c r="AE176" s="856">
        <v>43820</v>
      </c>
      <c r="AF176" s="863" t="s">
        <v>664</v>
      </c>
      <c r="AG176" s="864" t="s">
        <v>659</v>
      </c>
    </row>
    <row r="177" spans="1:33" ht="120" x14ac:dyDescent="0.35">
      <c r="A177" s="668">
        <f t="shared" si="4"/>
        <v>157</v>
      </c>
      <c r="B177" s="623"/>
      <c r="C177" s="623" t="s">
        <v>154</v>
      </c>
      <c r="D177" s="624">
        <v>80101706</v>
      </c>
      <c r="E177" s="625" t="s">
        <v>322</v>
      </c>
      <c r="F177" s="623" t="s">
        <v>70</v>
      </c>
      <c r="G177" s="623">
        <v>1</v>
      </c>
      <c r="H177" s="623" t="s">
        <v>96</v>
      </c>
      <c r="I177" s="623">
        <v>11</v>
      </c>
      <c r="J177" s="623" t="s">
        <v>244</v>
      </c>
      <c r="K177" s="623" t="s">
        <v>130</v>
      </c>
      <c r="L177" s="623" t="s">
        <v>306</v>
      </c>
      <c r="M177" s="622">
        <v>49500000</v>
      </c>
      <c r="N177" s="622">
        <v>49500000</v>
      </c>
      <c r="O177" s="623" t="s">
        <v>75</v>
      </c>
      <c r="P177" s="623" t="s">
        <v>76</v>
      </c>
      <c r="Q177" s="623" t="s">
        <v>156</v>
      </c>
      <c r="S177" s="855" t="s">
        <v>1029</v>
      </c>
      <c r="T177" s="855" t="s">
        <v>1030</v>
      </c>
      <c r="U177" s="865">
        <v>43500</v>
      </c>
      <c r="V177" s="857" t="s">
        <v>1031</v>
      </c>
      <c r="W177" s="858" t="s">
        <v>553</v>
      </c>
      <c r="X177" s="859">
        <v>47250000</v>
      </c>
      <c r="Y177" s="860">
        <v>0</v>
      </c>
      <c r="Z177" s="859">
        <v>47250000</v>
      </c>
      <c r="AA177" s="857" t="s">
        <v>1032</v>
      </c>
      <c r="AB177" s="858">
        <v>14019</v>
      </c>
      <c r="AC177" s="862" t="s">
        <v>811</v>
      </c>
      <c r="AD177" s="856">
        <v>43500</v>
      </c>
      <c r="AE177" s="856">
        <v>43817</v>
      </c>
      <c r="AF177" s="863" t="s">
        <v>1033</v>
      </c>
      <c r="AG177" s="864" t="s">
        <v>659</v>
      </c>
    </row>
    <row r="178" spans="1:33" ht="120" x14ac:dyDescent="0.35">
      <c r="A178" s="668">
        <f t="shared" si="4"/>
        <v>158</v>
      </c>
      <c r="B178" s="623"/>
      <c r="C178" s="623" t="s">
        <v>154</v>
      </c>
      <c r="D178" s="624">
        <v>80101706</v>
      </c>
      <c r="E178" s="625" t="s">
        <v>323</v>
      </c>
      <c r="F178" s="623" t="s">
        <v>70</v>
      </c>
      <c r="G178" s="623">
        <v>1</v>
      </c>
      <c r="H178" s="623" t="s">
        <v>96</v>
      </c>
      <c r="I178" s="623">
        <v>11</v>
      </c>
      <c r="J178" s="623" t="s">
        <v>244</v>
      </c>
      <c r="K178" s="623" t="s">
        <v>130</v>
      </c>
      <c r="L178" s="623" t="s">
        <v>279</v>
      </c>
      <c r="M178" s="622">
        <v>20350000</v>
      </c>
      <c r="N178" s="622">
        <v>20350000</v>
      </c>
      <c r="O178" s="623" t="s">
        <v>75</v>
      </c>
      <c r="P178" s="623" t="s">
        <v>76</v>
      </c>
      <c r="Q178" s="623" t="s">
        <v>156</v>
      </c>
      <c r="S178" s="855" t="s">
        <v>669</v>
      </c>
      <c r="T178" s="855" t="s">
        <v>670</v>
      </c>
      <c r="U178" s="856">
        <v>43490</v>
      </c>
      <c r="V178" s="857" t="s">
        <v>671</v>
      </c>
      <c r="W178" s="858" t="s">
        <v>575</v>
      </c>
      <c r="X178" s="859">
        <v>20350000</v>
      </c>
      <c r="Y178" s="860">
        <v>0</v>
      </c>
      <c r="Z178" s="859">
        <v>20350000</v>
      </c>
      <c r="AA178" s="857" t="s">
        <v>672</v>
      </c>
      <c r="AB178" s="858">
        <v>12219</v>
      </c>
      <c r="AC178" s="857" t="s">
        <v>577</v>
      </c>
      <c r="AD178" s="865">
        <v>43490</v>
      </c>
      <c r="AE178" s="865">
        <v>43823</v>
      </c>
      <c r="AF178" s="858" t="s">
        <v>664</v>
      </c>
      <c r="AG178" s="869" t="s">
        <v>659</v>
      </c>
    </row>
    <row r="179" spans="1:33" ht="120" x14ac:dyDescent="0.35">
      <c r="A179" s="668">
        <f t="shared" si="4"/>
        <v>159</v>
      </c>
      <c r="B179" s="623"/>
      <c r="C179" s="623" t="s">
        <v>154</v>
      </c>
      <c r="D179" s="624">
        <v>80101706</v>
      </c>
      <c r="E179" s="625" t="s">
        <v>322</v>
      </c>
      <c r="F179" s="623" t="s">
        <v>70</v>
      </c>
      <c r="G179" s="623">
        <v>1</v>
      </c>
      <c r="H179" s="623" t="s">
        <v>96</v>
      </c>
      <c r="I179" s="623">
        <v>11</v>
      </c>
      <c r="J179" s="623" t="s">
        <v>244</v>
      </c>
      <c r="K179" s="623" t="s">
        <v>130</v>
      </c>
      <c r="L179" s="623" t="s">
        <v>306</v>
      </c>
      <c r="M179" s="622">
        <v>49500000</v>
      </c>
      <c r="N179" s="622">
        <v>49500000</v>
      </c>
      <c r="O179" s="623" t="s">
        <v>75</v>
      </c>
      <c r="P179" s="623" t="s">
        <v>76</v>
      </c>
      <c r="Q179" s="623" t="s">
        <v>156</v>
      </c>
      <c r="S179" s="855" t="s">
        <v>673</v>
      </c>
      <c r="T179" s="855" t="s">
        <v>674</v>
      </c>
      <c r="U179" s="856">
        <v>43489</v>
      </c>
      <c r="V179" s="857" t="s">
        <v>675</v>
      </c>
      <c r="W179" s="858" t="s">
        <v>553</v>
      </c>
      <c r="X179" s="859">
        <v>49500000</v>
      </c>
      <c r="Y179" s="860">
        <v>0</v>
      </c>
      <c r="Z179" s="859">
        <v>49500000</v>
      </c>
      <c r="AA179" s="857" t="s">
        <v>676</v>
      </c>
      <c r="AB179" s="858">
        <v>11919</v>
      </c>
      <c r="AC179" s="857" t="s">
        <v>577</v>
      </c>
      <c r="AD179" s="865">
        <v>43489</v>
      </c>
      <c r="AE179" s="865">
        <v>43822</v>
      </c>
      <c r="AF179" s="858" t="s">
        <v>664</v>
      </c>
      <c r="AG179" s="869" t="s">
        <v>659</v>
      </c>
    </row>
    <row r="180" spans="1:33" ht="150" x14ac:dyDescent="0.35">
      <c r="A180" s="668">
        <f t="shared" si="4"/>
        <v>160</v>
      </c>
      <c r="B180" s="623"/>
      <c r="C180" s="623" t="s">
        <v>154</v>
      </c>
      <c r="D180" s="624">
        <v>80101706</v>
      </c>
      <c r="E180" s="625" t="s">
        <v>322</v>
      </c>
      <c r="F180" s="623" t="s">
        <v>70</v>
      </c>
      <c r="G180" s="623">
        <v>1</v>
      </c>
      <c r="H180" s="623" t="s">
        <v>96</v>
      </c>
      <c r="I180" s="623">
        <v>11</v>
      </c>
      <c r="J180" s="623" t="s">
        <v>244</v>
      </c>
      <c r="K180" s="623" t="s">
        <v>130</v>
      </c>
      <c r="L180" s="623" t="s">
        <v>306</v>
      </c>
      <c r="M180" s="622">
        <v>49500000</v>
      </c>
      <c r="N180" s="622">
        <v>49500000</v>
      </c>
      <c r="O180" s="623" t="s">
        <v>75</v>
      </c>
      <c r="P180" s="623" t="s">
        <v>76</v>
      </c>
      <c r="Q180" s="623" t="s">
        <v>156</v>
      </c>
      <c r="S180" s="855" t="s">
        <v>677</v>
      </c>
      <c r="T180" s="855" t="s">
        <v>678</v>
      </c>
      <c r="U180" s="856">
        <v>43489</v>
      </c>
      <c r="V180" s="857" t="s">
        <v>679</v>
      </c>
      <c r="W180" s="858" t="s">
        <v>553</v>
      </c>
      <c r="X180" s="859">
        <v>49500000</v>
      </c>
      <c r="Y180" s="860">
        <v>0</v>
      </c>
      <c r="Z180" s="859">
        <v>49500000</v>
      </c>
      <c r="AA180" s="862" t="s">
        <v>680</v>
      </c>
      <c r="AB180" s="863">
        <v>10919</v>
      </c>
      <c r="AC180" s="862" t="s">
        <v>577</v>
      </c>
      <c r="AD180" s="856">
        <v>43489</v>
      </c>
      <c r="AE180" s="856">
        <v>43822</v>
      </c>
      <c r="AF180" s="863" t="s">
        <v>681</v>
      </c>
      <c r="AG180" s="864" t="s">
        <v>659</v>
      </c>
    </row>
    <row r="181" spans="1:33" ht="206.25" x14ac:dyDescent="0.35">
      <c r="A181" s="668">
        <f t="shared" si="4"/>
        <v>161</v>
      </c>
      <c r="B181" s="623"/>
      <c r="C181" s="623" t="s">
        <v>154</v>
      </c>
      <c r="D181" s="624">
        <v>80101706</v>
      </c>
      <c r="E181" s="625" t="s">
        <v>322</v>
      </c>
      <c r="F181" s="623" t="s">
        <v>70</v>
      </c>
      <c r="G181" s="623">
        <v>1</v>
      </c>
      <c r="H181" s="623" t="s">
        <v>84</v>
      </c>
      <c r="I181" s="623">
        <v>11</v>
      </c>
      <c r="J181" s="623" t="s">
        <v>244</v>
      </c>
      <c r="K181" s="623" t="s">
        <v>130</v>
      </c>
      <c r="L181" s="623" t="s">
        <v>306</v>
      </c>
      <c r="M181" s="622">
        <v>67100000</v>
      </c>
      <c r="N181" s="622">
        <v>67100000</v>
      </c>
      <c r="O181" s="623" t="s">
        <v>75</v>
      </c>
      <c r="P181" s="623" t="s">
        <v>76</v>
      </c>
      <c r="Q181" s="623" t="s">
        <v>156</v>
      </c>
      <c r="S181" s="855" t="s">
        <v>1227</v>
      </c>
      <c r="T181" s="855" t="s">
        <v>1228</v>
      </c>
      <c r="U181" s="865">
        <v>43546</v>
      </c>
      <c r="V181" s="857" t="s">
        <v>1229</v>
      </c>
      <c r="W181" s="858" t="s">
        <v>553</v>
      </c>
      <c r="X181" s="859">
        <v>60000000</v>
      </c>
      <c r="Y181" s="860">
        <v>0</v>
      </c>
      <c r="Z181" s="859">
        <v>60000000</v>
      </c>
      <c r="AA181" s="857" t="s">
        <v>1230</v>
      </c>
      <c r="AB181" s="858">
        <v>13919</v>
      </c>
      <c r="AC181" s="857" t="s">
        <v>1231</v>
      </c>
      <c r="AD181" s="865">
        <v>43546</v>
      </c>
      <c r="AE181" s="865">
        <v>43729</v>
      </c>
      <c r="AF181" s="858" t="s">
        <v>658</v>
      </c>
      <c r="AG181" s="869" t="s">
        <v>659</v>
      </c>
    </row>
    <row r="182" spans="1:33" ht="150" x14ac:dyDescent="0.35">
      <c r="A182" s="668">
        <f t="shared" si="4"/>
        <v>162</v>
      </c>
      <c r="B182" s="623"/>
      <c r="C182" s="623" t="s">
        <v>154</v>
      </c>
      <c r="D182" s="624">
        <v>80101706</v>
      </c>
      <c r="E182" s="625" t="s">
        <v>322</v>
      </c>
      <c r="F182" s="623" t="s">
        <v>70</v>
      </c>
      <c r="G182" s="623">
        <v>1</v>
      </c>
      <c r="H182" s="623" t="s">
        <v>96</v>
      </c>
      <c r="I182" s="623">
        <v>11</v>
      </c>
      <c r="J182" s="623" t="s">
        <v>244</v>
      </c>
      <c r="K182" s="623" t="s">
        <v>130</v>
      </c>
      <c r="L182" s="623" t="s">
        <v>306</v>
      </c>
      <c r="M182" s="622">
        <v>67100000</v>
      </c>
      <c r="N182" s="622">
        <v>67100000</v>
      </c>
      <c r="O182" s="623" t="s">
        <v>75</v>
      </c>
      <c r="P182" s="623" t="s">
        <v>76</v>
      </c>
      <c r="Q182" s="623" t="s">
        <v>156</v>
      </c>
      <c r="S182" s="855" t="s">
        <v>682</v>
      </c>
      <c r="T182" s="855" t="s">
        <v>683</v>
      </c>
      <c r="U182" s="865">
        <v>43490</v>
      </c>
      <c r="V182" s="857" t="s">
        <v>684</v>
      </c>
      <c r="W182" s="858" t="s">
        <v>553</v>
      </c>
      <c r="X182" s="859">
        <v>67100000</v>
      </c>
      <c r="Y182" s="860">
        <v>0</v>
      </c>
      <c r="Z182" s="859">
        <v>67100000</v>
      </c>
      <c r="AA182" s="862" t="s">
        <v>685</v>
      </c>
      <c r="AB182" s="863">
        <v>12019</v>
      </c>
      <c r="AC182" s="862" t="s">
        <v>577</v>
      </c>
      <c r="AD182" s="856">
        <v>43490</v>
      </c>
      <c r="AE182" s="856">
        <v>43823</v>
      </c>
      <c r="AF182" s="863" t="s">
        <v>664</v>
      </c>
      <c r="AG182" s="864" t="s">
        <v>659</v>
      </c>
    </row>
    <row r="183" spans="1:33" ht="150" x14ac:dyDescent="0.35">
      <c r="A183" s="668">
        <f t="shared" ref="A183:A246" si="5">+A182+1</f>
        <v>163</v>
      </c>
      <c r="B183" s="623"/>
      <c r="C183" s="623" t="s">
        <v>324</v>
      </c>
      <c r="D183" s="624">
        <v>80101706</v>
      </c>
      <c r="E183" s="625" t="s">
        <v>325</v>
      </c>
      <c r="F183" s="623" t="s">
        <v>70</v>
      </c>
      <c r="G183" s="623">
        <v>1</v>
      </c>
      <c r="H183" s="623" t="s">
        <v>120</v>
      </c>
      <c r="I183" s="623">
        <v>5</v>
      </c>
      <c r="J183" s="623" t="s">
        <v>244</v>
      </c>
      <c r="K183" s="623" t="s">
        <v>130</v>
      </c>
      <c r="L183" s="623" t="s">
        <v>306</v>
      </c>
      <c r="M183" s="622">
        <v>67500000</v>
      </c>
      <c r="N183" s="622">
        <v>67500000</v>
      </c>
      <c r="O183" s="623" t="s">
        <v>75</v>
      </c>
      <c r="P183" s="623" t="s">
        <v>76</v>
      </c>
      <c r="Q183" s="623" t="s">
        <v>326</v>
      </c>
      <c r="S183" s="667"/>
      <c r="T183" s="667"/>
      <c r="U183" s="667"/>
      <c r="V183" s="667"/>
      <c r="W183" s="667"/>
      <c r="X183" s="667"/>
      <c r="Y183" s="667"/>
      <c r="Z183" s="667"/>
      <c r="AA183" s="667"/>
      <c r="AB183" s="667"/>
      <c r="AC183" s="667"/>
      <c r="AD183" s="667"/>
      <c r="AE183" s="667"/>
      <c r="AF183" s="667"/>
      <c r="AG183" s="667"/>
    </row>
    <row r="184" spans="1:33" ht="150" x14ac:dyDescent="0.35">
      <c r="A184" s="668">
        <f t="shared" si="5"/>
        <v>164</v>
      </c>
      <c r="B184" s="623"/>
      <c r="C184" s="623" t="s">
        <v>324</v>
      </c>
      <c r="D184" s="624">
        <v>80101706</v>
      </c>
      <c r="E184" s="625" t="s">
        <v>325</v>
      </c>
      <c r="F184" s="623" t="s">
        <v>70</v>
      </c>
      <c r="G184" s="623">
        <v>1</v>
      </c>
      <c r="H184" s="623" t="s">
        <v>120</v>
      </c>
      <c r="I184" s="623">
        <v>5</v>
      </c>
      <c r="J184" s="623" t="s">
        <v>244</v>
      </c>
      <c r="K184" s="623" t="s">
        <v>130</v>
      </c>
      <c r="L184" s="623" t="s">
        <v>306</v>
      </c>
      <c r="M184" s="622">
        <v>67500000</v>
      </c>
      <c r="N184" s="622">
        <v>67500000</v>
      </c>
      <c r="O184" s="623" t="s">
        <v>75</v>
      </c>
      <c r="P184" s="623" t="s">
        <v>76</v>
      </c>
      <c r="Q184" s="623" t="s">
        <v>326</v>
      </c>
      <c r="S184" s="667"/>
      <c r="T184" s="667"/>
      <c r="U184" s="667"/>
      <c r="V184" s="667"/>
      <c r="W184" s="667"/>
      <c r="X184" s="667"/>
      <c r="Y184" s="667"/>
      <c r="Z184" s="667"/>
      <c r="AA184" s="667"/>
      <c r="AB184" s="667"/>
      <c r="AC184" s="667"/>
      <c r="AD184" s="667"/>
      <c r="AE184" s="667"/>
      <c r="AF184" s="667"/>
      <c r="AG184" s="667"/>
    </row>
    <row r="185" spans="1:33" ht="150" x14ac:dyDescent="0.35">
      <c r="A185" s="668">
        <f t="shared" si="5"/>
        <v>165</v>
      </c>
      <c r="B185" s="623"/>
      <c r="C185" s="623" t="s">
        <v>324</v>
      </c>
      <c r="D185" s="624">
        <v>80101706</v>
      </c>
      <c r="E185" s="625" t="s">
        <v>325</v>
      </c>
      <c r="F185" s="623" t="s">
        <v>70</v>
      </c>
      <c r="G185" s="623">
        <v>1</v>
      </c>
      <c r="H185" s="623" t="s">
        <v>120</v>
      </c>
      <c r="I185" s="623">
        <v>5</v>
      </c>
      <c r="J185" s="623" t="s">
        <v>244</v>
      </c>
      <c r="K185" s="623" t="s">
        <v>130</v>
      </c>
      <c r="L185" s="623" t="s">
        <v>306</v>
      </c>
      <c r="M185" s="622">
        <v>67500000</v>
      </c>
      <c r="N185" s="622">
        <v>67500000</v>
      </c>
      <c r="O185" s="623" t="s">
        <v>75</v>
      </c>
      <c r="P185" s="623" t="s">
        <v>76</v>
      </c>
      <c r="Q185" s="623" t="s">
        <v>326</v>
      </c>
      <c r="S185" s="667"/>
      <c r="T185" s="667"/>
      <c r="U185" s="667"/>
      <c r="V185" s="667"/>
      <c r="W185" s="667"/>
      <c r="X185" s="667"/>
      <c r="Y185" s="667"/>
      <c r="Z185" s="667"/>
      <c r="AA185" s="667"/>
      <c r="AB185" s="667"/>
      <c r="AC185" s="667"/>
      <c r="AD185" s="667"/>
      <c r="AE185" s="667"/>
      <c r="AF185" s="667"/>
      <c r="AG185" s="667"/>
    </row>
    <row r="186" spans="1:33" ht="187.5" x14ac:dyDescent="0.35">
      <c r="A186" s="668">
        <f t="shared" si="5"/>
        <v>166</v>
      </c>
      <c r="B186" s="623"/>
      <c r="C186" s="623" t="s">
        <v>154</v>
      </c>
      <c r="D186" s="624">
        <v>80101706</v>
      </c>
      <c r="E186" s="625" t="s">
        <v>322</v>
      </c>
      <c r="F186" s="623" t="s">
        <v>70</v>
      </c>
      <c r="G186" s="623">
        <v>1</v>
      </c>
      <c r="H186" s="623" t="s">
        <v>96</v>
      </c>
      <c r="I186" s="623">
        <v>10.5</v>
      </c>
      <c r="J186" s="623" t="s">
        <v>244</v>
      </c>
      <c r="K186" s="623" t="s">
        <v>130</v>
      </c>
      <c r="L186" s="623" t="s">
        <v>306</v>
      </c>
      <c r="M186" s="622">
        <v>64050000</v>
      </c>
      <c r="N186" s="622">
        <v>64050000</v>
      </c>
      <c r="O186" s="623" t="s">
        <v>75</v>
      </c>
      <c r="P186" s="623" t="s">
        <v>76</v>
      </c>
      <c r="Q186" s="623" t="s">
        <v>156</v>
      </c>
      <c r="S186" s="855" t="s">
        <v>1034</v>
      </c>
      <c r="T186" s="855" t="s">
        <v>1035</v>
      </c>
      <c r="U186" s="865">
        <v>43502</v>
      </c>
      <c r="V186" s="857" t="s">
        <v>1036</v>
      </c>
      <c r="W186" s="858" t="s">
        <v>553</v>
      </c>
      <c r="X186" s="859">
        <v>64050000</v>
      </c>
      <c r="Y186" s="860">
        <v>0</v>
      </c>
      <c r="Z186" s="859">
        <v>64050000</v>
      </c>
      <c r="AA186" s="857" t="s">
        <v>1037</v>
      </c>
      <c r="AB186" s="858">
        <v>15219</v>
      </c>
      <c r="AC186" s="862" t="s">
        <v>811</v>
      </c>
      <c r="AD186" s="856">
        <v>43502</v>
      </c>
      <c r="AE186" s="856">
        <v>43819</v>
      </c>
      <c r="AF186" s="863" t="s">
        <v>1038</v>
      </c>
      <c r="AG186" s="864" t="s">
        <v>659</v>
      </c>
    </row>
    <row r="187" spans="1:33" ht="150" x14ac:dyDescent="0.35">
      <c r="A187" s="668">
        <f t="shared" si="5"/>
        <v>167</v>
      </c>
      <c r="B187" s="623"/>
      <c r="C187" s="623" t="s">
        <v>324</v>
      </c>
      <c r="D187" s="624">
        <v>80101706</v>
      </c>
      <c r="E187" s="625" t="s">
        <v>325</v>
      </c>
      <c r="F187" s="623" t="s">
        <v>70</v>
      </c>
      <c r="G187" s="623">
        <v>1</v>
      </c>
      <c r="H187" s="623" t="s">
        <v>120</v>
      </c>
      <c r="I187" s="623">
        <v>2</v>
      </c>
      <c r="J187" s="623" t="s">
        <v>244</v>
      </c>
      <c r="K187" s="623" t="s">
        <v>130</v>
      </c>
      <c r="L187" s="623" t="s">
        <v>306</v>
      </c>
      <c r="M187" s="622">
        <v>20000000</v>
      </c>
      <c r="N187" s="622">
        <v>20000000</v>
      </c>
      <c r="O187" s="623" t="s">
        <v>75</v>
      </c>
      <c r="P187" s="623" t="s">
        <v>76</v>
      </c>
      <c r="Q187" s="623" t="s">
        <v>326</v>
      </c>
      <c r="S187" s="667"/>
      <c r="T187" s="667"/>
      <c r="U187" s="667"/>
      <c r="V187" s="667"/>
      <c r="W187" s="667"/>
      <c r="X187" s="667"/>
      <c r="Y187" s="667"/>
      <c r="Z187" s="667"/>
      <c r="AA187" s="667"/>
      <c r="AB187" s="667"/>
      <c r="AC187" s="667"/>
      <c r="AD187" s="667"/>
      <c r="AE187" s="667"/>
      <c r="AF187" s="667"/>
      <c r="AG187" s="667"/>
    </row>
    <row r="188" spans="1:33" ht="120" x14ac:dyDescent="0.35">
      <c r="A188" s="668">
        <f t="shared" si="5"/>
        <v>168</v>
      </c>
      <c r="B188" s="623"/>
      <c r="C188" s="623" t="s">
        <v>68</v>
      </c>
      <c r="D188" s="624">
        <v>80101706</v>
      </c>
      <c r="E188" s="625" t="s">
        <v>327</v>
      </c>
      <c r="F188" s="623" t="s">
        <v>70</v>
      </c>
      <c r="G188" s="623">
        <v>1</v>
      </c>
      <c r="H188" s="623" t="s">
        <v>96</v>
      </c>
      <c r="I188" s="623">
        <v>11</v>
      </c>
      <c r="J188" s="623" t="s">
        <v>244</v>
      </c>
      <c r="K188" s="623" t="s">
        <v>73</v>
      </c>
      <c r="L188" s="623" t="s">
        <v>161</v>
      </c>
      <c r="M188" s="622">
        <v>21450000</v>
      </c>
      <c r="N188" s="622">
        <v>21450000</v>
      </c>
      <c r="O188" s="623" t="s">
        <v>75</v>
      </c>
      <c r="P188" s="623" t="s">
        <v>76</v>
      </c>
      <c r="Q188" s="623" t="s">
        <v>77</v>
      </c>
      <c r="S188" s="855" t="s">
        <v>686</v>
      </c>
      <c r="T188" s="855" t="s">
        <v>687</v>
      </c>
      <c r="U188" s="856">
        <v>43487</v>
      </c>
      <c r="V188" s="857" t="s">
        <v>688</v>
      </c>
      <c r="W188" s="858" t="s">
        <v>575</v>
      </c>
      <c r="X188" s="859">
        <v>21450000</v>
      </c>
      <c r="Y188" s="859">
        <v>0</v>
      </c>
      <c r="Z188" s="859">
        <v>21450000</v>
      </c>
      <c r="AA188" s="857" t="s">
        <v>689</v>
      </c>
      <c r="AB188" s="861">
        <v>4419</v>
      </c>
      <c r="AC188" s="857" t="s">
        <v>577</v>
      </c>
      <c r="AD188" s="865">
        <v>43486</v>
      </c>
      <c r="AE188" s="865">
        <v>43819</v>
      </c>
      <c r="AF188" s="858" t="s">
        <v>690</v>
      </c>
      <c r="AG188" s="869" t="s">
        <v>691</v>
      </c>
    </row>
    <row r="189" spans="1:33" ht="120" x14ac:dyDescent="0.35">
      <c r="A189" s="668">
        <f t="shared" si="5"/>
        <v>169</v>
      </c>
      <c r="B189" s="623"/>
      <c r="C189" s="623" t="s">
        <v>68</v>
      </c>
      <c r="D189" s="624">
        <v>80101706</v>
      </c>
      <c r="E189" s="625" t="s">
        <v>328</v>
      </c>
      <c r="F189" s="623" t="s">
        <v>70</v>
      </c>
      <c r="G189" s="623">
        <v>1</v>
      </c>
      <c r="H189" s="623" t="s">
        <v>96</v>
      </c>
      <c r="I189" s="623">
        <v>11</v>
      </c>
      <c r="J189" s="623" t="s">
        <v>244</v>
      </c>
      <c r="K189" s="623" t="s">
        <v>73</v>
      </c>
      <c r="L189" s="623" t="s">
        <v>161</v>
      </c>
      <c r="M189" s="622">
        <v>44000000</v>
      </c>
      <c r="N189" s="622">
        <v>44000000</v>
      </c>
      <c r="O189" s="623" t="s">
        <v>75</v>
      </c>
      <c r="P189" s="623" t="s">
        <v>76</v>
      </c>
      <c r="Q189" s="623" t="s">
        <v>77</v>
      </c>
      <c r="S189" s="855" t="s">
        <v>692</v>
      </c>
      <c r="T189" s="855" t="s">
        <v>693</v>
      </c>
      <c r="U189" s="856">
        <v>43486</v>
      </c>
      <c r="V189" s="857" t="s">
        <v>694</v>
      </c>
      <c r="W189" s="858" t="s">
        <v>553</v>
      </c>
      <c r="X189" s="859">
        <v>44000000</v>
      </c>
      <c r="Y189" s="859">
        <v>0</v>
      </c>
      <c r="Z189" s="859">
        <v>44000000</v>
      </c>
      <c r="AA189" s="857" t="s">
        <v>695</v>
      </c>
      <c r="AB189" s="861">
        <v>4519</v>
      </c>
      <c r="AC189" s="857" t="s">
        <v>577</v>
      </c>
      <c r="AD189" s="865">
        <v>43486</v>
      </c>
      <c r="AE189" s="865">
        <v>43819</v>
      </c>
      <c r="AF189" s="858" t="s">
        <v>690</v>
      </c>
      <c r="AG189" s="869" t="s">
        <v>691</v>
      </c>
    </row>
    <row r="190" spans="1:33" ht="138" customHeight="1" x14ac:dyDescent="0.35">
      <c r="A190" s="668">
        <f t="shared" si="5"/>
        <v>170</v>
      </c>
      <c r="B190" s="623"/>
      <c r="C190" s="623" t="s">
        <v>329</v>
      </c>
      <c r="D190" s="624">
        <v>80101706</v>
      </c>
      <c r="E190" s="625" t="s">
        <v>330</v>
      </c>
      <c r="F190" s="623" t="s">
        <v>70</v>
      </c>
      <c r="G190" s="623">
        <v>1</v>
      </c>
      <c r="H190" s="623" t="s">
        <v>96</v>
      </c>
      <c r="I190" s="623">
        <v>11.5</v>
      </c>
      <c r="J190" s="623" t="s">
        <v>244</v>
      </c>
      <c r="K190" s="623" t="s">
        <v>130</v>
      </c>
      <c r="L190" s="623" t="s">
        <v>279</v>
      </c>
      <c r="M190" s="622">
        <v>62100000</v>
      </c>
      <c r="N190" s="622">
        <v>62100000</v>
      </c>
      <c r="O190" s="623" t="s">
        <v>75</v>
      </c>
      <c r="P190" s="623" t="s">
        <v>76</v>
      </c>
      <c r="Q190" s="623" t="s">
        <v>331</v>
      </c>
      <c r="S190" s="855" t="s">
        <v>696</v>
      </c>
      <c r="T190" s="855" t="s">
        <v>697</v>
      </c>
      <c r="U190" s="856">
        <v>43475</v>
      </c>
      <c r="V190" s="857" t="s">
        <v>698</v>
      </c>
      <c r="W190" s="858" t="s">
        <v>553</v>
      </c>
      <c r="X190" s="859">
        <v>62100000</v>
      </c>
      <c r="Y190" s="859">
        <v>0</v>
      </c>
      <c r="Z190" s="859">
        <v>62100000</v>
      </c>
      <c r="AA190" s="857" t="s">
        <v>699</v>
      </c>
      <c r="AB190" s="861">
        <v>3319</v>
      </c>
      <c r="AC190" s="857" t="s">
        <v>555</v>
      </c>
      <c r="AD190" s="865">
        <v>43475</v>
      </c>
      <c r="AE190" s="865">
        <v>43823</v>
      </c>
      <c r="AF190" s="863" t="s">
        <v>1218</v>
      </c>
      <c r="AG190" s="864" t="s">
        <v>700</v>
      </c>
    </row>
    <row r="191" spans="1:33" ht="120" x14ac:dyDescent="0.35">
      <c r="A191" s="668">
        <f t="shared" si="5"/>
        <v>171</v>
      </c>
      <c r="B191" s="623"/>
      <c r="C191" s="623" t="s">
        <v>329</v>
      </c>
      <c r="D191" s="624">
        <v>80101706</v>
      </c>
      <c r="E191" s="625" t="s">
        <v>330</v>
      </c>
      <c r="F191" s="623" t="s">
        <v>70</v>
      </c>
      <c r="G191" s="623">
        <v>1</v>
      </c>
      <c r="H191" s="623" t="s">
        <v>96</v>
      </c>
      <c r="I191" s="623">
        <v>11.5</v>
      </c>
      <c r="J191" s="623" t="s">
        <v>244</v>
      </c>
      <c r="K191" s="623" t="s">
        <v>130</v>
      </c>
      <c r="L191" s="623" t="s">
        <v>279</v>
      </c>
      <c r="M191" s="622">
        <v>62100000</v>
      </c>
      <c r="N191" s="622">
        <v>62100000</v>
      </c>
      <c r="O191" s="623" t="s">
        <v>75</v>
      </c>
      <c r="P191" s="623" t="s">
        <v>76</v>
      </c>
      <c r="Q191" s="623" t="s">
        <v>331</v>
      </c>
      <c r="S191" s="855" t="s">
        <v>701</v>
      </c>
      <c r="T191" s="855" t="s">
        <v>702</v>
      </c>
      <c r="U191" s="856">
        <v>43475</v>
      </c>
      <c r="V191" s="857" t="s">
        <v>698</v>
      </c>
      <c r="W191" s="858" t="s">
        <v>553</v>
      </c>
      <c r="X191" s="859">
        <v>62100000</v>
      </c>
      <c r="Y191" s="859">
        <v>0</v>
      </c>
      <c r="Z191" s="859">
        <v>62100000</v>
      </c>
      <c r="AA191" s="857" t="s">
        <v>699</v>
      </c>
      <c r="AB191" s="861">
        <v>3219</v>
      </c>
      <c r="AC191" s="857" t="s">
        <v>555</v>
      </c>
      <c r="AD191" s="865">
        <v>43475</v>
      </c>
      <c r="AE191" s="865">
        <v>43823</v>
      </c>
      <c r="AF191" s="863" t="s">
        <v>1218</v>
      </c>
      <c r="AG191" s="864" t="s">
        <v>700</v>
      </c>
    </row>
    <row r="192" spans="1:33" ht="120" x14ac:dyDescent="0.35">
      <c r="A192" s="668">
        <f t="shared" si="5"/>
        <v>172</v>
      </c>
      <c r="B192" s="623"/>
      <c r="C192" s="623" t="s">
        <v>329</v>
      </c>
      <c r="D192" s="624">
        <v>80101706</v>
      </c>
      <c r="E192" s="625" t="s">
        <v>332</v>
      </c>
      <c r="F192" s="623" t="s">
        <v>70</v>
      </c>
      <c r="G192" s="623">
        <v>1</v>
      </c>
      <c r="H192" s="623" t="s">
        <v>96</v>
      </c>
      <c r="I192" s="623">
        <v>11</v>
      </c>
      <c r="J192" s="623" t="s">
        <v>244</v>
      </c>
      <c r="K192" s="623" t="s">
        <v>130</v>
      </c>
      <c r="L192" s="623" t="s">
        <v>306</v>
      </c>
      <c r="M192" s="622">
        <v>22000000</v>
      </c>
      <c r="N192" s="622">
        <v>22000000</v>
      </c>
      <c r="O192" s="623" t="s">
        <v>75</v>
      </c>
      <c r="P192" s="623" t="s">
        <v>76</v>
      </c>
      <c r="Q192" s="623" t="s">
        <v>331</v>
      </c>
      <c r="S192" s="855" t="s">
        <v>703</v>
      </c>
      <c r="T192" s="855" t="s">
        <v>704</v>
      </c>
      <c r="U192" s="865">
        <v>43490</v>
      </c>
      <c r="V192" s="857" t="s">
        <v>705</v>
      </c>
      <c r="W192" s="858" t="s">
        <v>575</v>
      </c>
      <c r="X192" s="859">
        <v>22000000</v>
      </c>
      <c r="Y192" s="860">
        <v>0</v>
      </c>
      <c r="Z192" s="859">
        <v>22000000</v>
      </c>
      <c r="AA192" s="862" t="s">
        <v>706</v>
      </c>
      <c r="AB192" s="863">
        <v>12919</v>
      </c>
      <c r="AC192" s="862" t="s">
        <v>577</v>
      </c>
      <c r="AD192" s="856">
        <v>43490</v>
      </c>
      <c r="AE192" s="856">
        <v>43823</v>
      </c>
      <c r="AF192" s="863" t="s">
        <v>1218</v>
      </c>
      <c r="AG192" s="864" t="s">
        <v>700</v>
      </c>
    </row>
    <row r="193" spans="1:33" ht="150" x14ac:dyDescent="0.35">
      <c r="A193" s="668">
        <f t="shared" si="5"/>
        <v>173</v>
      </c>
      <c r="B193" s="623"/>
      <c r="C193" s="623" t="s">
        <v>136</v>
      </c>
      <c r="D193" s="624">
        <v>80101706</v>
      </c>
      <c r="E193" s="625" t="s">
        <v>333</v>
      </c>
      <c r="F193" s="623" t="s">
        <v>70</v>
      </c>
      <c r="G193" s="623">
        <v>1</v>
      </c>
      <c r="H193" s="623" t="s">
        <v>96</v>
      </c>
      <c r="I193" s="623">
        <v>11</v>
      </c>
      <c r="J193" s="623" t="s">
        <v>244</v>
      </c>
      <c r="K193" s="623" t="s">
        <v>130</v>
      </c>
      <c r="L193" s="623" t="s">
        <v>306</v>
      </c>
      <c r="M193" s="622">
        <v>59400000</v>
      </c>
      <c r="N193" s="622">
        <v>59400000</v>
      </c>
      <c r="O193" s="623" t="s">
        <v>75</v>
      </c>
      <c r="P193" s="623" t="s">
        <v>76</v>
      </c>
      <c r="Q193" s="623" t="s">
        <v>138</v>
      </c>
      <c r="S193" s="855" t="s">
        <v>707</v>
      </c>
      <c r="T193" s="855" t="s">
        <v>708</v>
      </c>
      <c r="U193" s="856">
        <v>43489</v>
      </c>
      <c r="V193" s="857" t="s">
        <v>709</v>
      </c>
      <c r="W193" s="858" t="s">
        <v>553</v>
      </c>
      <c r="X193" s="859">
        <v>59400000</v>
      </c>
      <c r="Y193" s="860">
        <v>0</v>
      </c>
      <c r="Z193" s="859">
        <v>59400000</v>
      </c>
      <c r="AA193" s="862" t="s">
        <v>710</v>
      </c>
      <c r="AB193" s="863">
        <v>11119</v>
      </c>
      <c r="AC193" s="862" t="s">
        <v>577</v>
      </c>
      <c r="AD193" s="856">
        <v>43489</v>
      </c>
      <c r="AE193" s="856">
        <v>43822</v>
      </c>
      <c r="AF193" s="863" t="s">
        <v>711</v>
      </c>
      <c r="AG193" s="864" t="s">
        <v>712</v>
      </c>
    </row>
    <row r="194" spans="1:33" ht="150" x14ac:dyDescent="0.35">
      <c r="A194" s="668">
        <f t="shared" si="5"/>
        <v>174</v>
      </c>
      <c r="B194" s="623"/>
      <c r="C194" s="623" t="s">
        <v>139</v>
      </c>
      <c r="D194" s="624">
        <v>80101706</v>
      </c>
      <c r="E194" s="625" t="s">
        <v>334</v>
      </c>
      <c r="F194" s="623" t="s">
        <v>70</v>
      </c>
      <c r="G194" s="623">
        <v>1</v>
      </c>
      <c r="H194" s="623" t="s">
        <v>96</v>
      </c>
      <c r="I194" s="623">
        <v>11</v>
      </c>
      <c r="J194" s="623" t="s">
        <v>244</v>
      </c>
      <c r="K194" s="623" t="s">
        <v>130</v>
      </c>
      <c r="L194" s="623" t="s">
        <v>131</v>
      </c>
      <c r="M194" s="622">
        <v>31900000</v>
      </c>
      <c r="N194" s="622">
        <v>31900000</v>
      </c>
      <c r="O194" s="623" t="s">
        <v>75</v>
      </c>
      <c r="P194" s="623" t="s">
        <v>76</v>
      </c>
      <c r="Q194" s="830" t="s">
        <v>142</v>
      </c>
      <c r="S194" s="855" t="s">
        <v>713</v>
      </c>
      <c r="T194" s="855" t="s">
        <v>714</v>
      </c>
      <c r="U194" s="865">
        <v>43489</v>
      </c>
      <c r="V194" s="857" t="s">
        <v>715</v>
      </c>
      <c r="W194" s="858" t="s">
        <v>553</v>
      </c>
      <c r="X194" s="859">
        <v>31900000</v>
      </c>
      <c r="Y194" s="860">
        <v>0</v>
      </c>
      <c r="Z194" s="859">
        <v>31900000</v>
      </c>
      <c r="AA194" s="862" t="s">
        <v>716</v>
      </c>
      <c r="AB194" s="863">
        <v>8719</v>
      </c>
      <c r="AC194" s="862" t="s">
        <v>577</v>
      </c>
      <c r="AD194" s="856">
        <v>43489</v>
      </c>
      <c r="AE194" s="856">
        <v>43822</v>
      </c>
      <c r="AF194" s="863" t="s">
        <v>717</v>
      </c>
      <c r="AG194" s="864" t="s">
        <v>718</v>
      </c>
    </row>
    <row r="195" spans="1:33" ht="150" x14ac:dyDescent="0.35">
      <c r="A195" s="668">
        <f t="shared" si="5"/>
        <v>175</v>
      </c>
      <c r="B195" s="623"/>
      <c r="C195" s="623" t="s">
        <v>335</v>
      </c>
      <c r="D195" s="624">
        <v>80101706</v>
      </c>
      <c r="E195" s="625" t="s">
        <v>336</v>
      </c>
      <c r="F195" s="623" t="s">
        <v>70</v>
      </c>
      <c r="G195" s="623">
        <v>1</v>
      </c>
      <c r="H195" s="623" t="s">
        <v>96</v>
      </c>
      <c r="I195" s="623">
        <v>11</v>
      </c>
      <c r="J195" s="623" t="s">
        <v>244</v>
      </c>
      <c r="K195" s="623" t="s">
        <v>130</v>
      </c>
      <c r="L195" s="623" t="s">
        <v>306</v>
      </c>
      <c r="M195" s="622">
        <v>59400000</v>
      </c>
      <c r="N195" s="622">
        <v>59400000</v>
      </c>
      <c r="O195" s="623" t="s">
        <v>75</v>
      </c>
      <c r="P195" s="623" t="s">
        <v>76</v>
      </c>
      <c r="Q195" s="623" t="s">
        <v>337</v>
      </c>
      <c r="S195" s="855" t="s">
        <v>719</v>
      </c>
      <c r="T195" s="855" t="s">
        <v>720</v>
      </c>
      <c r="U195" s="865">
        <v>43489</v>
      </c>
      <c r="V195" s="857" t="s">
        <v>721</v>
      </c>
      <c r="W195" s="858" t="s">
        <v>553</v>
      </c>
      <c r="X195" s="859">
        <v>59400000</v>
      </c>
      <c r="Y195" s="860">
        <v>0</v>
      </c>
      <c r="Z195" s="859">
        <v>59400000</v>
      </c>
      <c r="AA195" s="857" t="s">
        <v>722</v>
      </c>
      <c r="AB195" s="858">
        <v>11219</v>
      </c>
      <c r="AC195" s="857" t="s">
        <v>577</v>
      </c>
      <c r="AD195" s="865">
        <v>43490</v>
      </c>
      <c r="AE195" s="865">
        <v>43823</v>
      </c>
      <c r="AF195" s="858" t="s">
        <v>723</v>
      </c>
      <c r="AG195" s="869" t="s">
        <v>724</v>
      </c>
    </row>
    <row r="196" spans="1:33" ht="150" x14ac:dyDescent="0.35">
      <c r="A196" s="668">
        <f t="shared" si="5"/>
        <v>176</v>
      </c>
      <c r="B196" s="623"/>
      <c r="C196" s="623" t="s">
        <v>335</v>
      </c>
      <c r="D196" s="624">
        <v>80101706</v>
      </c>
      <c r="E196" s="625" t="s">
        <v>336</v>
      </c>
      <c r="F196" s="623" t="s">
        <v>70</v>
      </c>
      <c r="G196" s="623">
        <v>1</v>
      </c>
      <c r="H196" s="623" t="s">
        <v>96</v>
      </c>
      <c r="I196" s="623">
        <v>11</v>
      </c>
      <c r="J196" s="623" t="s">
        <v>244</v>
      </c>
      <c r="K196" s="623" t="s">
        <v>130</v>
      </c>
      <c r="L196" s="623" t="s">
        <v>306</v>
      </c>
      <c r="M196" s="622">
        <v>59400000</v>
      </c>
      <c r="N196" s="622">
        <v>59400000</v>
      </c>
      <c r="O196" s="623" t="s">
        <v>75</v>
      </c>
      <c r="P196" s="623" t="s">
        <v>76</v>
      </c>
      <c r="Q196" s="623" t="s">
        <v>337</v>
      </c>
      <c r="S196" s="855" t="s">
        <v>725</v>
      </c>
      <c r="T196" s="855" t="s">
        <v>726</v>
      </c>
      <c r="U196" s="856">
        <v>43489</v>
      </c>
      <c r="V196" s="857" t="s">
        <v>721</v>
      </c>
      <c r="W196" s="858" t="s">
        <v>553</v>
      </c>
      <c r="X196" s="859">
        <v>59400000</v>
      </c>
      <c r="Y196" s="860">
        <v>0</v>
      </c>
      <c r="Z196" s="859">
        <v>59400000</v>
      </c>
      <c r="AA196" s="862" t="s">
        <v>727</v>
      </c>
      <c r="AB196" s="863">
        <v>11319</v>
      </c>
      <c r="AC196" s="862" t="s">
        <v>577</v>
      </c>
      <c r="AD196" s="856">
        <v>43489</v>
      </c>
      <c r="AE196" s="856">
        <v>43822</v>
      </c>
      <c r="AF196" s="863" t="s">
        <v>728</v>
      </c>
      <c r="AG196" s="864" t="s">
        <v>724</v>
      </c>
    </row>
    <row r="197" spans="1:33" ht="150" x14ac:dyDescent="0.35">
      <c r="A197" s="668">
        <f t="shared" si="5"/>
        <v>177</v>
      </c>
      <c r="B197" s="623"/>
      <c r="C197" s="623" t="s">
        <v>335</v>
      </c>
      <c r="D197" s="624">
        <v>80101706</v>
      </c>
      <c r="E197" s="625" t="s">
        <v>336</v>
      </c>
      <c r="F197" s="623" t="s">
        <v>70</v>
      </c>
      <c r="G197" s="623">
        <v>1</v>
      </c>
      <c r="H197" s="623" t="s">
        <v>96</v>
      </c>
      <c r="I197" s="623">
        <v>11</v>
      </c>
      <c r="J197" s="623" t="s">
        <v>244</v>
      </c>
      <c r="K197" s="623" t="s">
        <v>130</v>
      </c>
      <c r="L197" s="623" t="s">
        <v>306</v>
      </c>
      <c r="M197" s="622">
        <v>59400000</v>
      </c>
      <c r="N197" s="622">
        <v>59400000</v>
      </c>
      <c r="O197" s="623" t="s">
        <v>75</v>
      </c>
      <c r="P197" s="623" t="s">
        <v>76</v>
      </c>
      <c r="Q197" s="623" t="s">
        <v>337</v>
      </c>
      <c r="S197" s="855" t="s">
        <v>729</v>
      </c>
      <c r="T197" s="855" t="s">
        <v>730</v>
      </c>
      <c r="U197" s="865">
        <v>43489</v>
      </c>
      <c r="V197" s="857" t="s">
        <v>731</v>
      </c>
      <c r="W197" s="858" t="s">
        <v>553</v>
      </c>
      <c r="X197" s="859">
        <v>59400000</v>
      </c>
      <c r="Y197" s="860">
        <v>0</v>
      </c>
      <c r="Z197" s="859">
        <v>59400000</v>
      </c>
      <c r="AA197" s="857" t="s">
        <v>732</v>
      </c>
      <c r="AB197" s="858">
        <v>11419</v>
      </c>
      <c r="AC197" s="857" t="s">
        <v>577</v>
      </c>
      <c r="AD197" s="865">
        <v>43489</v>
      </c>
      <c r="AE197" s="865">
        <v>43822</v>
      </c>
      <c r="AF197" s="858" t="s">
        <v>728</v>
      </c>
      <c r="AG197" s="869" t="s">
        <v>724</v>
      </c>
    </row>
    <row r="198" spans="1:33" ht="150" x14ac:dyDescent="0.35">
      <c r="A198" s="668">
        <f t="shared" si="5"/>
        <v>178</v>
      </c>
      <c r="B198" s="623"/>
      <c r="C198" s="623" t="s">
        <v>335</v>
      </c>
      <c r="D198" s="624">
        <v>80101706</v>
      </c>
      <c r="E198" s="625" t="s">
        <v>336</v>
      </c>
      <c r="F198" s="623" t="s">
        <v>70</v>
      </c>
      <c r="G198" s="623">
        <v>1</v>
      </c>
      <c r="H198" s="623" t="s">
        <v>96</v>
      </c>
      <c r="I198" s="623">
        <v>11</v>
      </c>
      <c r="J198" s="623" t="s">
        <v>244</v>
      </c>
      <c r="K198" s="623" t="s">
        <v>130</v>
      </c>
      <c r="L198" s="623" t="s">
        <v>279</v>
      </c>
      <c r="M198" s="622">
        <v>59400000</v>
      </c>
      <c r="N198" s="622">
        <v>59400000</v>
      </c>
      <c r="O198" s="623" t="s">
        <v>75</v>
      </c>
      <c r="P198" s="623" t="s">
        <v>76</v>
      </c>
      <c r="Q198" s="623" t="s">
        <v>337</v>
      </c>
      <c r="S198" s="855" t="s">
        <v>733</v>
      </c>
      <c r="T198" s="855" t="s">
        <v>734</v>
      </c>
      <c r="U198" s="856">
        <v>43487</v>
      </c>
      <c r="V198" s="857" t="s">
        <v>735</v>
      </c>
      <c r="W198" s="858" t="s">
        <v>553</v>
      </c>
      <c r="X198" s="859">
        <v>59400000</v>
      </c>
      <c r="Y198" s="860">
        <v>0</v>
      </c>
      <c r="Z198" s="859">
        <v>59400000</v>
      </c>
      <c r="AA198" s="857" t="s">
        <v>736</v>
      </c>
      <c r="AB198" s="858">
        <v>6619</v>
      </c>
      <c r="AC198" s="857" t="s">
        <v>566</v>
      </c>
      <c r="AD198" s="865">
        <v>43487</v>
      </c>
      <c r="AE198" s="865">
        <v>43820</v>
      </c>
      <c r="AF198" s="858" t="s">
        <v>723</v>
      </c>
      <c r="AG198" s="869" t="s">
        <v>724</v>
      </c>
    </row>
    <row r="199" spans="1:33" ht="168.75" x14ac:dyDescent="0.35">
      <c r="A199" s="668">
        <f t="shared" si="5"/>
        <v>179</v>
      </c>
      <c r="B199" s="623"/>
      <c r="C199" s="623" t="s">
        <v>335</v>
      </c>
      <c r="D199" s="624">
        <v>80101706</v>
      </c>
      <c r="E199" s="625" t="s">
        <v>336</v>
      </c>
      <c r="F199" s="623" t="s">
        <v>70</v>
      </c>
      <c r="G199" s="623">
        <v>1</v>
      </c>
      <c r="H199" s="623" t="s">
        <v>96</v>
      </c>
      <c r="I199" s="623">
        <v>11.5</v>
      </c>
      <c r="J199" s="623" t="s">
        <v>244</v>
      </c>
      <c r="K199" s="623" t="s">
        <v>130</v>
      </c>
      <c r="L199" s="623" t="s">
        <v>279</v>
      </c>
      <c r="M199" s="622">
        <v>46000000</v>
      </c>
      <c r="N199" s="622">
        <v>46000000</v>
      </c>
      <c r="O199" s="623" t="s">
        <v>75</v>
      </c>
      <c r="P199" s="623" t="s">
        <v>76</v>
      </c>
      <c r="Q199" s="623" t="s">
        <v>337</v>
      </c>
      <c r="S199" s="855" t="s">
        <v>737</v>
      </c>
      <c r="T199" s="855" t="s">
        <v>738</v>
      </c>
      <c r="U199" s="856">
        <v>43479</v>
      </c>
      <c r="V199" s="857" t="s">
        <v>739</v>
      </c>
      <c r="W199" s="858" t="s">
        <v>553</v>
      </c>
      <c r="X199" s="859">
        <v>46000000</v>
      </c>
      <c r="Y199" s="859">
        <v>0</v>
      </c>
      <c r="Z199" s="859">
        <v>46000000</v>
      </c>
      <c r="AA199" s="862" t="s">
        <v>740</v>
      </c>
      <c r="AB199" s="863">
        <v>3119</v>
      </c>
      <c r="AC199" s="862" t="s">
        <v>555</v>
      </c>
      <c r="AD199" s="856">
        <v>43479</v>
      </c>
      <c r="AE199" s="856">
        <v>43827</v>
      </c>
      <c r="AF199" s="863" t="s">
        <v>723</v>
      </c>
      <c r="AG199" s="864" t="s">
        <v>724</v>
      </c>
    </row>
    <row r="200" spans="1:33" ht="150" x14ac:dyDescent="0.35">
      <c r="A200" s="668">
        <f t="shared" si="5"/>
        <v>180</v>
      </c>
      <c r="B200" s="623"/>
      <c r="C200" s="623" t="s">
        <v>335</v>
      </c>
      <c r="D200" s="624">
        <v>80101706</v>
      </c>
      <c r="E200" s="625" t="s">
        <v>336</v>
      </c>
      <c r="F200" s="623" t="s">
        <v>70</v>
      </c>
      <c r="G200" s="623">
        <v>1</v>
      </c>
      <c r="H200" s="623" t="s">
        <v>96</v>
      </c>
      <c r="I200" s="623">
        <v>11.5</v>
      </c>
      <c r="J200" s="623" t="s">
        <v>244</v>
      </c>
      <c r="K200" s="623" t="s">
        <v>130</v>
      </c>
      <c r="L200" s="623" t="s">
        <v>279</v>
      </c>
      <c r="M200" s="622">
        <v>46000000</v>
      </c>
      <c r="N200" s="622">
        <v>46000000</v>
      </c>
      <c r="O200" s="623" t="s">
        <v>75</v>
      </c>
      <c r="P200" s="623" t="s">
        <v>76</v>
      </c>
      <c r="Q200" s="623" t="s">
        <v>337</v>
      </c>
      <c r="S200" s="855" t="s">
        <v>741</v>
      </c>
      <c r="T200" s="855" t="s">
        <v>742</v>
      </c>
      <c r="U200" s="856">
        <v>43479</v>
      </c>
      <c r="V200" s="857" t="s">
        <v>743</v>
      </c>
      <c r="W200" s="858" t="s">
        <v>553</v>
      </c>
      <c r="X200" s="859">
        <v>46000000</v>
      </c>
      <c r="Y200" s="859">
        <v>0</v>
      </c>
      <c r="Z200" s="859">
        <v>46000000</v>
      </c>
      <c r="AA200" s="862" t="s">
        <v>744</v>
      </c>
      <c r="AB200" s="863">
        <v>3019</v>
      </c>
      <c r="AC200" s="862" t="s">
        <v>555</v>
      </c>
      <c r="AD200" s="856">
        <v>43479</v>
      </c>
      <c r="AE200" s="856">
        <v>43827</v>
      </c>
      <c r="AF200" s="863" t="s">
        <v>723</v>
      </c>
      <c r="AG200" s="864" t="s">
        <v>724</v>
      </c>
    </row>
    <row r="201" spans="1:33" ht="120" x14ac:dyDescent="0.35">
      <c r="A201" s="668">
        <f t="shared" si="5"/>
        <v>181</v>
      </c>
      <c r="B201" s="623"/>
      <c r="C201" s="623" t="s">
        <v>202</v>
      </c>
      <c r="D201" s="624">
        <v>80101706</v>
      </c>
      <c r="E201" s="625" t="s">
        <v>338</v>
      </c>
      <c r="F201" s="623" t="s">
        <v>70</v>
      </c>
      <c r="G201" s="623">
        <v>1</v>
      </c>
      <c r="H201" s="623" t="s">
        <v>96</v>
      </c>
      <c r="I201" s="623">
        <v>11</v>
      </c>
      <c r="J201" s="623" t="s">
        <v>244</v>
      </c>
      <c r="K201" s="623" t="s">
        <v>130</v>
      </c>
      <c r="L201" s="623" t="s">
        <v>306</v>
      </c>
      <c r="M201" s="622">
        <v>53900000</v>
      </c>
      <c r="N201" s="622">
        <v>53900000</v>
      </c>
      <c r="O201" s="623" t="s">
        <v>75</v>
      </c>
      <c r="P201" s="623" t="s">
        <v>76</v>
      </c>
      <c r="Q201" s="623" t="s">
        <v>206</v>
      </c>
      <c r="S201" s="855" t="s">
        <v>745</v>
      </c>
      <c r="T201" s="855" t="s">
        <v>746</v>
      </c>
      <c r="U201" s="865">
        <v>43490</v>
      </c>
      <c r="V201" s="857" t="s">
        <v>747</v>
      </c>
      <c r="W201" s="858" t="s">
        <v>553</v>
      </c>
      <c r="X201" s="859">
        <v>51450000</v>
      </c>
      <c r="Y201" s="860">
        <v>0</v>
      </c>
      <c r="Z201" s="859">
        <v>51450000</v>
      </c>
      <c r="AA201" s="862" t="s">
        <v>748</v>
      </c>
      <c r="AB201" s="863">
        <v>12819</v>
      </c>
      <c r="AC201" s="862" t="s">
        <v>749</v>
      </c>
      <c r="AD201" s="856">
        <v>43490</v>
      </c>
      <c r="AE201" s="856">
        <v>43808</v>
      </c>
      <c r="AF201" s="863" t="s">
        <v>750</v>
      </c>
      <c r="AG201" s="864" t="s">
        <v>751</v>
      </c>
    </row>
    <row r="202" spans="1:33" ht="120" x14ac:dyDescent="0.35">
      <c r="A202" s="668">
        <f t="shared" si="5"/>
        <v>182</v>
      </c>
      <c r="B202" s="623"/>
      <c r="C202" s="623" t="s">
        <v>202</v>
      </c>
      <c r="D202" s="624">
        <v>80101706</v>
      </c>
      <c r="E202" s="625" t="s">
        <v>338</v>
      </c>
      <c r="F202" s="623" t="s">
        <v>70</v>
      </c>
      <c r="G202" s="623">
        <v>1</v>
      </c>
      <c r="H202" s="623" t="s">
        <v>96</v>
      </c>
      <c r="I202" s="623">
        <v>11</v>
      </c>
      <c r="J202" s="623" t="s">
        <v>244</v>
      </c>
      <c r="K202" s="623" t="s">
        <v>130</v>
      </c>
      <c r="L202" s="623" t="s">
        <v>279</v>
      </c>
      <c r="M202" s="622">
        <v>51700000</v>
      </c>
      <c r="N202" s="622">
        <v>51700000</v>
      </c>
      <c r="O202" s="623" t="s">
        <v>75</v>
      </c>
      <c r="P202" s="623" t="s">
        <v>76</v>
      </c>
      <c r="Q202" s="623" t="s">
        <v>206</v>
      </c>
      <c r="S202" s="855" t="s">
        <v>752</v>
      </c>
      <c r="T202" s="855" t="s">
        <v>753</v>
      </c>
      <c r="U202" s="865">
        <v>43483</v>
      </c>
      <c r="V202" s="857" t="s">
        <v>754</v>
      </c>
      <c r="W202" s="858" t="s">
        <v>553</v>
      </c>
      <c r="X202" s="859">
        <v>51700000</v>
      </c>
      <c r="Y202" s="860">
        <v>0</v>
      </c>
      <c r="Z202" s="859">
        <v>51700000</v>
      </c>
      <c r="AA202" s="862" t="s">
        <v>755</v>
      </c>
      <c r="AB202" s="863">
        <v>6319</v>
      </c>
      <c r="AC202" s="862" t="s">
        <v>566</v>
      </c>
      <c r="AD202" s="856">
        <v>43483</v>
      </c>
      <c r="AE202" s="856">
        <v>43816</v>
      </c>
      <c r="AF202" s="863" t="s">
        <v>750</v>
      </c>
      <c r="AG202" s="864" t="s">
        <v>751</v>
      </c>
    </row>
    <row r="203" spans="1:33" ht="120" x14ac:dyDescent="0.35">
      <c r="A203" s="668">
        <f t="shared" si="5"/>
        <v>183</v>
      </c>
      <c r="B203" s="623"/>
      <c r="C203" s="623" t="s">
        <v>202</v>
      </c>
      <c r="D203" s="624">
        <v>80101706</v>
      </c>
      <c r="E203" s="625" t="s">
        <v>338</v>
      </c>
      <c r="F203" s="623" t="s">
        <v>70</v>
      </c>
      <c r="G203" s="623">
        <v>1</v>
      </c>
      <c r="H203" s="623" t="s">
        <v>96</v>
      </c>
      <c r="I203" s="623">
        <v>11</v>
      </c>
      <c r="J203" s="623" t="s">
        <v>244</v>
      </c>
      <c r="K203" s="623" t="s">
        <v>130</v>
      </c>
      <c r="L203" s="623" t="s">
        <v>306</v>
      </c>
      <c r="M203" s="622">
        <v>67100000</v>
      </c>
      <c r="N203" s="622">
        <v>67100000</v>
      </c>
      <c r="O203" s="623" t="s">
        <v>75</v>
      </c>
      <c r="P203" s="623" t="s">
        <v>76</v>
      </c>
      <c r="Q203" s="623" t="s">
        <v>206</v>
      </c>
      <c r="S203" s="855" t="s">
        <v>756</v>
      </c>
      <c r="T203" s="855" t="s">
        <v>757</v>
      </c>
      <c r="U203" s="865">
        <v>43490</v>
      </c>
      <c r="V203" s="857" t="s">
        <v>758</v>
      </c>
      <c r="W203" s="858" t="s">
        <v>553</v>
      </c>
      <c r="X203" s="859">
        <v>67100000</v>
      </c>
      <c r="Y203" s="860">
        <v>0</v>
      </c>
      <c r="Z203" s="859">
        <v>67100000</v>
      </c>
      <c r="AA203" s="862" t="s">
        <v>759</v>
      </c>
      <c r="AB203" s="863">
        <v>11519</v>
      </c>
      <c r="AC203" s="862" t="s">
        <v>577</v>
      </c>
      <c r="AD203" s="856">
        <v>43490</v>
      </c>
      <c r="AE203" s="856">
        <v>43823</v>
      </c>
      <c r="AF203" s="863" t="s">
        <v>750</v>
      </c>
      <c r="AG203" s="864" t="s">
        <v>751</v>
      </c>
    </row>
    <row r="204" spans="1:33" ht="120" x14ac:dyDescent="0.35">
      <c r="A204" s="668">
        <f t="shared" si="5"/>
        <v>184</v>
      </c>
      <c r="B204" s="623"/>
      <c r="C204" s="623" t="s">
        <v>202</v>
      </c>
      <c r="D204" s="624">
        <v>80101706</v>
      </c>
      <c r="E204" s="625" t="s">
        <v>338</v>
      </c>
      <c r="F204" s="623" t="s">
        <v>70</v>
      </c>
      <c r="G204" s="623">
        <v>1</v>
      </c>
      <c r="H204" s="623" t="s">
        <v>96</v>
      </c>
      <c r="I204" s="623">
        <v>11</v>
      </c>
      <c r="J204" s="623" t="s">
        <v>244</v>
      </c>
      <c r="K204" s="623" t="s">
        <v>130</v>
      </c>
      <c r="L204" s="623" t="s">
        <v>279</v>
      </c>
      <c r="M204" s="622">
        <v>53900000</v>
      </c>
      <c r="N204" s="622">
        <v>53900000</v>
      </c>
      <c r="O204" s="623" t="s">
        <v>75</v>
      </c>
      <c r="P204" s="623" t="s">
        <v>76</v>
      </c>
      <c r="Q204" s="623" t="s">
        <v>206</v>
      </c>
      <c r="S204" s="855" t="s">
        <v>760</v>
      </c>
      <c r="T204" s="855" t="s">
        <v>761</v>
      </c>
      <c r="U204" s="865">
        <v>43483</v>
      </c>
      <c r="V204" s="857" t="s">
        <v>762</v>
      </c>
      <c r="W204" s="858" t="s">
        <v>553</v>
      </c>
      <c r="X204" s="859">
        <v>53900000</v>
      </c>
      <c r="Y204" s="860">
        <v>0</v>
      </c>
      <c r="Z204" s="859">
        <v>53900000</v>
      </c>
      <c r="AA204" s="862" t="s">
        <v>763</v>
      </c>
      <c r="AB204" s="863">
        <v>8119</v>
      </c>
      <c r="AC204" s="862" t="s">
        <v>566</v>
      </c>
      <c r="AD204" s="856">
        <v>43483</v>
      </c>
      <c r="AE204" s="856">
        <v>43816</v>
      </c>
      <c r="AF204" s="863" t="s">
        <v>750</v>
      </c>
      <c r="AG204" s="864" t="s">
        <v>751</v>
      </c>
    </row>
    <row r="205" spans="1:33" ht="120" x14ac:dyDescent="0.35">
      <c r="A205" s="668">
        <f t="shared" si="5"/>
        <v>185</v>
      </c>
      <c r="B205" s="623"/>
      <c r="C205" s="623" t="s">
        <v>202</v>
      </c>
      <c r="D205" s="624">
        <v>80101706</v>
      </c>
      <c r="E205" s="625" t="s">
        <v>339</v>
      </c>
      <c r="F205" s="623" t="s">
        <v>70</v>
      </c>
      <c r="G205" s="623">
        <v>1</v>
      </c>
      <c r="H205" s="623" t="s">
        <v>96</v>
      </c>
      <c r="I205" s="623">
        <v>11</v>
      </c>
      <c r="J205" s="623" t="s">
        <v>244</v>
      </c>
      <c r="K205" s="623" t="s">
        <v>130</v>
      </c>
      <c r="L205" s="623" t="s">
        <v>306</v>
      </c>
      <c r="M205" s="622">
        <v>23100000</v>
      </c>
      <c r="N205" s="622">
        <v>23100000</v>
      </c>
      <c r="O205" s="623" t="s">
        <v>75</v>
      </c>
      <c r="P205" s="623" t="s">
        <v>76</v>
      </c>
      <c r="Q205" s="623" t="s">
        <v>206</v>
      </c>
      <c r="S205" s="855" t="s">
        <v>764</v>
      </c>
      <c r="T205" s="855" t="s">
        <v>765</v>
      </c>
      <c r="U205" s="865">
        <v>43490</v>
      </c>
      <c r="V205" s="857" t="s">
        <v>766</v>
      </c>
      <c r="W205" s="858" t="s">
        <v>575</v>
      </c>
      <c r="X205" s="859">
        <v>23100000</v>
      </c>
      <c r="Y205" s="860">
        <v>0</v>
      </c>
      <c r="Z205" s="859">
        <v>23100000</v>
      </c>
      <c r="AA205" s="862" t="s">
        <v>767</v>
      </c>
      <c r="AB205" s="863">
        <v>12419</v>
      </c>
      <c r="AC205" s="862" t="s">
        <v>577</v>
      </c>
      <c r="AD205" s="856">
        <v>43490</v>
      </c>
      <c r="AE205" s="856">
        <v>43823</v>
      </c>
      <c r="AF205" s="863" t="s">
        <v>750</v>
      </c>
      <c r="AG205" s="864" t="s">
        <v>751</v>
      </c>
    </row>
    <row r="206" spans="1:33" ht="120" x14ac:dyDescent="0.35">
      <c r="A206" s="668">
        <f t="shared" si="5"/>
        <v>186</v>
      </c>
      <c r="B206" s="623"/>
      <c r="C206" s="623" t="s">
        <v>202</v>
      </c>
      <c r="D206" s="624">
        <v>80101706</v>
      </c>
      <c r="E206" s="625" t="s">
        <v>338</v>
      </c>
      <c r="F206" s="623" t="s">
        <v>70</v>
      </c>
      <c r="G206" s="623">
        <v>1</v>
      </c>
      <c r="H206" s="623" t="s">
        <v>96</v>
      </c>
      <c r="I206" s="623">
        <v>10.5</v>
      </c>
      <c r="J206" s="623" t="s">
        <v>244</v>
      </c>
      <c r="K206" s="623" t="s">
        <v>130</v>
      </c>
      <c r="L206" s="623" t="s">
        <v>306</v>
      </c>
      <c r="M206" s="622">
        <v>56700000</v>
      </c>
      <c r="N206" s="622">
        <v>56700000</v>
      </c>
      <c r="O206" s="623" t="s">
        <v>75</v>
      </c>
      <c r="P206" s="623" t="s">
        <v>76</v>
      </c>
      <c r="Q206" s="623" t="s">
        <v>206</v>
      </c>
      <c r="S206" s="855" t="s">
        <v>1151</v>
      </c>
      <c r="T206" s="855" t="s">
        <v>1152</v>
      </c>
      <c r="U206" s="856">
        <v>43528</v>
      </c>
      <c r="V206" s="857" t="s">
        <v>1153</v>
      </c>
      <c r="W206" s="858" t="s">
        <v>553</v>
      </c>
      <c r="X206" s="859">
        <v>51300000</v>
      </c>
      <c r="Y206" s="860">
        <v>0</v>
      </c>
      <c r="Z206" s="859">
        <v>51300000</v>
      </c>
      <c r="AA206" s="857" t="s">
        <v>1154</v>
      </c>
      <c r="AB206" s="858">
        <v>17819</v>
      </c>
      <c r="AC206" s="862" t="s">
        <v>1138</v>
      </c>
      <c r="AD206" s="856">
        <v>43528</v>
      </c>
      <c r="AE206" s="856">
        <v>43817</v>
      </c>
      <c r="AF206" s="863" t="s">
        <v>1155</v>
      </c>
      <c r="AG206" s="864" t="s">
        <v>751</v>
      </c>
    </row>
    <row r="207" spans="1:33" ht="131.25" x14ac:dyDescent="0.35">
      <c r="A207" s="668">
        <f t="shared" si="5"/>
        <v>187</v>
      </c>
      <c r="B207" s="623"/>
      <c r="C207" s="623" t="s">
        <v>202</v>
      </c>
      <c r="D207" s="624">
        <v>80101706</v>
      </c>
      <c r="E207" s="625" t="s">
        <v>338</v>
      </c>
      <c r="F207" s="623" t="s">
        <v>70</v>
      </c>
      <c r="G207" s="623">
        <v>1</v>
      </c>
      <c r="H207" s="623" t="s">
        <v>96</v>
      </c>
      <c r="I207" s="623">
        <v>11</v>
      </c>
      <c r="J207" s="623" t="s">
        <v>244</v>
      </c>
      <c r="K207" s="623" t="s">
        <v>130</v>
      </c>
      <c r="L207" s="623" t="s">
        <v>306</v>
      </c>
      <c r="M207" s="622">
        <v>59400000</v>
      </c>
      <c r="N207" s="622">
        <v>59400000</v>
      </c>
      <c r="O207" s="623" t="s">
        <v>75</v>
      </c>
      <c r="P207" s="623" t="s">
        <v>76</v>
      </c>
      <c r="Q207" s="623" t="s">
        <v>206</v>
      </c>
      <c r="S207" s="855" t="s">
        <v>1039</v>
      </c>
      <c r="T207" s="855" t="s">
        <v>1040</v>
      </c>
      <c r="U207" s="865">
        <v>43500</v>
      </c>
      <c r="V207" s="857" t="s">
        <v>1041</v>
      </c>
      <c r="W207" s="858" t="s">
        <v>553</v>
      </c>
      <c r="X207" s="859">
        <v>56700000</v>
      </c>
      <c r="Y207" s="860">
        <v>0</v>
      </c>
      <c r="Z207" s="859">
        <v>56700000</v>
      </c>
      <c r="AA207" s="857" t="s">
        <v>1042</v>
      </c>
      <c r="AB207" s="858">
        <v>13819</v>
      </c>
      <c r="AC207" s="862" t="s">
        <v>811</v>
      </c>
      <c r="AD207" s="856">
        <v>43500</v>
      </c>
      <c r="AE207" s="856">
        <v>43817</v>
      </c>
      <c r="AF207" s="863" t="s">
        <v>1043</v>
      </c>
      <c r="AG207" s="864" t="s">
        <v>751</v>
      </c>
    </row>
    <row r="208" spans="1:33" ht="131.25" x14ac:dyDescent="0.35">
      <c r="A208" s="668">
        <f t="shared" si="5"/>
        <v>188</v>
      </c>
      <c r="B208" s="623"/>
      <c r="C208" s="623" t="s">
        <v>193</v>
      </c>
      <c r="D208" s="624">
        <v>80101706</v>
      </c>
      <c r="E208" s="625" t="s">
        <v>340</v>
      </c>
      <c r="F208" s="623" t="s">
        <v>70</v>
      </c>
      <c r="G208" s="623">
        <v>1</v>
      </c>
      <c r="H208" s="623" t="s">
        <v>96</v>
      </c>
      <c r="I208" s="623">
        <v>11</v>
      </c>
      <c r="J208" s="623" t="s">
        <v>244</v>
      </c>
      <c r="K208" s="623" t="s">
        <v>130</v>
      </c>
      <c r="L208" s="623" t="s">
        <v>306</v>
      </c>
      <c r="M208" s="622">
        <v>63800000</v>
      </c>
      <c r="N208" s="622">
        <v>63800000</v>
      </c>
      <c r="O208" s="623" t="s">
        <v>75</v>
      </c>
      <c r="P208" s="623" t="s">
        <v>76</v>
      </c>
      <c r="Q208" s="623" t="s">
        <v>196</v>
      </c>
      <c r="S208" s="855" t="s">
        <v>768</v>
      </c>
      <c r="T208" s="855" t="s">
        <v>769</v>
      </c>
      <c r="U208" s="865">
        <v>43490</v>
      </c>
      <c r="V208" s="857" t="s">
        <v>770</v>
      </c>
      <c r="W208" s="858" t="s">
        <v>553</v>
      </c>
      <c r="X208" s="859">
        <v>63800000</v>
      </c>
      <c r="Y208" s="860">
        <v>0</v>
      </c>
      <c r="Z208" s="859">
        <v>63800000</v>
      </c>
      <c r="AA208" s="862" t="s">
        <v>771</v>
      </c>
      <c r="AB208" s="863">
        <v>12119</v>
      </c>
      <c r="AC208" s="862" t="s">
        <v>577</v>
      </c>
      <c r="AD208" s="856">
        <v>43490</v>
      </c>
      <c r="AE208" s="856">
        <v>43823</v>
      </c>
      <c r="AF208" s="863" t="s">
        <v>772</v>
      </c>
      <c r="AG208" s="864" t="s">
        <v>773</v>
      </c>
    </row>
    <row r="209" spans="1:33" ht="120" x14ac:dyDescent="0.35">
      <c r="A209" s="668">
        <f>+A208+1</f>
        <v>189</v>
      </c>
      <c r="B209" s="623"/>
      <c r="C209" s="623" t="s">
        <v>341</v>
      </c>
      <c r="D209" s="624">
        <v>80101706</v>
      </c>
      <c r="E209" s="625" t="s">
        <v>342</v>
      </c>
      <c r="F209" s="623" t="s">
        <v>70</v>
      </c>
      <c r="G209" s="623">
        <v>1</v>
      </c>
      <c r="H209" s="623" t="s">
        <v>96</v>
      </c>
      <c r="I209" s="623">
        <v>11.5</v>
      </c>
      <c r="J209" s="623" t="s">
        <v>244</v>
      </c>
      <c r="K209" s="623" t="s">
        <v>130</v>
      </c>
      <c r="L209" s="623" t="s">
        <v>279</v>
      </c>
      <c r="M209" s="622">
        <v>66700000</v>
      </c>
      <c r="N209" s="622">
        <v>66700000</v>
      </c>
      <c r="O209" s="623" t="s">
        <v>75</v>
      </c>
      <c r="P209" s="623" t="s">
        <v>76</v>
      </c>
      <c r="Q209" s="623" t="s">
        <v>196</v>
      </c>
      <c r="S209" s="855" t="s">
        <v>774</v>
      </c>
      <c r="T209" s="855" t="s">
        <v>775</v>
      </c>
      <c r="U209" s="856">
        <v>43479</v>
      </c>
      <c r="V209" s="857" t="s">
        <v>776</v>
      </c>
      <c r="W209" s="858" t="s">
        <v>553</v>
      </c>
      <c r="X209" s="859">
        <v>66700000</v>
      </c>
      <c r="Y209" s="859">
        <v>0</v>
      </c>
      <c r="Z209" s="859">
        <v>66700000</v>
      </c>
      <c r="AA209" s="862" t="s">
        <v>777</v>
      </c>
      <c r="AB209" s="863">
        <v>2919</v>
      </c>
      <c r="AC209" s="862" t="s">
        <v>555</v>
      </c>
      <c r="AD209" s="856">
        <v>43479</v>
      </c>
      <c r="AE209" s="856">
        <v>43827</v>
      </c>
      <c r="AF209" s="863" t="s">
        <v>778</v>
      </c>
      <c r="AG209" s="864" t="s">
        <v>773</v>
      </c>
    </row>
    <row r="210" spans="1:33" ht="120" x14ac:dyDescent="0.35">
      <c r="A210" s="668">
        <f t="shared" si="5"/>
        <v>190</v>
      </c>
      <c r="B210" s="623"/>
      <c r="C210" s="623" t="s">
        <v>341</v>
      </c>
      <c r="D210" s="624">
        <v>80101706</v>
      </c>
      <c r="E210" s="625" t="s">
        <v>342</v>
      </c>
      <c r="F210" s="623" t="s">
        <v>70</v>
      </c>
      <c r="G210" s="623">
        <v>1</v>
      </c>
      <c r="H210" s="623" t="s">
        <v>96</v>
      </c>
      <c r="I210" s="623">
        <v>11</v>
      </c>
      <c r="J210" s="623" t="s">
        <v>244</v>
      </c>
      <c r="K210" s="623" t="s">
        <v>130</v>
      </c>
      <c r="L210" s="623" t="s">
        <v>279</v>
      </c>
      <c r="M210" s="622">
        <v>59400000</v>
      </c>
      <c r="N210" s="622">
        <v>59400000</v>
      </c>
      <c r="O210" s="623" t="s">
        <v>75</v>
      </c>
      <c r="P210" s="623" t="s">
        <v>76</v>
      </c>
      <c r="Q210" s="623" t="s">
        <v>196</v>
      </c>
      <c r="S210" s="855" t="s">
        <v>779</v>
      </c>
      <c r="T210" s="855" t="s">
        <v>780</v>
      </c>
      <c r="U210" s="856">
        <v>43487</v>
      </c>
      <c r="V210" s="857" t="s">
        <v>781</v>
      </c>
      <c r="W210" s="858" t="s">
        <v>553</v>
      </c>
      <c r="X210" s="859">
        <v>59400000</v>
      </c>
      <c r="Y210" s="859">
        <v>0</v>
      </c>
      <c r="Z210" s="859">
        <v>59400000</v>
      </c>
      <c r="AA210" s="862" t="s">
        <v>736</v>
      </c>
      <c r="AB210" s="863">
        <v>7619</v>
      </c>
      <c r="AC210" s="862" t="s">
        <v>566</v>
      </c>
      <c r="AD210" s="856">
        <v>43487</v>
      </c>
      <c r="AE210" s="856">
        <v>43820</v>
      </c>
      <c r="AF210" s="863" t="s">
        <v>782</v>
      </c>
      <c r="AG210" s="864" t="s">
        <v>773</v>
      </c>
    </row>
    <row r="211" spans="1:33" ht="120" x14ac:dyDescent="0.35">
      <c r="A211" s="668">
        <f t="shared" si="5"/>
        <v>191</v>
      </c>
      <c r="B211" s="623"/>
      <c r="C211" s="623" t="s">
        <v>341</v>
      </c>
      <c r="D211" s="624">
        <v>80101706</v>
      </c>
      <c r="E211" s="625" t="s">
        <v>342</v>
      </c>
      <c r="F211" s="623" t="s">
        <v>70</v>
      </c>
      <c r="G211" s="623">
        <v>1</v>
      </c>
      <c r="H211" s="623" t="s">
        <v>96</v>
      </c>
      <c r="I211" s="623">
        <v>11</v>
      </c>
      <c r="J211" s="623" t="s">
        <v>244</v>
      </c>
      <c r="K211" s="623" t="s">
        <v>130</v>
      </c>
      <c r="L211" s="623" t="s">
        <v>279</v>
      </c>
      <c r="M211" s="622">
        <v>59400000</v>
      </c>
      <c r="N211" s="622">
        <v>59400000</v>
      </c>
      <c r="O211" s="623" t="s">
        <v>75</v>
      </c>
      <c r="P211" s="623" t="s">
        <v>76</v>
      </c>
      <c r="Q211" s="623" t="s">
        <v>196</v>
      </c>
      <c r="S211" s="855" t="s">
        <v>783</v>
      </c>
      <c r="T211" s="855" t="s">
        <v>784</v>
      </c>
      <c r="U211" s="856">
        <v>43487</v>
      </c>
      <c r="V211" s="857" t="s">
        <v>781</v>
      </c>
      <c r="W211" s="858" t="s">
        <v>553</v>
      </c>
      <c r="X211" s="859">
        <v>59400000</v>
      </c>
      <c r="Y211" s="859">
        <v>0</v>
      </c>
      <c r="Z211" s="859">
        <v>59400000</v>
      </c>
      <c r="AA211" s="862" t="s">
        <v>736</v>
      </c>
      <c r="AB211" s="863">
        <v>7719</v>
      </c>
      <c r="AC211" s="862" t="s">
        <v>566</v>
      </c>
      <c r="AD211" s="856">
        <v>43487</v>
      </c>
      <c r="AE211" s="856">
        <v>43820</v>
      </c>
      <c r="AF211" s="863" t="s">
        <v>782</v>
      </c>
      <c r="AG211" s="864" t="s">
        <v>773</v>
      </c>
    </row>
    <row r="212" spans="1:33" ht="120" x14ac:dyDescent="0.35">
      <c r="A212" s="668">
        <f t="shared" si="5"/>
        <v>192</v>
      </c>
      <c r="B212" s="623"/>
      <c r="C212" s="623" t="s">
        <v>341</v>
      </c>
      <c r="D212" s="624">
        <v>80101706</v>
      </c>
      <c r="E212" s="625" t="s">
        <v>342</v>
      </c>
      <c r="F212" s="623" t="s">
        <v>70</v>
      </c>
      <c r="G212" s="623">
        <v>1</v>
      </c>
      <c r="H212" s="623" t="s">
        <v>96</v>
      </c>
      <c r="I212" s="623">
        <v>11</v>
      </c>
      <c r="J212" s="623" t="s">
        <v>244</v>
      </c>
      <c r="K212" s="623" t="s">
        <v>130</v>
      </c>
      <c r="L212" s="623" t="s">
        <v>279</v>
      </c>
      <c r="M212" s="622">
        <v>39644000</v>
      </c>
      <c r="N212" s="622">
        <v>39644000</v>
      </c>
      <c r="O212" s="623" t="s">
        <v>75</v>
      </c>
      <c r="P212" s="623" t="s">
        <v>76</v>
      </c>
      <c r="Q212" s="623" t="s">
        <v>196</v>
      </c>
      <c r="S212" s="855" t="s">
        <v>785</v>
      </c>
      <c r="T212" s="855" t="s">
        <v>786</v>
      </c>
      <c r="U212" s="856">
        <v>43488</v>
      </c>
      <c r="V212" s="857" t="s">
        <v>787</v>
      </c>
      <c r="W212" s="858" t="s">
        <v>553</v>
      </c>
      <c r="X212" s="859">
        <v>39644000</v>
      </c>
      <c r="Y212" s="860">
        <v>0</v>
      </c>
      <c r="Z212" s="859">
        <v>39644000</v>
      </c>
      <c r="AA212" s="857" t="s">
        <v>788</v>
      </c>
      <c r="AB212" s="858">
        <v>7219</v>
      </c>
      <c r="AC212" s="857" t="s">
        <v>577</v>
      </c>
      <c r="AD212" s="865">
        <v>43488</v>
      </c>
      <c r="AE212" s="865">
        <v>43821</v>
      </c>
      <c r="AF212" s="858" t="s">
        <v>782</v>
      </c>
      <c r="AG212" s="869" t="s">
        <v>773</v>
      </c>
    </row>
    <row r="213" spans="1:33" ht="131.25" x14ac:dyDescent="0.35">
      <c r="A213" s="668">
        <f t="shared" si="5"/>
        <v>193</v>
      </c>
      <c r="B213" s="623"/>
      <c r="C213" s="623" t="s">
        <v>341</v>
      </c>
      <c r="D213" s="624">
        <v>80101706</v>
      </c>
      <c r="E213" s="625" t="s">
        <v>342</v>
      </c>
      <c r="F213" s="623" t="s">
        <v>70</v>
      </c>
      <c r="G213" s="623">
        <v>1</v>
      </c>
      <c r="H213" s="623" t="s">
        <v>96</v>
      </c>
      <c r="I213" s="623">
        <v>11</v>
      </c>
      <c r="J213" s="623" t="s">
        <v>244</v>
      </c>
      <c r="K213" s="623" t="s">
        <v>130</v>
      </c>
      <c r="L213" s="623" t="s">
        <v>306</v>
      </c>
      <c r="M213" s="622">
        <v>38500000</v>
      </c>
      <c r="N213" s="622">
        <v>38500000</v>
      </c>
      <c r="O213" s="623" t="s">
        <v>75</v>
      </c>
      <c r="P213" s="623" t="s">
        <v>76</v>
      </c>
      <c r="Q213" s="623" t="s">
        <v>196</v>
      </c>
      <c r="S213" s="855" t="s">
        <v>789</v>
      </c>
      <c r="T213" s="855" t="s">
        <v>790</v>
      </c>
      <c r="U213" s="865">
        <v>43490</v>
      </c>
      <c r="V213" s="857" t="s">
        <v>791</v>
      </c>
      <c r="W213" s="858" t="s">
        <v>553</v>
      </c>
      <c r="X213" s="859">
        <v>38500000</v>
      </c>
      <c r="Y213" s="860">
        <v>0</v>
      </c>
      <c r="Z213" s="859">
        <v>38500000</v>
      </c>
      <c r="AA213" s="857" t="s">
        <v>792</v>
      </c>
      <c r="AB213" s="858">
        <v>10819</v>
      </c>
      <c r="AC213" s="857" t="s">
        <v>577</v>
      </c>
      <c r="AD213" s="865">
        <v>43490</v>
      </c>
      <c r="AE213" s="865">
        <v>43823</v>
      </c>
      <c r="AF213" s="858" t="s">
        <v>772</v>
      </c>
      <c r="AG213" s="869" t="s">
        <v>773</v>
      </c>
    </row>
    <row r="214" spans="1:33" ht="131.25" x14ac:dyDescent="0.35">
      <c r="A214" s="668">
        <f t="shared" si="5"/>
        <v>194</v>
      </c>
      <c r="B214" s="623"/>
      <c r="C214" s="623" t="s">
        <v>341</v>
      </c>
      <c r="D214" s="624">
        <v>80101706</v>
      </c>
      <c r="E214" s="625" t="s">
        <v>342</v>
      </c>
      <c r="F214" s="623" t="s">
        <v>70</v>
      </c>
      <c r="G214" s="623">
        <v>1</v>
      </c>
      <c r="H214" s="623" t="s">
        <v>96</v>
      </c>
      <c r="I214" s="623">
        <v>11</v>
      </c>
      <c r="J214" s="623" t="s">
        <v>244</v>
      </c>
      <c r="K214" s="623" t="s">
        <v>130</v>
      </c>
      <c r="L214" s="623" t="s">
        <v>306</v>
      </c>
      <c r="M214" s="622">
        <v>38500000</v>
      </c>
      <c r="N214" s="622">
        <v>38500000</v>
      </c>
      <c r="O214" s="623" t="s">
        <v>75</v>
      </c>
      <c r="P214" s="623" t="s">
        <v>76</v>
      </c>
      <c r="Q214" s="623" t="s">
        <v>196</v>
      </c>
      <c r="S214" s="855" t="s">
        <v>793</v>
      </c>
      <c r="T214" s="855" t="s">
        <v>794</v>
      </c>
      <c r="U214" s="865">
        <v>43490</v>
      </c>
      <c r="V214" s="857" t="s">
        <v>795</v>
      </c>
      <c r="W214" s="858" t="s">
        <v>553</v>
      </c>
      <c r="X214" s="859">
        <v>38500000</v>
      </c>
      <c r="Y214" s="860">
        <v>0</v>
      </c>
      <c r="Z214" s="859">
        <v>38500000</v>
      </c>
      <c r="AA214" s="862" t="s">
        <v>796</v>
      </c>
      <c r="AB214" s="863">
        <v>10719</v>
      </c>
      <c r="AC214" s="862" t="s">
        <v>577</v>
      </c>
      <c r="AD214" s="856">
        <v>43490</v>
      </c>
      <c r="AE214" s="856">
        <v>43823</v>
      </c>
      <c r="AF214" s="863" t="s">
        <v>772</v>
      </c>
      <c r="AG214" s="864" t="s">
        <v>773</v>
      </c>
    </row>
    <row r="215" spans="1:33" ht="120" x14ac:dyDescent="0.35">
      <c r="A215" s="668">
        <f t="shared" si="5"/>
        <v>195</v>
      </c>
      <c r="B215" s="623"/>
      <c r="C215" s="623" t="s">
        <v>341</v>
      </c>
      <c r="D215" s="624">
        <v>80101706</v>
      </c>
      <c r="E215" s="625" t="s">
        <v>342</v>
      </c>
      <c r="F215" s="623" t="s">
        <v>70</v>
      </c>
      <c r="G215" s="623">
        <v>1</v>
      </c>
      <c r="H215" s="623" t="s">
        <v>96</v>
      </c>
      <c r="I215" s="623">
        <v>11</v>
      </c>
      <c r="J215" s="623" t="s">
        <v>244</v>
      </c>
      <c r="K215" s="623" t="s">
        <v>130</v>
      </c>
      <c r="L215" s="623" t="s">
        <v>306</v>
      </c>
      <c r="M215" s="622">
        <v>44000000</v>
      </c>
      <c r="N215" s="622">
        <v>44000000</v>
      </c>
      <c r="O215" s="623" t="s">
        <v>75</v>
      </c>
      <c r="P215" s="623" t="s">
        <v>76</v>
      </c>
      <c r="Q215" s="623" t="s">
        <v>196</v>
      </c>
      <c r="S215" s="855" t="s">
        <v>797</v>
      </c>
      <c r="T215" s="855" t="s">
        <v>798</v>
      </c>
      <c r="U215" s="865">
        <v>43490</v>
      </c>
      <c r="V215" s="857" t="s">
        <v>799</v>
      </c>
      <c r="W215" s="858" t="s">
        <v>553</v>
      </c>
      <c r="X215" s="859">
        <v>44000000</v>
      </c>
      <c r="Y215" s="860">
        <v>0</v>
      </c>
      <c r="Z215" s="859">
        <v>44000000</v>
      </c>
      <c r="AA215" s="862" t="s">
        <v>800</v>
      </c>
      <c r="AB215" s="863">
        <v>10619</v>
      </c>
      <c r="AC215" s="862" t="s">
        <v>577</v>
      </c>
      <c r="AD215" s="856">
        <v>43490</v>
      </c>
      <c r="AE215" s="856">
        <v>43823</v>
      </c>
      <c r="AF215" s="863" t="s">
        <v>782</v>
      </c>
      <c r="AG215" s="864" t="s">
        <v>773</v>
      </c>
    </row>
    <row r="216" spans="1:33" ht="120" x14ac:dyDescent="0.35">
      <c r="A216" s="668">
        <f t="shared" si="5"/>
        <v>196</v>
      </c>
      <c r="B216" s="623"/>
      <c r="C216" s="623" t="s">
        <v>341</v>
      </c>
      <c r="D216" s="624">
        <v>80101706</v>
      </c>
      <c r="E216" s="625" t="s">
        <v>343</v>
      </c>
      <c r="F216" s="623" t="s">
        <v>70</v>
      </c>
      <c r="G216" s="623">
        <v>1</v>
      </c>
      <c r="H216" s="623" t="s">
        <v>71</v>
      </c>
      <c r="I216" s="623">
        <v>10</v>
      </c>
      <c r="J216" s="623" t="s">
        <v>244</v>
      </c>
      <c r="K216" s="623" t="s">
        <v>130</v>
      </c>
      <c r="L216" s="623" t="s">
        <v>306</v>
      </c>
      <c r="M216" s="622">
        <v>19500000</v>
      </c>
      <c r="N216" s="622">
        <v>19500000</v>
      </c>
      <c r="O216" s="623" t="s">
        <v>75</v>
      </c>
      <c r="P216" s="623" t="s">
        <v>76</v>
      </c>
      <c r="Q216" s="623" t="s">
        <v>196</v>
      </c>
      <c r="S216" s="855" t="s">
        <v>1156</v>
      </c>
      <c r="T216" s="855" t="s">
        <v>1157</v>
      </c>
      <c r="U216" s="856">
        <v>43511</v>
      </c>
      <c r="V216" s="857" t="s">
        <v>1158</v>
      </c>
      <c r="W216" s="858" t="s">
        <v>575</v>
      </c>
      <c r="X216" s="859">
        <v>19500000</v>
      </c>
      <c r="Y216" s="860">
        <v>0</v>
      </c>
      <c r="Z216" s="859">
        <v>19500000</v>
      </c>
      <c r="AA216" s="857" t="s">
        <v>1159</v>
      </c>
      <c r="AB216" s="858">
        <v>12719</v>
      </c>
      <c r="AC216" s="862" t="s">
        <v>1009</v>
      </c>
      <c r="AD216" s="856">
        <v>43511</v>
      </c>
      <c r="AE216" s="856">
        <v>43813</v>
      </c>
      <c r="AF216" s="863" t="s">
        <v>1160</v>
      </c>
      <c r="AG216" s="864" t="s">
        <v>773</v>
      </c>
    </row>
    <row r="217" spans="1:33" ht="120" x14ac:dyDescent="0.35">
      <c r="A217" s="668">
        <f t="shared" si="5"/>
        <v>197</v>
      </c>
      <c r="B217" s="623"/>
      <c r="C217" s="623" t="s">
        <v>198</v>
      </c>
      <c r="D217" s="624">
        <v>80101706</v>
      </c>
      <c r="E217" s="625" t="s">
        <v>344</v>
      </c>
      <c r="F217" s="623" t="s">
        <v>70</v>
      </c>
      <c r="G217" s="623">
        <v>1</v>
      </c>
      <c r="H217" s="623" t="s">
        <v>96</v>
      </c>
      <c r="I217" s="623">
        <v>11</v>
      </c>
      <c r="J217" s="623" t="s">
        <v>244</v>
      </c>
      <c r="K217" s="623" t="s">
        <v>130</v>
      </c>
      <c r="L217" s="623" t="s">
        <v>306</v>
      </c>
      <c r="M217" s="622">
        <v>59400000</v>
      </c>
      <c r="N217" s="622">
        <v>59400000</v>
      </c>
      <c r="O217" s="623" t="s">
        <v>75</v>
      </c>
      <c r="P217" s="623" t="s">
        <v>76</v>
      </c>
      <c r="Q217" s="623" t="s">
        <v>201</v>
      </c>
      <c r="S217" s="855" t="s">
        <v>801</v>
      </c>
      <c r="T217" s="855" t="s">
        <v>802</v>
      </c>
      <c r="U217" s="865">
        <v>43490</v>
      </c>
      <c r="V217" s="857" t="s">
        <v>803</v>
      </c>
      <c r="W217" s="858" t="s">
        <v>553</v>
      </c>
      <c r="X217" s="859">
        <v>59400000</v>
      </c>
      <c r="Y217" s="860">
        <v>0</v>
      </c>
      <c r="Z217" s="859">
        <v>59400000</v>
      </c>
      <c r="AA217" s="862" t="s">
        <v>804</v>
      </c>
      <c r="AB217" s="863">
        <v>11819</v>
      </c>
      <c r="AC217" s="862" t="s">
        <v>577</v>
      </c>
      <c r="AD217" s="856">
        <v>43490</v>
      </c>
      <c r="AE217" s="856">
        <v>43823</v>
      </c>
      <c r="AF217" s="863" t="s">
        <v>805</v>
      </c>
      <c r="AG217" s="864" t="s">
        <v>806</v>
      </c>
    </row>
    <row r="218" spans="1:33" ht="150" x14ac:dyDescent="0.35">
      <c r="A218" s="668">
        <f t="shared" si="5"/>
        <v>198</v>
      </c>
      <c r="B218" s="623"/>
      <c r="C218" s="623" t="s">
        <v>115</v>
      </c>
      <c r="D218" s="624">
        <v>80101706</v>
      </c>
      <c r="E218" s="625" t="s">
        <v>345</v>
      </c>
      <c r="F218" s="623" t="s">
        <v>70</v>
      </c>
      <c r="G218" s="623">
        <v>1</v>
      </c>
      <c r="H218" s="623" t="s">
        <v>96</v>
      </c>
      <c r="I218" s="623">
        <v>10.5</v>
      </c>
      <c r="J218" s="623" t="s">
        <v>244</v>
      </c>
      <c r="K218" s="623" t="s">
        <v>130</v>
      </c>
      <c r="L218" s="623" t="s">
        <v>306</v>
      </c>
      <c r="M218" s="622">
        <v>69300000</v>
      </c>
      <c r="N218" s="622">
        <v>69300000</v>
      </c>
      <c r="O218" s="623" t="s">
        <v>75</v>
      </c>
      <c r="P218" s="623" t="s">
        <v>76</v>
      </c>
      <c r="Q218" s="623" t="s">
        <v>118</v>
      </c>
      <c r="S218" s="855" t="s">
        <v>1044</v>
      </c>
      <c r="T218" s="855" t="s">
        <v>1045</v>
      </c>
      <c r="U218" s="865">
        <v>43497</v>
      </c>
      <c r="V218" s="857" t="s">
        <v>1046</v>
      </c>
      <c r="W218" s="858" t="s">
        <v>553</v>
      </c>
      <c r="X218" s="859">
        <v>69300000</v>
      </c>
      <c r="Y218" s="860">
        <v>0</v>
      </c>
      <c r="Z218" s="859">
        <v>69300000</v>
      </c>
      <c r="AA218" s="857" t="s">
        <v>1047</v>
      </c>
      <c r="AB218" s="863">
        <v>15319</v>
      </c>
      <c r="AC218" s="862" t="s">
        <v>811</v>
      </c>
      <c r="AD218" s="856">
        <v>43497</v>
      </c>
      <c r="AE218" s="856">
        <v>43814</v>
      </c>
      <c r="AF218" s="863" t="s">
        <v>1048</v>
      </c>
      <c r="AG218" s="864" t="s">
        <v>813</v>
      </c>
    </row>
    <row r="219" spans="1:33" ht="187.5" x14ac:dyDescent="0.35">
      <c r="A219" s="668">
        <f t="shared" si="5"/>
        <v>199</v>
      </c>
      <c r="B219" s="623"/>
      <c r="C219" s="623" t="s">
        <v>115</v>
      </c>
      <c r="D219" s="624">
        <v>80101706</v>
      </c>
      <c r="E219" s="625" t="s">
        <v>345</v>
      </c>
      <c r="F219" s="623" t="s">
        <v>70</v>
      </c>
      <c r="G219" s="623">
        <v>1</v>
      </c>
      <c r="H219" s="623" t="s">
        <v>96</v>
      </c>
      <c r="I219" s="623">
        <v>11</v>
      </c>
      <c r="J219" s="623" t="s">
        <v>244</v>
      </c>
      <c r="K219" s="623" t="s">
        <v>130</v>
      </c>
      <c r="L219" s="623" t="s">
        <v>306</v>
      </c>
      <c r="M219" s="622">
        <v>72600000</v>
      </c>
      <c r="N219" s="622">
        <v>72600000</v>
      </c>
      <c r="O219" s="623" t="s">
        <v>75</v>
      </c>
      <c r="P219" s="623" t="s">
        <v>76</v>
      </c>
      <c r="Q219" s="623" t="s">
        <v>118</v>
      </c>
      <c r="S219" s="855" t="s">
        <v>807</v>
      </c>
      <c r="T219" s="855" t="s">
        <v>808</v>
      </c>
      <c r="U219" s="865">
        <v>43495</v>
      </c>
      <c r="V219" s="857" t="s">
        <v>809</v>
      </c>
      <c r="W219" s="858" t="s">
        <v>553</v>
      </c>
      <c r="X219" s="859">
        <v>69300000</v>
      </c>
      <c r="Y219" s="860">
        <v>0</v>
      </c>
      <c r="Z219" s="859">
        <v>69300000</v>
      </c>
      <c r="AA219" s="862" t="s">
        <v>810</v>
      </c>
      <c r="AB219" s="863">
        <v>13319</v>
      </c>
      <c r="AC219" s="862" t="s">
        <v>811</v>
      </c>
      <c r="AD219" s="856">
        <v>43495</v>
      </c>
      <c r="AE219" s="856">
        <v>43812</v>
      </c>
      <c r="AF219" s="863" t="s">
        <v>812</v>
      </c>
      <c r="AG219" s="864" t="s">
        <v>813</v>
      </c>
    </row>
    <row r="220" spans="1:33" ht="120" x14ac:dyDescent="0.35">
      <c r="A220" s="668">
        <f t="shared" si="5"/>
        <v>200</v>
      </c>
      <c r="B220" s="623"/>
      <c r="C220" s="623" t="s">
        <v>115</v>
      </c>
      <c r="D220" s="624">
        <v>80101706</v>
      </c>
      <c r="E220" s="625" t="s">
        <v>345</v>
      </c>
      <c r="F220" s="623" t="s">
        <v>70</v>
      </c>
      <c r="G220" s="623">
        <v>1</v>
      </c>
      <c r="H220" s="623" t="s">
        <v>84</v>
      </c>
      <c r="I220" s="623">
        <v>9</v>
      </c>
      <c r="J220" s="623" t="s">
        <v>244</v>
      </c>
      <c r="K220" s="623" t="s">
        <v>130</v>
      </c>
      <c r="L220" s="623" t="s">
        <v>528</v>
      </c>
      <c r="M220" s="622">
        <v>82800000</v>
      </c>
      <c r="N220" s="622">
        <v>82800000</v>
      </c>
      <c r="O220" s="623" t="s">
        <v>75</v>
      </c>
      <c r="P220" s="623" t="s">
        <v>76</v>
      </c>
      <c r="Q220" s="623" t="s">
        <v>118</v>
      </c>
      <c r="S220" s="866" t="s">
        <v>1219</v>
      </c>
      <c r="T220" s="866" t="s">
        <v>1220</v>
      </c>
      <c r="U220" s="856">
        <v>43542</v>
      </c>
      <c r="V220" s="862" t="s">
        <v>1221</v>
      </c>
      <c r="W220" s="863" t="s">
        <v>553</v>
      </c>
      <c r="X220" s="867">
        <v>82800000</v>
      </c>
      <c r="Y220" s="868">
        <v>0</v>
      </c>
      <c r="Z220" s="867">
        <v>82800000</v>
      </c>
      <c r="AA220" s="862" t="s">
        <v>1222</v>
      </c>
      <c r="AB220" s="863">
        <v>17919</v>
      </c>
      <c r="AC220" s="862" t="s">
        <v>1223</v>
      </c>
      <c r="AD220" s="856">
        <v>43543</v>
      </c>
      <c r="AE220" s="856">
        <v>43817</v>
      </c>
      <c r="AF220" s="863" t="s">
        <v>778</v>
      </c>
      <c r="AG220" s="864" t="s">
        <v>773</v>
      </c>
    </row>
    <row r="221" spans="1:33" ht="120" x14ac:dyDescent="0.35">
      <c r="A221" s="668">
        <f t="shared" si="5"/>
        <v>201</v>
      </c>
      <c r="B221" s="623"/>
      <c r="C221" s="623" t="s">
        <v>115</v>
      </c>
      <c r="D221" s="624">
        <v>80101706</v>
      </c>
      <c r="E221" s="625" t="s">
        <v>345</v>
      </c>
      <c r="F221" s="623" t="s">
        <v>70</v>
      </c>
      <c r="G221" s="623">
        <v>1</v>
      </c>
      <c r="H221" s="623" t="s">
        <v>96</v>
      </c>
      <c r="I221" s="623">
        <v>11</v>
      </c>
      <c r="J221" s="623" t="s">
        <v>244</v>
      </c>
      <c r="K221" s="623" t="s">
        <v>130</v>
      </c>
      <c r="L221" s="623" t="s">
        <v>185</v>
      </c>
      <c r="M221" s="622">
        <v>49500000</v>
      </c>
      <c r="N221" s="622">
        <v>49500000</v>
      </c>
      <c r="O221" s="623" t="s">
        <v>75</v>
      </c>
      <c r="P221" s="623" t="s">
        <v>76</v>
      </c>
      <c r="Q221" s="623" t="s">
        <v>118</v>
      </c>
      <c r="S221" s="855" t="s">
        <v>814</v>
      </c>
      <c r="T221" s="855" t="s">
        <v>815</v>
      </c>
      <c r="U221" s="856">
        <v>43487</v>
      </c>
      <c r="V221" s="857" t="s">
        <v>816</v>
      </c>
      <c r="W221" s="858" t="s">
        <v>553</v>
      </c>
      <c r="X221" s="859">
        <v>49500000</v>
      </c>
      <c r="Y221" s="860">
        <v>0</v>
      </c>
      <c r="Z221" s="859">
        <v>49500000</v>
      </c>
      <c r="AA221" s="857" t="s">
        <v>817</v>
      </c>
      <c r="AB221" s="858">
        <v>6019</v>
      </c>
      <c r="AC221" s="857" t="s">
        <v>566</v>
      </c>
      <c r="AD221" s="865">
        <v>43487</v>
      </c>
      <c r="AE221" s="865">
        <v>43820</v>
      </c>
      <c r="AF221" s="858" t="s">
        <v>818</v>
      </c>
      <c r="AG221" s="869" t="s">
        <v>813</v>
      </c>
    </row>
    <row r="222" spans="1:33" ht="150" x14ac:dyDescent="0.35">
      <c r="A222" s="668">
        <f t="shared" si="5"/>
        <v>202</v>
      </c>
      <c r="B222" s="623"/>
      <c r="C222" s="623" t="s">
        <v>115</v>
      </c>
      <c r="D222" s="624">
        <v>80101706</v>
      </c>
      <c r="E222" s="625" t="s">
        <v>345</v>
      </c>
      <c r="F222" s="623" t="s">
        <v>70</v>
      </c>
      <c r="G222" s="623">
        <v>1</v>
      </c>
      <c r="H222" s="623" t="s">
        <v>96</v>
      </c>
      <c r="I222" s="623">
        <v>11</v>
      </c>
      <c r="J222" s="623" t="s">
        <v>244</v>
      </c>
      <c r="K222" s="623" t="s">
        <v>130</v>
      </c>
      <c r="L222" s="623" t="s">
        <v>185</v>
      </c>
      <c r="M222" s="622">
        <v>51750000</v>
      </c>
      <c r="N222" s="622">
        <v>51750000</v>
      </c>
      <c r="O222" s="623" t="s">
        <v>75</v>
      </c>
      <c r="P222" s="623" t="s">
        <v>76</v>
      </c>
      <c r="Q222" s="623" t="s">
        <v>118</v>
      </c>
      <c r="S222" s="855" t="s">
        <v>1049</v>
      </c>
      <c r="T222" s="855" t="s">
        <v>1050</v>
      </c>
      <c r="U222" s="865">
        <v>43497</v>
      </c>
      <c r="V222" s="857" t="s">
        <v>1051</v>
      </c>
      <c r="W222" s="858" t="s">
        <v>553</v>
      </c>
      <c r="X222" s="859">
        <v>47250000</v>
      </c>
      <c r="Y222" s="860">
        <v>0</v>
      </c>
      <c r="Z222" s="859">
        <v>47250000</v>
      </c>
      <c r="AA222" s="857" t="s">
        <v>1052</v>
      </c>
      <c r="AB222" s="858">
        <v>15519</v>
      </c>
      <c r="AC222" s="862" t="s">
        <v>811</v>
      </c>
      <c r="AD222" s="856">
        <v>43497</v>
      </c>
      <c r="AE222" s="856">
        <v>43814</v>
      </c>
      <c r="AF222" s="863" t="s">
        <v>818</v>
      </c>
      <c r="AG222" s="864" t="s">
        <v>813</v>
      </c>
    </row>
    <row r="223" spans="1:33" ht="131.25" x14ac:dyDescent="0.35">
      <c r="A223" s="668">
        <f t="shared" si="5"/>
        <v>203</v>
      </c>
      <c r="B223" s="623"/>
      <c r="C223" s="623" t="s">
        <v>115</v>
      </c>
      <c r="D223" s="624">
        <v>80101706</v>
      </c>
      <c r="E223" s="625" t="s">
        <v>345</v>
      </c>
      <c r="F223" s="623" t="s">
        <v>70</v>
      </c>
      <c r="G223" s="623">
        <v>1</v>
      </c>
      <c r="H223" s="623" t="s">
        <v>96</v>
      </c>
      <c r="I223" s="623">
        <v>11.2</v>
      </c>
      <c r="J223" s="623" t="s">
        <v>244</v>
      </c>
      <c r="K223" s="623" t="s">
        <v>130</v>
      </c>
      <c r="L223" s="623" t="s">
        <v>185</v>
      </c>
      <c r="M223" s="622">
        <v>80640000</v>
      </c>
      <c r="N223" s="622">
        <v>80640000</v>
      </c>
      <c r="O223" s="623" t="s">
        <v>75</v>
      </c>
      <c r="P223" s="623" t="s">
        <v>76</v>
      </c>
      <c r="Q223" s="623" t="s">
        <v>118</v>
      </c>
      <c r="S223" s="855" t="s">
        <v>819</v>
      </c>
      <c r="T223" s="855" t="s">
        <v>820</v>
      </c>
      <c r="U223" s="865">
        <v>43483</v>
      </c>
      <c r="V223" s="857" t="s">
        <v>821</v>
      </c>
      <c r="W223" s="858" t="s">
        <v>553</v>
      </c>
      <c r="X223" s="859">
        <v>80640000</v>
      </c>
      <c r="Y223" s="860">
        <v>0</v>
      </c>
      <c r="Z223" s="859">
        <v>80640000</v>
      </c>
      <c r="AA223" s="862" t="s">
        <v>822</v>
      </c>
      <c r="AB223" s="863">
        <v>4019</v>
      </c>
      <c r="AC223" s="862" t="s">
        <v>823</v>
      </c>
      <c r="AD223" s="856">
        <v>43483</v>
      </c>
      <c r="AE223" s="856">
        <v>43819</v>
      </c>
      <c r="AF223" s="863" t="s">
        <v>824</v>
      </c>
      <c r="AG223" s="864" t="s">
        <v>813</v>
      </c>
    </row>
    <row r="224" spans="1:33" ht="131.25" x14ac:dyDescent="0.35">
      <c r="A224" s="668">
        <f t="shared" si="5"/>
        <v>204</v>
      </c>
      <c r="B224" s="623"/>
      <c r="C224" s="623" t="s">
        <v>115</v>
      </c>
      <c r="D224" s="624">
        <v>80101706</v>
      </c>
      <c r="E224" s="625" t="s">
        <v>345</v>
      </c>
      <c r="F224" s="623" t="s">
        <v>70</v>
      </c>
      <c r="G224" s="623">
        <v>1</v>
      </c>
      <c r="H224" s="623" t="s">
        <v>96</v>
      </c>
      <c r="I224" s="623">
        <v>11</v>
      </c>
      <c r="J224" s="623" t="s">
        <v>244</v>
      </c>
      <c r="K224" s="623" t="s">
        <v>130</v>
      </c>
      <c r="L224" s="623" t="s">
        <v>185</v>
      </c>
      <c r="M224" s="622">
        <v>72600000</v>
      </c>
      <c r="N224" s="622">
        <v>72600000</v>
      </c>
      <c r="O224" s="623" t="s">
        <v>75</v>
      </c>
      <c r="P224" s="623" t="s">
        <v>76</v>
      </c>
      <c r="Q224" s="623" t="s">
        <v>118</v>
      </c>
      <c r="S224" s="855" t="s">
        <v>825</v>
      </c>
      <c r="T224" s="855" t="s">
        <v>826</v>
      </c>
      <c r="U224" s="856">
        <v>43488</v>
      </c>
      <c r="V224" s="857" t="s">
        <v>827</v>
      </c>
      <c r="W224" s="858" t="s">
        <v>553</v>
      </c>
      <c r="X224" s="859">
        <v>72600000</v>
      </c>
      <c r="Y224" s="860">
        <v>0</v>
      </c>
      <c r="Z224" s="859">
        <v>72600000</v>
      </c>
      <c r="AA224" s="857" t="s">
        <v>828</v>
      </c>
      <c r="AB224" s="858">
        <v>8219</v>
      </c>
      <c r="AC224" s="857" t="s">
        <v>577</v>
      </c>
      <c r="AD224" s="865">
        <v>43488</v>
      </c>
      <c r="AE224" s="865">
        <v>43821</v>
      </c>
      <c r="AF224" s="858" t="s">
        <v>829</v>
      </c>
      <c r="AG224" s="869" t="s">
        <v>813</v>
      </c>
    </row>
    <row r="225" spans="1:33" ht="120" x14ac:dyDescent="0.35">
      <c r="A225" s="668">
        <f t="shared" si="5"/>
        <v>205</v>
      </c>
      <c r="B225" s="623" t="s">
        <v>1182</v>
      </c>
      <c r="C225" s="623" t="s">
        <v>115</v>
      </c>
      <c r="D225" s="624">
        <v>80101706</v>
      </c>
      <c r="E225" s="625" t="s">
        <v>345</v>
      </c>
      <c r="F225" s="623" t="s">
        <v>70</v>
      </c>
      <c r="G225" s="623">
        <v>1</v>
      </c>
      <c r="H225" s="623" t="s">
        <v>108</v>
      </c>
      <c r="I225" s="623">
        <v>7</v>
      </c>
      <c r="J225" s="623" t="s">
        <v>244</v>
      </c>
      <c r="K225" s="623" t="s">
        <v>130</v>
      </c>
      <c r="L225" s="623" t="s">
        <v>528</v>
      </c>
      <c r="M225" s="622">
        <v>36000000</v>
      </c>
      <c r="N225" s="622">
        <v>36000000</v>
      </c>
      <c r="O225" s="623" t="s">
        <v>75</v>
      </c>
      <c r="P225" s="623" t="s">
        <v>76</v>
      </c>
      <c r="Q225" s="623" t="s">
        <v>118</v>
      </c>
      <c r="S225" s="667"/>
      <c r="T225" s="667"/>
      <c r="U225" s="667"/>
      <c r="V225" s="667"/>
      <c r="W225" s="667"/>
      <c r="X225" s="667"/>
      <c r="Y225" s="667"/>
      <c r="Z225" s="667"/>
      <c r="AA225" s="667"/>
      <c r="AB225" s="667"/>
      <c r="AC225" s="667"/>
      <c r="AD225" s="667"/>
      <c r="AE225" s="667"/>
      <c r="AF225" s="667"/>
      <c r="AG225" s="667"/>
    </row>
    <row r="226" spans="1:33" ht="120" x14ac:dyDescent="0.35">
      <c r="A226" s="668">
        <f t="shared" si="5"/>
        <v>206</v>
      </c>
      <c r="B226" s="623" t="s">
        <v>1183</v>
      </c>
      <c r="C226" s="623" t="s">
        <v>115</v>
      </c>
      <c r="D226" s="624">
        <v>80101706</v>
      </c>
      <c r="E226" s="625" t="s">
        <v>345</v>
      </c>
      <c r="F226" s="623" t="s">
        <v>70</v>
      </c>
      <c r="G226" s="623">
        <v>1</v>
      </c>
      <c r="H226" s="623" t="s">
        <v>84</v>
      </c>
      <c r="I226" s="623">
        <v>11</v>
      </c>
      <c r="J226" s="623" t="s">
        <v>244</v>
      </c>
      <c r="K226" s="623" t="s">
        <v>130</v>
      </c>
      <c r="L226" s="623" t="s">
        <v>528</v>
      </c>
      <c r="M226" s="622">
        <v>84150000</v>
      </c>
      <c r="N226" s="622">
        <v>84150000</v>
      </c>
      <c r="O226" s="623" t="s">
        <v>75</v>
      </c>
      <c r="P226" s="623" t="s">
        <v>76</v>
      </c>
      <c r="Q226" s="623" t="s">
        <v>118</v>
      </c>
      <c r="S226" s="855" t="s">
        <v>1232</v>
      </c>
      <c r="T226" s="855" t="s">
        <v>1233</v>
      </c>
      <c r="U226" s="865">
        <v>43553</v>
      </c>
      <c r="V226" s="857" t="s">
        <v>1234</v>
      </c>
      <c r="W226" s="858" t="s">
        <v>553</v>
      </c>
      <c r="X226" s="859">
        <v>65025000</v>
      </c>
      <c r="Y226" s="860">
        <v>0</v>
      </c>
      <c r="Z226" s="859">
        <v>65025000</v>
      </c>
      <c r="AA226" s="857" t="s">
        <v>1235</v>
      </c>
      <c r="AB226" s="858" t="s">
        <v>1236</v>
      </c>
      <c r="AC226" s="857" t="s">
        <v>1237</v>
      </c>
      <c r="AD226" s="865">
        <v>43553</v>
      </c>
      <c r="AE226" s="865">
        <v>43812</v>
      </c>
      <c r="AF226" s="858" t="s">
        <v>824</v>
      </c>
      <c r="AG226" s="869" t="s">
        <v>813</v>
      </c>
    </row>
    <row r="227" spans="1:33" ht="120" x14ac:dyDescent="0.35">
      <c r="A227" s="668">
        <f t="shared" si="5"/>
        <v>207</v>
      </c>
      <c r="B227" s="623"/>
      <c r="C227" s="623" t="s">
        <v>115</v>
      </c>
      <c r="D227" s="624">
        <v>80101706</v>
      </c>
      <c r="E227" s="625" t="s">
        <v>345</v>
      </c>
      <c r="F227" s="623" t="s">
        <v>70</v>
      </c>
      <c r="G227" s="623">
        <v>1</v>
      </c>
      <c r="H227" s="623" t="s">
        <v>96</v>
      </c>
      <c r="I227" s="623">
        <v>11</v>
      </c>
      <c r="J227" s="623" t="s">
        <v>244</v>
      </c>
      <c r="K227" s="623" t="s">
        <v>130</v>
      </c>
      <c r="L227" s="623" t="s">
        <v>528</v>
      </c>
      <c r="M227" s="622">
        <v>72600000</v>
      </c>
      <c r="N227" s="622">
        <v>72600000</v>
      </c>
      <c r="O227" s="623" t="s">
        <v>75</v>
      </c>
      <c r="P227" s="623" t="s">
        <v>76</v>
      </c>
      <c r="Q227" s="623" t="s">
        <v>118</v>
      </c>
      <c r="S227" s="855" t="s">
        <v>1053</v>
      </c>
      <c r="T227" s="855" t="s">
        <v>1054</v>
      </c>
      <c r="U227" s="865">
        <v>43500</v>
      </c>
      <c r="V227" s="857" t="s">
        <v>1055</v>
      </c>
      <c r="W227" s="858" t="s">
        <v>553</v>
      </c>
      <c r="X227" s="859">
        <v>69300000</v>
      </c>
      <c r="Y227" s="860">
        <v>0</v>
      </c>
      <c r="Z227" s="859">
        <v>69300000</v>
      </c>
      <c r="AA227" s="857" t="s">
        <v>1056</v>
      </c>
      <c r="AB227" s="858">
        <v>12619</v>
      </c>
      <c r="AC227" s="862" t="s">
        <v>811</v>
      </c>
      <c r="AD227" s="856">
        <v>43500</v>
      </c>
      <c r="AE227" s="856">
        <v>43817</v>
      </c>
      <c r="AF227" s="863" t="s">
        <v>1048</v>
      </c>
      <c r="AG227" s="864" t="s">
        <v>813</v>
      </c>
    </row>
    <row r="228" spans="1:33" s="667" customFormat="1" ht="150.6" customHeight="1" x14ac:dyDescent="0.35">
      <c r="A228" s="837">
        <f t="shared" si="5"/>
        <v>208</v>
      </c>
      <c r="B228" s="623" t="s">
        <v>911</v>
      </c>
      <c r="C228" s="623" t="s">
        <v>115</v>
      </c>
      <c r="D228" s="624">
        <v>80101706</v>
      </c>
      <c r="E228" s="625" t="s">
        <v>345</v>
      </c>
      <c r="F228" s="623" t="s">
        <v>70</v>
      </c>
      <c r="G228" s="623">
        <v>1</v>
      </c>
      <c r="H228" s="623" t="s">
        <v>96</v>
      </c>
      <c r="I228" s="623">
        <v>7</v>
      </c>
      <c r="J228" s="623" t="s">
        <v>244</v>
      </c>
      <c r="K228" s="623" t="s">
        <v>130</v>
      </c>
      <c r="L228" s="623" t="s">
        <v>279</v>
      </c>
      <c r="M228" s="622">
        <v>69000000</v>
      </c>
      <c r="N228" s="622">
        <v>69000000</v>
      </c>
      <c r="O228" s="623" t="s">
        <v>75</v>
      </c>
      <c r="P228" s="623" t="s">
        <v>76</v>
      </c>
      <c r="Q228" s="623" t="s">
        <v>118</v>
      </c>
      <c r="R228" s="639"/>
      <c r="S228" s="855" t="s">
        <v>1161</v>
      </c>
      <c r="T228" s="866" t="s">
        <v>1162</v>
      </c>
      <c r="U228" s="856">
        <v>43514</v>
      </c>
      <c r="V228" s="862" t="s">
        <v>1163</v>
      </c>
      <c r="W228" s="863" t="s">
        <v>553</v>
      </c>
      <c r="X228" s="859">
        <v>69000000</v>
      </c>
      <c r="Y228" s="868">
        <v>0</v>
      </c>
      <c r="Z228" s="859">
        <v>69000000</v>
      </c>
      <c r="AA228" s="862" t="s">
        <v>1164</v>
      </c>
      <c r="AB228" s="863" t="s">
        <v>1165</v>
      </c>
      <c r="AC228" s="862" t="s">
        <v>838</v>
      </c>
      <c r="AD228" s="856">
        <v>43514</v>
      </c>
      <c r="AE228" s="856">
        <v>43725</v>
      </c>
      <c r="AF228" s="863" t="s">
        <v>824</v>
      </c>
      <c r="AG228" s="864" t="s">
        <v>813</v>
      </c>
    </row>
    <row r="229" spans="1:33" s="667" customFormat="1" ht="159.94999999999999" customHeight="1" x14ac:dyDescent="0.35">
      <c r="A229" s="839"/>
      <c r="B229" s="623" t="s">
        <v>911</v>
      </c>
      <c r="C229" s="623" t="s">
        <v>115</v>
      </c>
      <c r="D229" s="624">
        <v>80101706</v>
      </c>
      <c r="E229" s="625" t="s">
        <v>345</v>
      </c>
      <c r="F229" s="623" t="s">
        <v>70</v>
      </c>
      <c r="G229" s="623">
        <v>1</v>
      </c>
      <c r="H229" s="623" t="s">
        <v>96</v>
      </c>
      <c r="I229" s="623">
        <v>7</v>
      </c>
      <c r="J229" s="623" t="s">
        <v>244</v>
      </c>
      <c r="K229" s="623" t="s">
        <v>130</v>
      </c>
      <c r="L229" s="623" t="s">
        <v>306</v>
      </c>
      <c r="M229" s="622">
        <v>11500000</v>
      </c>
      <c r="N229" s="622">
        <v>11500000</v>
      </c>
      <c r="O229" s="623" t="s">
        <v>75</v>
      </c>
      <c r="P229" s="623" t="s">
        <v>76</v>
      </c>
      <c r="Q229" s="623" t="s">
        <v>118</v>
      </c>
      <c r="R229" s="639"/>
      <c r="S229" s="855" t="s">
        <v>1161</v>
      </c>
      <c r="T229" s="866" t="s">
        <v>1162</v>
      </c>
      <c r="U229" s="856">
        <v>43514</v>
      </c>
      <c r="V229" s="862" t="s">
        <v>1163</v>
      </c>
      <c r="W229" s="863" t="s">
        <v>553</v>
      </c>
      <c r="X229" s="859">
        <v>11500000</v>
      </c>
      <c r="Y229" s="868">
        <v>0</v>
      </c>
      <c r="Z229" s="859">
        <v>11500000</v>
      </c>
      <c r="AA229" s="862" t="s">
        <v>1164</v>
      </c>
      <c r="AB229" s="863" t="s">
        <v>1165</v>
      </c>
      <c r="AC229" s="862" t="s">
        <v>838</v>
      </c>
      <c r="AD229" s="856">
        <v>43514</v>
      </c>
      <c r="AE229" s="856">
        <v>43725</v>
      </c>
      <c r="AF229" s="863" t="s">
        <v>824</v>
      </c>
      <c r="AG229" s="864" t="s">
        <v>813</v>
      </c>
    </row>
    <row r="230" spans="1:33" ht="168.75" x14ac:dyDescent="0.35">
      <c r="A230" s="668">
        <f>+A228+1</f>
        <v>209</v>
      </c>
      <c r="B230" s="623"/>
      <c r="C230" s="623" t="s">
        <v>115</v>
      </c>
      <c r="D230" s="624">
        <v>80101706</v>
      </c>
      <c r="E230" s="625" t="s">
        <v>345</v>
      </c>
      <c r="F230" s="623" t="s">
        <v>70</v>
      </c>
      <c r="G230" s="623">
        <v>1</v>
      </c>
      <c r="H230" s="623" t="s">
        <v>96</v>
      </c>
      <c r="I230" s="623">
        <v>11.5</v>
      </c>
      <c r="J230" s="623" t="s">
        <v>244</v>
      </c>
      <c r="K230" s="623" t="s">
        <v>130</v>
      </c>
      <c r="L230" s="623" t="s">
        <v>279</v>
      </c>
      <c r="M230" s="622">
        <v>94600000</v>
      </c>
      <c r="N230" s="622">
        <v>94600000</v>
      </c>
      <c r="O230" s="623" t="s">
        <v>75</v>
      </c>
      <c r="P230" s="623" t="s">
        <v>76</v>
      </c>
      <c r="Q230" s="623" t="s">
        <v>118</v>
      </c>
      <c r="S230" s="855" t="s">
        <v>830</v>
      </c>
      <c r="T230" s="855" t="s">
        <v>831</v>
      </c>
      <c r="U230" s="856">
        <v>43482</v>
      </c>
      <c r="V230" s="857" t="s">
        <v>832</v>
      </c>
      <c r="W230" s="858" t="s">
        <v>553</v>
      </c>
      <c r="X230" s="859">
        <v>94600000</v>
      </c>
      <c r="Y230" s="859">
        <v>0</v>
      </c>
      <c r="Z230" s="859">
        <v>94600000</v>
      </c>
      <c r="AA230" s="862" t="s">
        <v>833</v>
      </c>
      <c r="AB230" s="863">
        <v>1719</v>
      </c>
      <c r="AC230" s="862" t="s">
        <v>589</v>
      </c>
      <c r="AD230" s="856">
        <v>43482</v>
      </c>
      <c r="AE230" s="856">
        <v>43815</v>
      </c>
      <c r="AF230" s="863" t="s">
        <v>824</v>
      </c>
      <c r="AG230" s="864" t="s">
        <v>813</v>
      </c>
    </row>
    <row r="231" spans="1:33" ht="150" x14ac:dyDescent="0.35">
      <c r="A231" s="668">
        <f t="shared" si="5"/>
        <v>210</v>
      </c>
      <c r="B231" s="623"/>
      <c r="C231" s="623" t="s">
        <v>115</v>
      </c>
      <c r="D231" s="624">
        <v>80101706</v>
      </c>
      <c r="E231" s="625" t="s">
        <v>345</v>
      </c>
      <c r="F231" s="623" t="s">
        <v>70</v>
      </c>
      <c r="G231" s="623">
        <v>1</v>
      </c>
      <c r="H231" s="623" t="s">
        <v>96</v>
      </c>
      <c r="I231" s="623">
        <v>7</v>
      </c>
      <c r="J231" s="623" t="s">
        <v>244</v>
      </c>
      <c r="K231" s="623" t="s">
        <v>130</v>
      </c>
      <c r="L231" s="623" t="s">
        <v>279</v>
      </c>
      <c r="M231" s="622">
        <v>56700000</v>
      </c>
      <c r="N231" s="622">
        <v>56700000</v>
      </c>
      <c r="O231" s="623" t="s">
        <v>75</v>
      </c>
      <c r="P231" s="623" t="s">
        <v>76</v>
      </c>
      <c r="Q231" s="623" t="s">
        <v>118</v>
      </c>
      <c r="S231" s="855" t="s">
        <v>834</v>
      </c>
      <c r="T231" s="855" t="s">
        <v>835</v>
      </c>
      <c r="U231" s="856">
        <v>43482</v>
      </c>
      <c r="V231" s="857" t="s">
        <v>836</v>
      </c>
      <c r="W231" s="858" t="s">
        <v>553</v>
      </c>
      <c r="X231" s="859">
        <v>56700000</v>
      </c>
      <c r="Y231" s="859">
        <v>0</v>
      </c>
      <c r="Z231" s="859">
        <v>56700000</v>
      </c>
      <c r="AA231" s="862" t="s">
        <v>837</v>
      </c>
      <c r="AB231" s="863">
        <v>1819</v>
      </c>
      <c r="AC231" s="862" t="s">
        <v>838</v>
      </c>
      <c r="AD231" s="856">
        <v>43482</v>
      </c>
      <c r="AE231" s="856">
        <v>43693</v>
      </c>
      <c r="AF231" s="863" t="s">
        <v>824</v>
      </c>
      <c r="AG231" s="864" t="s">
        <v>813</v>
      </c>
    </row>
    <row r="232" spans="1:33" ht="131.25" x14ac:dyDescent="0.35">
      <c r="A232" s="668">
        <f t="shared" si="5"/>
        <v>211</v>
      </c>
      <c r="B232" s="623"/>
      <c r="C232" s="623" t="s">
        <v>115</v>
      </c>
      <c r="D232" s="624">
        <v>80101706</v>
      </c>
      <c r="E232" s="625" t="s">
        <v>345</v>
      </c>
      <c r="F232" s="623" t="s">
        <v>70</v>
      </c>
      <c r="G232" s="623">
        <v>1</v>
      </c>
      <c r="H232" s="623" t="s">
        <v>96</v>
      </c>
      <c r="I232" s="623">
        <v>7</v>
      </c>
      <c r="J232" s="623" t="s">
        <v>244</v>
      </c>
      <c r="K232" s="623" t="s">
        <v>130</v>
      </c>
      <c r="L232" s="623" t="s">
        <v>279</v>
      </c>
      <c r="M232" s="622">
        <v>42700000</v>
      </c>
      <c r="N232" s="622">
        <v>42700000</v>
      </c>
      <c r="O232" s="623" t="s">
        <v>75</v>
      </c>
      <c r="P232" s="623" t="s">
        <v>76</v>
      </c>
      <c r="Q232" s="623" t="s">
        <v>118</v>
      </c>
      <c r="S232" s="855" t="s">
        <v>839</v>
      </c>
      <c r="T232" s="855" t="s">
        <v>840</v>
      </c>
      <c r="U232" s="856">
        <v>43481</v>
      </c>
      <c r="V232" s="857" t="s">
        <v>841</v>
      </c>
      <c r="W232" s="858" t="s">
        <v>553</v>
      </c>
      <c r="X232" s="859">
        <v>42700000</v>
      </c>
      <c r="Y232" s="859">
        <v>0</v>
      </c>
      <c r="Z232" s="859">
        <v>42700000</v>
      </c>
      <c r="AA232" s="862" t="s">
        <v>842</v>
      </c>
      <c r="AB232" s="863">
        <v>1919</v>
      </c>
      <c r="AC232" s="862" t="s">
        <v>843</v>
      </c>
      <c r="AD232" s="856">
        <v>43481</v>
      </c>
      <c r="AE232" s="856">
        <v>43692</v>
      </c>
      <c r="AF232" s="863" t="s">
        <v>844</v>
      </c>
      <c r="AG232" s="864" t="s">
        <v>813</v>
      </c>
    </row>
    <row r="233" spans="1:33" ht="131.25" x14ac:dyDescent="0.35">
      <c r="A233" s="668">
        <f t="shared" si="5"/>
        <v>212</v>
      </c>
      <c r="B233" s="623"/>
      <c r="C233" s="623" t="s">
        <v>115</v>
      </c>
      <c r="D233" s="624">
        <v>80101706</v>
      </c>
      <c r="E233" s="625" t="s">
        <v>345</v>
      </c>
      <c r="F233" s="623" t="s">
        <v>70</v>
      </c>
      <c r="G233" s="623">
        <v>1</v>
      </c>
      <c r="H233" s="623" t="s">
        <v>96</v>
      </c>
      <c r="I233" s="623">
        <v>7</v>
      </c>
      <c r="J233" s="623" t="s">
        <v>244</v>
      </c>
      <c r="K233" s="623" t="s">
        <v>130</v>
      </c>
      <c r="L233" s="623" t="s">
        <v>279</v>
      </c>
      <c r="M233" s="622">
        <v>42700000</v>
      </c>
      <c r="N233" s="622">
        <v>42700000</v>
      </c>
      <c r="O233" s="623" t="s">
        <v>75</v>
      </c>
      <c r="P233" s="623" t="s">
        <v>76</v>
      </c>
      <c r="Q233" s="623" t="s">
        <v>118</v>
      </c>
      <c r="S233" s="855" t="s">
        <v>845</v>
      </c>
      <c r="T233" s="855" t="s">
        <v>846</v>
      </c>
      <c r="U233" s="856">
        <v>43481</v>
      </c>
      <c r="V233" s="857" t="s">
        <v>841</v>
      </c>
      <c r="W233" s="858" t="s">
        <v>553</v>
      </c>
      <c r="X233" s="859">
        <v>42700000</v>
      </c>
      <c r="Y233" s="859">
        <v>0</v>
      </c>
      <c r="Z233" s="859">
        <v>42700000</v>
      </c>
      <c r="AA233" s="862" t="s">
        <v>842</v>
      </c>
      <c r="AB233" s="863">
        <v>2019</v>
      </c>
      <c r="AC233" s="862" t="s">
        <v>843</v>
      </c>
      <c r="AD233" s="856">
        <v>43481</v>
      </c>
      <c r="AE233" s="856">
        <v>43692</v>
      </c>
      <c r="AF233" s="863" t="s">
        <v>847</v>
      </c>
      <c r="AG233" s="864" t="s">
        <v>813</v>
      </c>
    </row>
    <row r="234" spans="1:33" ht="131.25" x14ac:dyDescent="0.35">
      <c r="A234" s="668">
        <f t="shared" si="5"/>
        <v>213</v>
      </c>
      <c r="B234" s="623"/>
      <c r="C234" s="623" t="s">
        <v>115</v>
      </c>
      <c r="D234" s="624">
        <v>80101706</v>
      </c>
      <c r="E234" s="625" t="s">
        <v>345</v>
      </c>
      <c r="F234" s="623" t="s">
        <v>70</v>
      </c>
      <c r="G234" s="623">
        <v>1</v>
      </c>
      <c r="H234" s="623" t="s">
        <v>96</v>
      </c>
      <c r="I234" s="623">
        <v>7</v>
      </c>
      <c r="J234" s="623" t="s">
        <v>244</v>
      </c>
      <c r="K234" s="623" t="s">
        <v>130</v>
      </c>
      <c r="L234" s="623" t="s">
        <v>279</v>
      </c>
      <c r="M234" s="622">
        <v>42700000</v>
      </c>
      <c r="N234" s="622">
        <v>42700000</v>
      </c>
      <c r="O234" s="623" t="s">
        <v>75</v>
      </c>
      <c r="P234" s="623" t="s">
        <v>76</v>
      </c>
      <c r="Q234" s="623" t="s">
        <v>118</v>
      </c>
      <c r="S234" s="855" t="s">
        <v>848</v>
      </c>
      <c r="T234" s="855" t="s">
        <v>849</v>
      </c>
      <c r="U234" s="856">
        <v>43481</v>
      </c>
      <c r="V234" s="857" t="s">
        <v>841</v>
      </c>
      <c r="W234" s="858" t="s">
        <v>553</v>
      </c>
      <c r="X234" s="859">
        <v>42700000</v>
      </c>
      <c r="Y234" s="859">
        <v>0</v>
      </c>
      <c r="Z234" s="859">
        <v>42700000</v>
      </c>
      <c r="AA234" s="862" t="s">
        <v>842</v>
      </c>
      <c r="AB234" s="863">
        <v>2119</v>
      </c>
      <c r="AC234" s="862" t="s">
        <v>843</v>
      </c>
      <c r="AD234" s="856">
        <v>43481</v>
      </c>
      <c r="AE234" s="856">
        <v>43692</v>
      </c>
      <c r="AF234" s="863" t="s">
        <v>844</v>
      </c>
      <c r="AG234" s="864" t="s">
        <v>813</v>
      </c>
    </row>
    <row r="235" spans="1:33" ht="131.25" x14ac:dyDescent="0.35">
      <c r="A235" s="668">
        <f t="shared" si="5"/>
        <v>214</v>
      </c>
      <c r="B235" s="623"/>
      <c r="C235" s="623" t="s">
        <v>115</v>
      </c>
      <c r="D235" s="624">
        <v>80101706</v>
      </c>
      <c r="E235" s="625" t="s">
        <v>345</v>
      </c>
      <c r="F235" s="623" t="s">
        <v>70</v>
      </c>
      <c r="G235" s="623">
        <v>1</v>
      </c>
      <c r="H235" s="623" t="s">
        <v>96</v>
      </c>
      <c r="I235" s="623">
        <v>7</v>
      </c>
      <c r="J235" s="623" t="s">
        <v>244</v>
      </c>
      <c r="K235" s="623" t="s">
        <v>130</v>
      </c>
      <c r="L235" s="623" t="s">
        <v>279</v>
      </c>
      <c r="M235" s="622">
        <v>42700000</v>
      </c>
      <c r="N235" s="622">
        <v>42700000</v>
      </c>
      <c r="O235" s="623" t="s">
        <v>75</v>
      </c>
      <c r="P235" s="623" t="s">
        <v>76</v>
      </c>
      <c r="Q235" s="623" t="s">
        <v>118</v>
      </c>
      <c r="S235" s="855" t="s">
        <v>850</v>
      </c>
      <c r="T235" s="855" t="s">
        <v>851</v>
      </c>
      <c r="U235" s="856">
        <v>43481</v>
      </c>
      <c r="V235" s="857" t="s">
        <v>841</v>
      </c>
      <c r="W235" s="858" t="s">
        <v>553</v>
      </c>
      <c r="X235" s="859">
        <v>42700000</v>
      </c>
      <c r="Y235" s="859">
        <v>0</v>
      </c>
      <c r="Z235" s="859">
        <v>42700000</v>
      </c>
      <c r="AA235" s="862" t="s">
        <v>842</v>
      </c>
      <c r="AB235" s="863">
        <v>2219</v>
      </c>
      <c r="AC235" s="862" t="s">
        <v>843</v>
      </c>
      <c r="AD235" s="856">
        <v>43481</v>
      </c>
      <c r="AE235" s="856">
        <v>43692</v>
      </c>
      <c r="AF235" s="863" t="s">
        <v>847</v>
      </c>
      <c r="AG235" s="864" t="s">
        <v>813</v>
      </c>
    </row>
    <row r="236" spans="1:33" ht="131.25" x14ac:dyDescent="0.35">
      <c r="A236" s="668">
        <f t="shared" si="5"/>
        <v>215</v>
      </c>
      <c r="B236" s="623"/>
      <c r="C236" s="623" t="s">
        <v>115</v>
      </c>
      <c r="D236" s="624">
        <v>80101706</v>
      </c>
      <c r="E236" s="625" t="s">
        <v>345</v>
      </c>
      <c r="F236" s="623" t="s">
        <v>70</v>
      </c>
      <c r="G236" s="623">
        <v>1</v>
      </c>
      <c r="H236" s="623" t="s">
        <v>96</v>
      </c>
      <c r="I236" s="623">
        <v>7</v>
      </c>
      <c r="J236" s="623" t="s">
        <v>244</v>
      </c>
      <c r="K236" s="623" t="s">
        <v>130</v>
      </c>
      <c r="L236" s="623" t="s">
        <v>279</v>
      </c>
      <c r="M236" s="622">
        <v>42700000</v>
      </c>
      <c r="N236" s="622">
        <v>42700000</v>
      </c>
      <c r="O236" s="623" t="s">
        <v>75</v>
      </c>
      <c r="P236" s="623" t="s">
        <v>76</v>
      </c>
      <c r="Q236" s="623" t="s">
        <v>118</v>
      </c>
      <c r="S236" s="855" t="s">
        <v>852</v>
      </c>
      <c r="T236" s="855" t="s">
        <v>853</v>
      </c>
      <c r="U236" s="856">
        <v>43481</v>
      </c>
      <c r="V236" s="857" t="s">
        <v>841</v>
      </c>
      <c r="W236" s="858" t="s">
        <v>553</v>
      </c>
      <c r="X236" s="859">
        <v>42700000</v>
      </c>
      <c r="Y236" s="859">
        <v>0</v>
      </c>
      <c r="Z236" s="859">
        <v>42700000</v>
      </c>
      <c r="AA236" s="862" t="s">
        <v>842</v>
      </c>
      <c r="AB236" s="863">
        <v>2319</v>
      </c>
      <c r="AC236" s="862" t="s">
        <v>843</v>
      </c>
      <c r="AD236" s="856">
        <v>43481</v>
      </c>
      <c r="AE236" s="856">
        <v>43692</v>
      </c>
      <c r="AF236" s="863" t="s">
        <v>844</v>
      </c>
      <c r="AG236" s="864" t="s">
        <v>813</v>
      </c>
    </row>
    <row r="237" spans="1:33" ht="168.75" x14ac:dyDescent="0.35">
      <c r="A237" s="668">
        <f t="shared" si="5"/>
        <v>216</v>
      </c>
      <c r="B237" s="623"/>
      <c r="C237" s="623" t="s">
        <v>115</v>
      </c>
      <c r="D237" s="624">
        <v>80101706</v>
      </c>
      <c r="E237" s="625" t="s">
        <v>345</v>
      </c>
      <c r="F237" s="623" t="s">
        <v>70</v>
      </c>
      <c r="G237" s="623">
        <v>1</v>
      </c>
      <c r="H237" s="623" t="s">
        <v>96</v>
      </c>
      <c r="I237" s="623">
        <v>7</v>
      </c>
      <c r="J237" s="623" t="s">
        <v>244</v>
      </c>
      <c r="K237" s="623" t="s">
        <v>130</v>
      </c>
      <c r="L237" s="623" t="s">
        <v>279</v>
      </c>
      <c r="M237" s="622">
        <v>42700000</v>
      </c>
      <c r="N237" s="622">
        <v>42700000</v>
      </c>
      <c r="O237" s="623" t="s">
        <v>75</v>
      </c>
      <c r="P237" s="623" t="s">
        <v>76</v>
      </c>
      <c r="Q237" s="623" t="s">
        <v>118</v>
      </c>
      <c r="S237" s="855" t="s">
        <v>854</v>
      </c>
      <c r="T237" s="855" t="s">
        <v>855</v>
      </c>
      <c r="U237" s="856">
        <v>43488</v>
      </c>
      <c r="V237" s="857" t="s">
        <v>856</v>
      </c>
      <c r="W237" s="858" t="s">
        <v>553</v>
      </c>
      <c r="X237" s="859">
        <v>42700000</v>
      </c>
      <c r="Y237" s="860">
        <v>0</v>
      </c>
      <c r="Z237" s="859">
        <v>42700000</v>
      </c>
      <c r="AA237" s="862" t="s">
        <v>857</v>
      </c>
      <c r="AB237" s="863">
        <v>2419</v>
      </c>
      <c r="AC237" s="862" t="s">
        <v>858</v>
      </c>
      <c r="AD237" s="856">
        <v>43488</v>
      </c>
      <c r="AE237" s="856">
        <v>43699</v>
      </c>
      <c r="AF237" s="863" t="s">
        <v>812</v>
      </c>
      <c r="AG237" s="864" t="s">
        <v>813</v>
      </c>
    </row>
    <row r="238" spans="1:33" ht="187.5" x14ac:dyDescent="0.35">
      <c r="A238" s="668">
        <f t="shared" si="5"/>
        <v>217</v>
      </c>
      <c r="B238" s="623"/>
      <c r="C238" s="623" t="s">
        <v>115</v>
      </c>
      <c r="D238" s="624">
        <v>80101706</v>
      </c>
      <c r="E238" s="625" t="s">
        <v>345</v>
      </c>
      <c r="F238" s="623" t="s">
        <v>70</v>
      </c>
      <c r="G238" s="623">
        <v>1</v>
      </c>
      <c r="H238" s="623" t="s">
        <v>96</v>
      </c>
      <c r="I238" s="623">
        <v>7</v>
      </c>
      <c r="J238" s="623" t="s">
        <v>244</v>
      </c>
      <c r="K238" s="623" t="s">
        <v>130</v>
      </c>
      <c r="L238" s="623" t="s">
        <v>306</v>
      </c>
      <c r="M238" s="622">
        <v>23100000</v>
      </c>
      <c r="N238" s="622">
        <v>23100000</v>
      </c>
      <c r="O238" s="623" t="s">
        <v>75</v>
      </c>
      <c r="P238" s="623" t="s">
        <v>76</v>
      </c>
      <c r="Q238" s="623" t="s">
        <v>118</v>
      </c>
      <c r="S238" s="855" t="s">
        <v>1057</v>
      </c>
      <c r="T238" s="855" t="s">
        <v>1058</v>
      </c>
      <c r="U238" s="865">
        <v>43497</v>
      </c>
      <c r="V238" s="857" t="s">
        <v>1059</v>
      </c>
      <c r="W238" s="858" t="s">
        <v>553</v>
      </c>
      <c r="X238" s="859">
        <v>23100000</v>
      </c>
      <c r="Y238" s="860">
        <v>0</v>
      </c>
      <c r="Z238" s="859">
        <v>23100000</v>
      </c>
      <c r="AA238" s="857" t="s">
        <v>1060</v>
      </c>
      <c r="AB238" s="858">
        <v>13219</v>
      </c>
      <c r="AC238" s="862" t="s">
        <v>986</v>
      </c>
      <c r="AD238" s="856">
        <v>43497</v>
      </c>
      <c r="AE238" s="856">
        <v>44074</v>
      </c>
      <c r="AF238" s="863" t="s">
        <v>870</v>
      </c>
      <c r="AG238" s="864" t="s">
        <v>813</v>
      </c>
    </row>
    <row r="239" spans="1:33" ht="131.25" x14ac:dyDescent="0.35">
      <c r="A239" s="668">
        <f t="shared" si="5"/>
        <v>218</v>
      </c>
      <c r="B239" s="623"/>
      <c r="C239" s="623" t="s">
        <v>115</v>
      </c>
      <c r="D239" s="624">
        <v>80101706</v>
      </c>
      <c r="E239" s="625" t="s">
        <v>345</v>
      </c>
      <c r="F239" s="623" t="s">
        <v>70</v>
      </c>
      <c r="G239" s="623">
        <v>1</v>
      </c>
      <c r="H239" s="623" t="s">
        <v>96</v>
      </c>
      <c r="I239" s="623">
        <v>6</v>
      </c>
      <c r="J239" s="623" t="s">
        <v>244</v>
      </c>
      <c r="K239" s="623" t="s">
        <v>130</v>
      </c>
      <c r="L239" s="623" t="s">
        <v>306</v>
      </c>
      <c r="M239" s="622">
        <v>36600000</v>
      </c>
      <c r="N239" s="622">
        <v>36600000</v>
      </c>
      <c r="O239" s="623" t="s">
        <v>75</v>
      </c>
      <c r="P239" s="623" t="s">
        <v>76</v>
      </c>
      <c r="Q239" s="623" t="s">
        <v>118</v>
      </c>
      <c r="S239" s="855" t="s">
        <v>859</v>
      </c>
      <c r="T239" s="855" t="s">
        <v>860</v>
      </c>
      <c r="U239" s="865">
        <v>43490</v>
      </c>
      <c r="V239" s="857" t="s">
        <v>861</v>
      </c>
      <c r="W239" s="858" t="s">
        <v>553</v>
      </c>
      <c r="X239" s="859">
        <v>36600000</v>
      </c>
      <c r="Y239" s="860">
        <v>0</v>
      </c>
      <c r="Z239" s="859">
        <v>36600000</v>
      </c>
      <c r="AA239" s="862" t="s">
        <v>862</v>
      </c>
      <c r="AB239" s="863">
        <v>13119</v>
      </c>
      <c r="AC239" s="862" t="s">
        <v>863</v>
      </c>
      <c r="AD239" s="856">
        <v>43490</v>
      </c>
      <c r="AE239" s="856">
        <v>43670</v>
      </c>
      <c r="AF239" s="863" t="s">
        <v>864</v>
      </c>
      <c r="AG239" s="864" t="s">
        <v>813</v>
      </c>
    </row>
    <row r="240" spans="1:33" ht="150" x14ac:dyDescent="0.35">
      <c r="A240" s="668">
        <f t="shared" si="5"/>
        <v>219</v>
      </c>
      <c r="B240" s="623"/>
      <c r="C240" s="623" t="s">
        <v>115</v>
      </c>
      <c r="D240" s="624">
        <v>80101706</v>
      </c>
      <c r="E240" s="625" t="s">
        <v>345</v>
      </c>
      <c r="F240" s="623" t="s">
        <v>70</v>
      </c>
      <c r="G240" s="623">
        <v>1</v>
      </c>
      <c r="H240" s="623" t="s">
        <v>96</v>
      </c>
      <c r="I240" s="623">
        <v>7</v>
      </c>
      <c r="J240" s="623" t="s">
        <v>244</v>
      </c>
      <c r="K240" s="623" t="s">
        <v>130</v>
      </c>
      <c r="L240" s="623" t="s">
        <v>306</v>
      </c>
      <c r="M240" s="622">
        <v>42700000</v>
      </c>
      <c r="N240" s="622">
        <v>42700000</v>
      </c>
      <c r="O240" s="623" t="s">
        <v>75</v>
      </c>
      <c r="P240" s="623" t="s">
        <v>76</v>
      </c>
      <c r="Q240" s="623" t="s">
        <v>118</v>
      </c>
      <c r="S240" s="855" t="s">
        <v>865</v>
      </c>
      <c r="T240" s="855" t="s">
        <v>866</v>
      </c>
      <c r="U240" s="865">
        <v>43490</v>
      </c>
      <c r="V240" s="857" t="s">
        <v>867</v>
      </c>
      <c r="W240" s="858" t="s">
        <v>553</v>
      </c>
      <c r="X240" s="859">
        <v>42700000</v>
      </c>
      <c r="Y240" s="860">
        <v>0</v>
      </c>
      <c r="Z240" s="859">
        <v>42700000</v>
      </c>
      <c r="AA240" s="862" t="s">
        <v>868</v>
      </c>
      <c r="AB240" s="863">
        <v>13019</v>
      </c>
      <c r="AC240" s="862" t="s">
        <v>869</v>
      </c>
      <c r="AD240" s="856">
        <v>43490</v>
      </c>
      <c r="AE240" s="856">
        <v>43701</v>
      </c>
      <c r="AF240" s="863" t="s">
        <v>870</v>
      </c>
      <c r="AG240" s="864" t="s">
        <v>813</v>
      </c>
    </row>
    <row r="241" spans="1:33" ht="120" x14ac:dyDescent="0.35">
      <c r="A241" s="668">
        <f t="shared" si="5"/>
        <v>220</v>
      </c>
      <c r="B241" s="623"/>
      <c r="C241" s="623" t="s">
        <v>115</v>
      </c>
      <c r="D241" s="624">
        <v>80101706</v>
      </c>
      <c r="E241" s="625" t="s">
        <v>345</v>
      </c>
      <c r="F241" s="623" t="s">
        <v>70</v>
      </c>
      <c r="G241" s="623">
        <v>1</v>
      </c>
      <c r="H241" s="623" t="s">
        <v>96</v>
      </c>
      <c r="I241" s="623">
        <v>11.5</v>
      </c>
      <c r="J241" s="623" t="s">
        <v>244</v>
      </c>
      <c r="K241" s="623" t="s">
        <v>130</v>
      </c>
      <c r="L241" s="623" t="s">
        <v>279</v>
      </c>
      <c r="M241" s="622">
        <v>67100000</v>
      </c>
      <c r="N241" s="622">
        <v>67100000</v>
      </c>
      <c r="O241" s="623" t="s">
        <v>75</v>
      </c>
      <c r="P241" s="623" t="s">
        <v>76</v>
      </c>
      <c r="Q241" s="623" t="s">
        <v>118</v>
      </c>
      <c r="S241" s="855" t="s">
        <v>871</v>
      </c>
      <c r="T241" s="855" t="s">
        <v>872</v>
      </c>
      <c r="U241" s="856">
        <v>43486</v>
      </c>
      <c r="V241" s="857" t="s">
        <v>873</v>
      </c>
      <c r="W241" s="858" t="s">
        <v>553</v>
      </c>
      <c r="X241" s="859">
        <v>67100000</v>
      </c>
      <c r="Y241" s="860">
        <v>0</v>
      </c>
      <c r="Z241" s="859">
        <v>67100000</v>
      </c>
      <c r="AA241" s="862" t="s">
        <v>874</v>
      </c>
      <c r="AB241" s="863">
        <v>2519</v>
      </c>
      <c r="AC241" s="862" t="s">
        <v>589</v>
      </c>
      <c r="AD241" s="856">
        <v>43486</v>
      </c>
      <c r="AE241" s="856">
        <v>43819</v>
      </c>
      <c r="AF241" s="863" t="s">
        <v>875</v>
      </c>
      <c r="AG241" s="864" t="s">
        <v>813</v>
      </c>
    </row>
    <row r="242" spans="1:33" ht="120" x14ac:dyDescent="0.35">
      <c r="A242" s="668">
        <f t="shared" si="5"/>
        <v>221</v>
      </c>
      <c r="B242" s="623" t="s">
        <v>1240</v>
      </c>
      <c r="C242" s="623" t="s">
        <v>115</v>
      </c>
      <c r="D242" s="624">
        <v>80101706</v>
      </c>
      <c r="E242" s="625" t="s">
        <v>345</v>
      </c>
      <c r="F242" s="623" t="s">
        <v>70</v>
      </c>
      <c r="G242" s="623">
        <v>1</v>
      </c>
      <c r="H242" s="623" t="s">
        <v>120</v>
      </c>
      <c r="I242" s="623">
        <v>4</v>
      </c>
      <c r="J242" s="623" t="s">
        <v>244</v>
      </c>
      <c r="K242" s="623" t="s">
        <v>130</v>
      </c>
      <c r="L242" s="623" t="s">
        <v>528</v>
      </c>
      <c r="M242" s="622">
        <v>36800000</v>
      </c>
      <c r="N242" s="622">
        <v>36800000</v>
      </c>
      <c r="O242" s="623" t="s">
        <v>75</v>
      </c>
      <c r="P242" s="623" t="s">
        <v>76</v>
      </c>
      <c r="Q242" s="623" t="s">
        <v>118</v>
      </c>
      <c r="S242" s="667"/>
      <c r="T242" s="667"/>
      <c r="U242" s="667"/>
      <c r="V242" s="667"/>
      <c r="W242" s="667"/>
      <c r="X242" s="667"/>
      <c r="Y242" s="667"/>
      <c r="Z242" s="667"/>
      <c r="AA242" s="667"/>
      <c r="AB242" s="667"/>
      <c r="AC242" s="667"/>
      <c r="AD242" s="667"/>
      <c r="AE242" s="667"/>
      <c r="AF242" s="667"/>
      <c r="AG242" s="667"/>
    </row>
    <row r="243" spans="1:33" ht="120" x14ac:dyDescent="0.35">
      <c r="A243" s="668">
        <f t="shared" si="5"/>
        <v>222</v>
      </c>
      <c r="B243" s="623"/>
      <c r="C243" s="623" t="s">
        <v>346</v>
      </c>
      <c r="D243" s="624">
        <v>80101706</v>
      </c>
      <c r="E243" s="625" t="s">
        <v>347</v>
      </c>
      <c r="F243" s="623" t="s">
        <v>70</v>
      </c>
      <c r="G243" s="623">
        <v>1</v>
      </c>
      <c r="H243" s="623" t="s">
        <v>96</v>
      </c>
      <c r="I243" s="623">
        <v>11.5</v>
      </c>
      <c r="J243" s="623" t="s">
        <v>244</v>
      </c>
      <c r="K243" s="623" t="s">
        <v>73</v>
      </c>
      <c r="L243" s="623" t="s">
        <v>161</v>
      </c>
      <c r="M243" s="622">
        <v>28750000</v>
      </c>
      <c r="N243" s="622">
        <v>28750000</v>
      </c>
      <c r="O243" s="623" t="s">
        <v>75</v>
      </c>
      <c r="P243" s="623" t="s">
        <v>76</v>
      </c>
      <c r="Q243" s="623" t="s">
        <v>348</v>
      </c>
      <c r="S243" s="855" t="s">
        <v>876</v>
      </c>
      <c r="T243" s="855" t="s">
        <v>877</v>
      </c>
      <c r="U243" s="865">
        <v>43476</v>
      </c>
      <c r="V243" s="857" t="s">
        <v>878</v>
      </c>
      <c r="W243" s="858" t="s">
        <v>553</v>
      </c>
      <c r="X243" s="859">
        <v>28750000</v>
      </c>
      <c r="Y243" s="859">
        <v>0</v>
      </c>
      <c r="Z243" s="859">
        <v>28750000</v>
      </c>
      <c r="AA243" s="862" t="s">
        <v>879</v>
      </c>
      <c r="AB243" s="863">
        <v>4319</v>
      </c>
      <c r="AC243" s="862" t="s">
        <v>555</v>
      </c>
      <c r="AD243" s="856">
        <v>43476</v>
      </c>
      <c r="AE243" s="856">
        <v>43824</v>
      </c>
      <c r="AF243" s="863" t="s">
        <v>880</v>
      </c>
      <c r="AG243" s="864" t="s">
        <v>881</v>
      </c>
    </row>
    <row r="244" spans="1:33" ht="150" x14ac:dyDescent="0.35">
      <c r="A244" s="668">
        <f t="shared" si="5"/>
        <v>223</v>
      </c>
      <c r="B244" s="623"/>
      <c r="C244" s="623" t="s">
        <v>324</v>
      </c>
      <c r="D244" s="624">
        <v>80101706</v>
      </c>
      <c r="E244" s="625" t="s">
        <v>325</v>
      </c>
      <c r="F244" s="623" t="s">
        <v>70</v>
      </c>
      <c r="G244" s="623">
        <v>1</v>
      </c>
      <c r="H244" s="623" t="s">
        <v>96</v>
      </c>
      <c r="I244" s="623">
        <v>11</v>
      </c>
      <c r="J244" s="623" t="s">
        <v>244</v>
      </c>
      <c r="K244" s="623" t="s">
        <v>130</v>
      </c>
      <c r="L244" s="623" t="s">
        <v>306</v>
      </c>
      <c r="M244" s="622">
        <v>96250000</v>
      </c>
      <c r="N244" s="622">
        <v>96250000</v>
      </c>
      <c r="O244" s="623" t="s">
        <v>75</v>
      </c>
      <c r="P244" s="623" t="s">
        <v>76</v>
      </c>
      <c r="Q244" s="623" t="s">
        <v>326</v>
      </c>
      <c r="S244" s="855" t="s">
        <v>1061</v>
      </c>
      <c r="T244" s="855" t="s">
        <v>1062</v>
      </c>
      <c r="U244" s="865">
        <v>43500</v>
      </c>
      <c r="V244" s="857" t="s">
        <v>1063</v>
      </c>
      <c r="W244" s="858" t="s">
        <v>553</v>
      </c>
      <c r="X244" s="859">
        <v>91875000</v>
      </c>
      <c r="Y244" s="860">
        <v>0</v>
      </c>
      <c r="Z244" s="859">
        <v>91875000</v>
      </c>
      <c r="AA244" s="857" t="s">
        <v>1064</v>
      </c>
      <c r="AB244" s="858">
        <v>11719</v>
      </c>
      <c r="AC244" s="862" t="s">
        <v>811</v>
      </c>
      <c r="AD244" s="856">
        <v>43500</v>
      </c>
      <c r="AE244" s="856">
        <v>43817</v>
      </c>
      <c r="AF244" s="863" t="s">
        <v>886</v>
      </c>
      <c r="AG244" s="864" t="s">
        <v>887</v>
      </c>
    </row>
    <row r="245" spans="1:33" ht="150" x14ac:dyDescent="0.35">
      <c r="A245" s="668">
        <f t="shared" si="5"/>
        <v>224</v>
      </c>
      <c r="B245" s="623"/>
      <c r="C245" s="623" t="s">
        <v>324</v>
      </c>
      <c r="D245" s="624">
        <v>80101706</v>
      </c>
      <c r="E245" s="625" t="s">
        <v>325</v>
      </c>
      <c r="F245" s="623" t="s">
        <v>70</v>
      </c>
      <c r="G245" s="623">
        <v>1</v>
      </c>
      <c r="H245" s="623" t="s">
        <v>96</v>
      </c>
      <c r="I245" s="623">
        <v>11.5</v>
      </c>
      <c r="J245" s="623" t="s">
        <v>244</v>
      </c>
      <c r="K245" s="623" t="s">
        <v>130</v>
      </c>
      <c r="L245" s="623" t="s">
        <v>279</v>
      </c>
      <c r="M245" s="622">
        <v>100625000</v>
      </c>
      <c r="N245" s="622">
        <v>100625000</v>
      </c>
      <c r="O245" s="623" t="s">
        <v>75</v>
      </c>
      <c r="P245" s="623" t="s">
        <v>76</v>
      </c>
      <c r="Q245" s="623" t="s">
        <v>326</v>
      </c>
      <c r="S245" s="855" t="s">
        <v>882</v>
      </c>
      <c r="T245" s="855" t="s">
        <v>883</v>
      </c>
      <c r="U245" s="865">
        <v>43476</v>
      </c>
      <c r="V245" s="857" t="s">
        <v>884</v>
      </c>
      <c r="W245" s="858" t="s">
        <v>553</v>
      </c>
      <c r="X245" s="859">
        <v>100625000</v>
      </c>
      <c r="Y245" s="859">
        <v>0</v>
      </c>
      <c r="Z245" s="859">
        <v>100625000</v>
      </c>
      <c r="AA245" s="862" t="s">
        <v>885</v>
      </c>
      <c r="AB245" s="863">
        <v>2819</v>
      </c>
      <c r="AC245" s="862" t="s">
        <v>555</v>
      </c>
      <c r="AD245" s="856">
        <v>43476</v>
      </c>
      <c r="AE245" s="856">
        <v>43824</v>
      </c>
      <c r="AF245" s="863" t="s">
        <v>886</v>
      </c>
      <c r="AG245" s="864" t="s">
        <v>887</v>
      </c>
    </row>
    <row r="246" spans="1:33" ht="150" x14ac:dyDescent="0.35">
      <c r="A246" s="668">
        <f t="shared" si="5"/>
        <v>225</v>
      </c>
      <c r="B246" s="623"/>
      <c r="C246" s="623" t="s">
        <v>324</v>
      </c>
      <c r="D246" s="624">
        <v>80101706</v>
      </c>
      <c r="E246" s="625" t="s">
        <v>325</v>
      </c>
      <c r="F246" s="623" t="s">
        <v>70</v>
      </c>
      <c r="G246" s="623">
        <v>1</v>
      </c>
      <c r="H246" s="623" t="s">
        <v>96</v>
      </c>
      <c r="I246" s="623">
        <v>11.5</v>
      </c>
      <c r="J246" s="623" t="s">
        <v>244</v>
      </c>
      <c r="K246" s="623" t="s">
        <v>130</v>
      </c>
      <c r="L246" s="623" t="s">
        <v>279</v>
      </c>
      <c r="M246" s="622">
        <v>31050000</v>
      </c>
      <c r="N246" s="622">
        <v>31050000</v>
      </c>
      <c r="O246" s="623" t="s">
        <v>75</v>
      </c>
      <c r="P246" s="623" t="s">
        <v>76</v>
      </c>
      <c r="Q246" s="623" t="s">
        <v>326</v>
      </c>
      <c r="S246" s="855" t="s">
        <v>888</v>
      </c>
      <c r="T246" s="855" t="s">
        <v>889</v>
      </c>
      <c r="U246" s="865">
        <v>43476</v>
      </c>
      <c r="V246" s="857" t="s">
        <v>890</v>
      </c>
      <c r="W246" s="858" t="s">
        <v>553</v>
      </c>
      <c r="X246" s="859">
        <v>31050000</v>
      </c>
      <c r="Y246" s="859">
        <v>0</v>
      </c>
      <c r="Z246" s="859">
        <v>31050000</v>
      </c>
      <c r="AA246" s="862" t="s">
        <v>891</v>
      </c>
      <c r="AB246" s="863">
        <v>2719</v>
      </c>
      <c r="AC246" s="862" t="s">
        <v>555</v>
      </c>
      <c r="AD246" s="856">
        <v>43476</v>
      </c>
      <c r="AE246" s="856">
        <v>43824</v>
      </c>
      <c r="AF246" s="863" t="s">
        <v>1166</v>
      </c>
      <c r="AG246" s="864" t="s">
        <v>887</v>
      </c>
    </row>
    <row r="247" spans="1:33" ht="150" x14ac:dyDescent="0.35">
      <c r="A247" s="668">
        <f t="shared" ref="A247:A248" si="6">+A246+1</f>
        <v>226</v>
      </c>
      <c r="B247" s="623"/>
      <c r="C247" s="623" t="s">
        <v>324</v>
      </c>
      <c r="D247" s="624">
        <v>80101706</v>
      </c>
      <c r="E247" s="625" t="s">
        <v>325</v>
      </c>
      <c r="F247" s="623" t="s">
        <v>70</v>
      </c>
      <c r="G247" s="623">
        <v>1</v>
      </c>
      <c r="H247" s="623" t="s">
        <v>96</v>
      </c>
      <c r="I247" s="623">
        <v>11</v>
      </c>
      <c r="J247" s="623" t="s">
        <v>244</v>
      </c>
      <c r="K247" s="623" t="s">
        <v>130</v>
      </c>
      <c r="L247" s="623" t="s">
        <v>279</v>
      </c>
      <c r="M247" s="622">
        <v>132000000</v>
      </c>
      <c r="N247" s="622">
        <v>132000000</v>
      </c>
      <c r="O247" s="623" t="s">
        <v>75</v>
      </c>
      <c r="P247" s="623" t="s">
        <v>76</v>
      </c>
      <c r="Q247" s="623" t="s">
        <v>326</v>
      </c>
      <c r="S247" s="855" t="s">
        <v>892</v>
      </c>
      <c r="T247" s="855" t="s">
        <v>893</v>
      </c>
      <c r="U247" s="856">
        <v>43489</v>
      </c>
      <c r="V247" s="857" t="s">
        <v>894</v>
      </c>
      <c r="W247" s="858" t="s">
        <v>553</v>
      </c>
      <c r="X247" s="859">
        <v>132000000</v>
      </c>
      <c r="Y247" s="860">
        <v>0</v>
      </c>
      <c r="Z247" s="859">
        <v>132000000</v>
      </c>
      <c r="AA247" s="857" t="s">
        <v>895</v>
      </c>
      <c r="AB247" s="858">
        <v>6719</v>
      </c>
      <c r="AC247" s="857" t="s">
        <v>577</v>
      </c>
      <c r="AD247" s="865">
        <v>43489</v>
      </c>
      <c r="AE247" s="865">
        <v>43822</v>
      </c>
      <c r="AF247" s="858" t="s">
        <v>886</v>
      </c>
      <c r="AG247" s="869" t="s">
        <v>887</v>
      </c>
    </row>
    <row r="248" spans="1:33" ht="120" x14ac:dyDescent="0.35">
      <c r="A248" s="668">
        <f t="shared" si="6"/>
        <v>227</v>
      </c>
      <c r="B248" s="623"/>
      <c r="C248" s="623" t="s">
        <v>308</v>
      </c>
      <c r="D248" s="624">
        <v>80101706</v>
      </c>
      <c r="E248" s="625" t="s">
        <v>309</v>
      </c>
      <c r="F248" s="623" t="s">
        <v>70</v>
      </c>
      <c r="G248" s="623">
        <v>1</v>
      </c>
      <c r="H248" s="623" t="s">
        <v>102</v>
      </c>
      <c r="I248" s="623">
        <v>5.5</v>
      </c>
      <c r="J248" s="623" t="s">
        <v>244</v>
      </c>
      <c r="K248" s="623" t="s">
        <v>130</v>
      </c>
      <c r="L248" s="623" t="s">
        <v>306</v>
      </c>
      <c r="M248" s="622">
        <v>41800000</v>
      </c>
      <c r="N248" s="622">
        <v>41800000</v>
      </c>
      <c r="O248" s="623" t="s">
        <v>75</v>
      </c>
      <c r="P248" s="623" t="s">
        <v>76</v>
      </c>
      <c r="Q248" s="623" t="s">
        <v>310</v>
      </c>
      <c r="S248" s="667"/>
      <c r="T248" s="667"/>
      <c r="U248" s="667"/>
      <c r="V248" s="667"/>
      <c r="W248" s="667"/>
      <c r="X248" s="667"/>
      <c r="Y248" s="667"/>
      <c r="Z248" s="667"/>
      <c r="AA248" s="667"/>
      <c r="AB248" s="667"/>
      <c r="AC248" s="667"/>
      <c r="AD248" s="667"/>
      <c r="AE248" s="667"/>
      <c r="AF248" s="667"/>
      <c r="AG248" s="667"/>
    </row>
    <row r="249" spans="1:33" ht="120" x14ac:dyDescent="0.35">
      <c r="A249" s="668">
        <v>228</v>
      </c>
      <c r="B249" s="634"/>
      <c r="C249" s="623" t="s">
        <v>68</v>
      </c>
      <c r="D249" s="624">
        <v>92101501</v>
      </c>
      <c r="E249" s="625" t="s">
        <v>349</v>
      </c>
      <c r="F249" s="623" t="s">
        <v>70</v>
      </c>
      <c r="G249" s="623">
        <v>1</v>
      </c>
      <c r="H249" s="623" t="s">
        <v>80</v>
      </c>
      <c r="I249" s="623" t="s">
        <v>350</v>
      </c>
      <c r="J249" s="623" t="s">
        <v>534</v>
      </c>
      <c r="K249" s="623" t="s">
        <v>73</v>
      </c>
      <c r="L249" s="623" t="s">
        <v>351</v>
      </c>
      <c r="M249" s="622">
        <v>248260000</v>
      </c>
      <c r="N249" s="622">
        <v>17000000</v>
      </c>
      <c r="O249" s="623" t="s">
        <v>90</v>
      </c>
      <c r="P249" s="623" t="s">
        <v>91</v>
      </c>
      <c r="Q249" s="623" t="s">
        <v>77</v>
      </c>
      <c r="S249" s="667"/>
      <c r="T249" s="667"/>
      <c r="U249" s="667"/>
      <c r="V249" s="667"/>
      <c r="W249" s="667"/>
      <c r="X249" s="667"/>
      <c r="Y249" s="667"/>
      <c r="Z249" s="667"/>
      <c r="AA249" s="667"/>
      <c r="AB249" s="667"/>
      <c r="AC249" s="667"/>
      <c r="AD249" s="667"/>
      <c r="AE249" s="667"/>
      <c r="AF249" s="667"/>
      <c r="AG249" s="667"/>
    </row>
    <row r="250" spans="1:33" ht="120" x14ac:dyDescent="0.35">
      <c r="A250" s="668">
        <v>229</v>
      </c>
      <c r="B250" s="634"/>
      <c r="C250" s="623" t="s">
        <v>68</v>
      </c>
      <c r="D250" s="624" t="s">
        <v>126</v>
      </c>
      <c r="E250" s="625" t="s">
        <v>127</v>
      </c>
      <c r="F250" s="623" t="s">
        <v>70</v>
      </c>
      <c r="G250" s="623">
        <v>1</v>
      </c>
      <c r="H250" s="626" t="s">
        <v>120</v>
      </c>
      <c r="I250" s="623">
        <v>8</v>
      </c>
      <c r="J250" s="623" t="s">
        <v>81</v>
      </c>
      <c r="K250" s="623" t="s">
        <v>73</v>
      </c>
      <c r="L250" s="623" t="s">
        <v>128</v>
      </c>
      <c r="M250" s="622">
        <v>37000000</v>
      </c>
      <c r="N250" s="627">
        <v>37000000</v>
      </c>
      <c r="O250" s="623" t="s">
        <v>75</v>
      </c>
      <c r="P250" s="623" t="s">
        <v>76</v>
      </c>
      <c r="Q250" s="623" t="s">
        <v>77</v>
      </c>
      <c r="S250" s="667"/>
      <c r="T250" s="667"/>
      <c r="U250" s="667"/>
      <c r="V250" s="667"/>
      <c r="W250" s="667"/>
      <c r="X250" s="667"/>
      <c r="Y250" s="667"/>
      <c r="Z250" s="667"/>
      <c r="AA250" s="667"/>
      <c r="AB250" s="667"/>
      <c r="AC250" s="667"/>
      <c r="AD250" s="667"/>
      <c r="AE250" s="667"/>
      <c r="AF250" s="667"/>
      <c r="AG250" s="667"/>
    </row>
    <row r="251" spans="1:33" ht="139.5" x14ac:dyDescent="0.35">
      <c r="A251" s="668">
        <v>230</v>
      </c>
      <c r="B251" s="847" t="str">
        <f>VLOOKUP(A251,'[4]Contratos de PSPYAG 2019'!$B$5:$C$142,2,FALSE)</f>
        <v>Servicio de Asistencia técnica en la implementación de las políticas de Función Pública</v>
      </c>
      <c r="C251" s="623" t="s">
        <v>154</v>
      </c>
      <c r="D251" s="624">
        <v>80101706</v>
      </c>
      <c r="E251" s="625" t="s">
        <v>322</v>
      </c>
      <c r="F251" s="623" t="s">
        <v>70</v>
      </c>
      <c r="G251" s="623">
        <v>1</v>
      </c>
      <c r="H251" s="623" t="s">
        <v>96</v>
      </c>
      <c r="I251" s="623">
        <v>11</v>
      </c>
      <c r="J251" s="623" t="s">
        <v>244</v>
      </c>
      <c r="K251" s="623" t="s">
        <v>130</v>
      </c>
      <c r="L251" s="623" t="s">
        <v>279</v>
      </c>
      <c r="M251" s="622">
        <v>12100000</v>
      </c>
      <c r="N251" s="627">
        <v>12100000</v>
      </c>
      <c r="O251" s="623" t="s">
        <v>75</v>
      </c>
      <c r="P251" s="623" t="s">
        <v>76</v>
      </c>
      <c r="Q251" s="623" t="s">
        <v>156</v>
      </c>
      <c r="S251" s="855" t="s">
        <v>896</v>
      </c>
      <c r="T251" s="855" t="s">
        <v>897</v>
      </c>
      <c r="U251" s="856">
        <v>43482</v>
      </c>
      <c r="V251" s="857" t="s">
        <v>898</v>
      </c>
      <c r="W251" s="858" t="s">
        <v>575</v>
      </c>
      <c r="X251" s="859">
        <v>12100000</v>
      </c>
      <c r="Y251" s="859">
        <v>0</v>
      </c>
      <c r="Z251" s="859">
        <v>12100000</v>
      </c>
      <c r="AA251" s="862" t="s">
        <v>899</v>
      </c>
      <c r="AB251" s="863">
        <v>6819</v>
      </c>
      <c r="AC251" s="862" t="s">
        <v>577</v>
      </c>
      <c r="AD251" s="856">
        <v>43482</v>
      </c>
      <c r="AE251" s="856">
        <v>43815</v>
      </c>
      <c r="AF251" s="863" t="s">
        <v>664</v>
      </c>
      <c r="AG251" s="864" t="s">
        <v>659</v>
      </c>
    </row>
    <row r="252" spans="1:33" ht="150" x14ac:dyDescent="0.35">
      <c r="A252" s="668">
        <v>231</v>
      </c>
      <c r="B252" s="847" t="str">
        <f>VLOOKUP(A252,'[4]Contratos de PSPYAG 2019'!$B$5:$C$142,2,FALSE)</f>
        <v>Servicio de Asistencia técnica en la implementación de las políticas de Función Pública</v>
      </c>
      <c r="C252" s="623" t="s">
        <v>311</v>
      </c>
      <c r="D252" s="624">
        <v>80101706</v>
      </c>
      <c r="E252" s="625" t="s">
        <v>314</v>
      </c>
      <c r="F252" s="623" t="s">
        <v>70</v>
      </c>
      <c r="G252" s="623">
        <v>1</v>
      </c>
      <c r="H252" s="623" t="s">
        <v>96</v>
      </c>
      <c r="I252" s="623">
        <v>10.5</v>
      </c>
      <c r="J252" s="623" t="s">
        <v>244</v>
      </c>
      <c r="K252" s="623" t="s">
        <v>130</v>
      </c>
      <c r="L252" s="623" t="s">
        <v>279</v>
      </c>
      <c r="M252" s="622">
        <v>26250000</v>
      </c>
      <c r="N252" s="627">
        <v>26250000</v>
      </c>
      <c r="O252" s="623" t="s">
        <v>75</v>
      </c>
      <c r="P252" s="623" t="s">
        <v>76</v>
      </c>
      <c r="Q252" s="623" t="s">
        <v>313</v>
      </c>
      <c r="S252" s="855" t="s">
        <v>1065</v>
      </c>
      <c r="T252" s="855" t="s">
        <v>1066</v>
      </c>
      <c r="U252" s="865">
        <v>43500</v>
      </c>
      <c r="V252" s="857" t="s">
        <v>1067</v>
      </c>
      <c r="W252" s="858" t="s">
        <v>553</v>
      </c>
      <c r="X252" s="859">
        <v>26250000</v>
      </c>
      <c r="Y252" s="860">
        <v>0</v>
      </c>
      <c r="Z252" s="859">
        <v>26250000</v>
      </c>
      <c r="AA252" s="857" t="s">
        <v>1068</v>
      </c>
      <c r="AB252" s="858">
        <v>15419</v>
      </c>
      <c r="AC252" s="862" t="s">
        <v>811</v>
      </c>
      <c r="AD252" s="856">
        <v>43500</v>
      </c>
      <c r="AE252" s="856">
        <v>43817</v>
      </c>
      <c r="AF252" s="863" t="s">
        <v>1069</v>
      </c>
      <c r="AG252" s="864" t="s">
        <v>605</v>
      </c>
    </row>
    <row r="253" spans="1:33" s="667" customFormat="1" ht="150" x14ac:dyDescent="0.35">
      <c r="A253" s="668">
        <v>232</v>
      </c>
      <c r="B253" s="634"/>
      <c r="C253" s="623" t="s">
        <v>68</v>
      </c>
      <c r="D253" s="624">
        <v>30191502</v>
      </c>
      <c r="E253" s="625" t="s">
        <v>540</v>
      </c>
      <c r="F253" s="623" t="s">
        <v>70</v>
      </c>
      <c r="G253" s="623">
        <v>1</v>
      </c>
      <c r="H253" s="626" t="s">
        <v>71</v>
      </c>
      <c r="I253" s="623">
        <v>1</v>
      </c>
      <c r="J253" s="623" t="s">
        <v>220</v>
      </c>
      <c r="K253" s="623" t="s">
        <v>73</v>
      </c>
      <c r="L253" s="623" t="s">
        <v>109</v>
      </c>
      <c r="M253" s="622">
        <v>4000000</v>
      </c>
      <c r="N253" s="627">
        <v>4000000</v>
      </c>
      <c r="O253" s="623" t="s">
        <v>75</v>
      </c>
      <c r="P253" s="623" t="s">
        <v>76</v>
      </c>
      <c r="Q253" s="623" t="s">
        <v>77</v>
      </c>
      <c r="R253" s="639"/>
      <c r="S253" s="855" t="s">
        <v>1070</v>
      </c>
      <c r="T253" s="855" t="s">
        <v>1071</v>
      </c>
      <c r="U253" s="865">
        <v>43502</v>
      </c>
      <c r="V253" s="857" t="s">
        <v>1072</v>
      </c>
      <c r="W253" s="858" t="s">
        <v>1073</v>
      </c>
      <c r="X253" s="859">
        <v>4000000</v>
      </c>
      <c r="Y253" s="860">
        <v>0</v>
      </c>
      <c r="Z253" s="859">
        <v>4000000</v>
      </c>
      <c r="AA253" s="857" t="s">
        <v>1074</v>
      </c>
      <c r="AB253" s="858">
        <v>15019</v>
      </c>
      <c r="AC253" s="862" t="s">
        <v>1075</v>
      </c>
      <c r="AD253" s="856">
        <v>43502</v>
      </c>
      <c r="AE253" s="856">
        <v>43529</v>
      </c>
      <c r="AF253" s="863" t="s">
        <v>925</v>
      </c>
      <c r="AG253" s="864" t="s">
        <v>691</v>
      </c>
    </row>
    <row r="254" spans="1:33" s="667" customFormat="1" ht="150" x14ac:dyDescent="0.35">
      <c r="A254" s="668">
        <v>233</v>
      </c>
      <c r="B254" s="634"/>
      <c r="C254" s="623" t="s">
        <v>324</v>
      </c>
      <c r="D254" s="624">
        <v>80101706</v>
      </c>
      <c r="E254" s="625" t="s">
        <v>531</v>
      </c>
      <c r="F254" s="623" t="s">
        <v>70</v>
      </c>
      <c r="G254" s="623">
        <v>1</v>
      </c>
      <c r="H254" s="626" t="s">
        <v>120</v>
      </c>
      <c r="I254" s="623">
        <v>8.5</v>
      </c>
      <c r="J254" s="623" t="s">
        <v>282</v>
      </c>
      <c r="K254" s="623" t="s">
        <v>130</v>
      </c>
      <c r="L254" s="623" t="s">
        <v>306</v>
      </c>
      <c r="M254" s="622">
        <v>378000000</v>
      </c>
      <c r="N254" s="622">
        <v>378000000</v>
      </c>
      <c r="O254" s="623" t="s">
        <v>75</v>
      </c>
      <c r="P254" s="623" t="s">
        <v>76</v>
      </c>
      <c r="Q254" s="623" t="s">
        <v>326</v>
      </c>
      <c r="R254" s="639"/>
    </row>
    <row r="255" spans="1:33" s="667" customFormat="1" ht="120" x14ac:dyDescent="0.35">
      <c r="A255" s="668">
        <v>234</v>
      </c>
      <c r="B255" s="623" t="s">
        <v>529</v>
      </c>
      <c r="C255" s="623" t="s">
        <v>115</v>
      </c>
      <c r="D255" s="624">
        <v>81111500</v>
      </c>
      <c r="E255" s="625" t="s">
        <v>1224</v>
      </c>
      <c r="F255" s="623" t="s">
        <v>70</v>
      </c>
      <c r="G255" s="623">
        <v>1</v>
      </c>
      <c r="H255" s="626" t="s">
        <v>120</v>
      </c>
      <c r="I255" s="623">
        <v>2</v>
      </c>
      <c r="J255" s="623" t="s">
        <v>1177</v>
      </c>
      <c r="K255" s="623" t="s">
        <v>130</v>
      </c>
      <c r="L255" s="623" t="s">
        <v>185</v>
      </c>
      <c r="M255" s="622">
        <v>47743000</v>
      </c>
      <c r="N255" s="627">
        <v>47743000</v>
      </c>
      <c r="O255" s="623" t="s">
        <v>75</v>
      </c>
      <c r="P255" s="623" t="s">
        <v>76</v>
      </c>
      <c r="Q255" s="623" t="s">
        <v>118</v>
      </c>
      <c r="R255" s="639"/>
    </row>
    <row r="256" spans="1:33" s="667" customFormat="1" ht="120" x14ac:dyDescent="0.35">
      <c r="A256" s="668">
        <v>235</v>
      </c>
      <c r="B256" s="634"/>
      <c r="C256" s="623" t="s">
        <v>115</v>
      </c>
      <c r="D256" s="624">
        <v>81112501</v>
      </c>
      <c r="E256" s="625" t="s">
        <v>530</v>
      </c>
      <c r="F256" s="623" t="s">
        <v>70</v>
      </c>
      <c r="G256" s="623">
        <v>1</v>
      </c>
      <c r="H256" s="626" t="s">
        <v>96</v>
      </c>
      <c r="I256" s="623">
        <v>2</v>
      </c>
      <c r="J256" s="623" t="s">
        <v>98</v>
      </c>
      <c r="K256" s="623" t="s">
        <v>130</v>
      </c>
      <c r="L256" s="623" t="s">
        <v>185</v>
      </c>
      <c r="M256" s="622">
        <v>2500000</v>
      </c>
      <c r="N256" s="627">
        <v>2500000</v>
      </c>
      <c r="O256" s="623" t="s">
        <v>75</v>
      </c>
      <c r="P256" s="623" t="s">
        <v>76</v>
      </c>
      <c r="Q256" s="623" t="s">
        <v>118</v>
      </c>
      <c r="R256" s="639"/>
      <c r="S256" s="855" t="s">
        <v>1076</v>
      </c>
      <c r="T256" s="855" t="s">
        <v>1077</v>
      </c>
      <c r="U256" s="865">
        <v>43495</v>
      </c>
      <c r="V256" s="857" t="s">
        <v>1078</v>
      </c>
      <c r="W256" s="858" t="s">
        <v>903</v>
      </c>
      <c r="X256" s="859">
        <v>2321375</v>
      </c>
      <c r="Y256" s="860">
        <v>0</v>
      </c>
      <c r="Z256" s="859">
        <v>2321375</v>
      </c>
      <c r="AA256" s="857" t="s">
        <v>1079</v>
      </c>
      <c r="AB256" s="863">
        <v>5919</v>
      </c>
      <c r="AC256" s="862" t="s">
        <v>1080</v>
      </c>
      <c r="AD256" s="856">
        <v>43495</v>
      </c>
      <c r="AE256" s="856">
        <v>43859</v>
      </c>
      <c r="AF256" s="863" t="s">
        <v>1081</v>
      </c>
      <c r="AG256" s="864" t="s">
        <v>813</v>
      </c>
    </row>
    <row r="257" spans="1:33" s="667" customFormat="1" ht="206.25" x14ac:dyDescent="0.35">
      <c r="A257" s="668">
        <v>236</v>
      </c>
      <c r="B257" s="623"/>
      <c r="C257" s="623" t="s">
        <v>154</v>
      </c>
      <c r="D257" s="623" t="s">
        <v>157</v>
      </c>
      <c r="E257" s="625" t="s">
        <v>158</v>
      </c>
      <c r="F257" s="623" t="s">
        <v>70</v>
      </c>
      <c r="G257" s="623">
        <v>1</v>
      </c>
      <c r="H257" s="626" t="s">
        <v>96</v>
      </c>
      <c r="I257" s="623">
        <v>12</v>
      </c>
      <c r="J257" s="623" t="s">
        <v>98</v>
      </c>
      <c r="K257" s="623" t="s">
        <v>73</v>
      </c>
      <c r="L257" s="623" t="s">
        <v>159</v>
      </c>
      <c r="M257" s="622">
        <v>22740000</v>
      </c>
      <c r="N257" s="627">
        <v>22740000</v>
      </c>
      <c r="O257" s="623" t="s">
        <v>75</v>
      </c>
      <c r="P257" s="623" t="s">
        <v>76</v>
      </c>
      <c r="Q257" s="623" t="s">
        <v>156</v>
      </c>
      <c r="R257" s="639"/>
      <c r="S257" s="855" t="s">
        <v>900</v>
      </c>
      <c r="T257" s="855" t="s">
        <v>901</v>
      </c>
      <c r="U257" s="856">
        <v>43494</v>
      </c>
      <c r="V257" s="857" t="s">
        <v>902</v>
      </c>
      <c r="W257" s="858" t="s">
        <v>903</v>
      </c>
      <c r="X257" s="859">
        <v>14889577</v>
      </c>
      <c r="Y257" s="860">
        <v>0</v>
      </c>
      <c r="Z257" s="859">
        <v>14889577</v>
      </c>
      <c r="AA257" s="862" t="s">
        <v>904</v>
      </c>
      <c r="AB257" s="863">
        <v>4619</v>
      </c>
      <c r="AC257" s="862" t="s">
        <v>905</v>
      </c>
      <c r="AD257" s="856">
        <v>43494</v>
      </c>
      <c r="AE257" s="856">
        <v>43766</v>
      </c>
      <c r="AF257" s="863" t="s">
        <v>906</v>
      </c>
      <c r="AG257" s="864" t="s">
        <v>659</v>
      </c>
    </row>
    <row r="258" spans="1:33" s="667" customFormat="1" ht="173.1" customHeight="1" x14ac:dyDescent="0.35">
      <c r="A258" s="668">
        <v>237</v>
      </c>
      <c r="B258" s="623" t="s">
        <v>542</v>
      </c>
      <c r="C258" s="623" t="s">
        <v>324</v>
      </c>
      <c r="D258" s="624">
        <v>80101706</v>
      </c>
      <c r="E258" s="625" t="s">
        <v>543</v>
      </c>
      <c r="F258" s="623" t="s">
        <v>70</v>
      </c>
      <c r="G258" s="623">
        <v>1</v>
      </c>
      <c r="H258" s="626" t="s">
        <v>71</v>
      </c>
      <c r="I258" s="623">
        <v>4</v>
      </c>
      <c r="J258" s="623" t="s">
        <v>244</v>
      </c>
      <c r="K258" s="623" t="s">
        <v>130</v>
      </c>
      <c r="L258" s="623" t="s">
        <v>306</v>
      </c>
      <c r="M258" s="622">
        <v>30000000</v>
      </c>
      <c r="N258" s="627">
        <f>+M258</f>
        <v>30000000</v>
      </c>
      <c r="O258" s="623" t="s">
        <v>75</v>
      </c>
      <c r="P258" s="623" t="s">
        <v>76</v>
      </c>
      <c r="Q258" s="623" t="s">
        <v>326</v>
      </c>
      <c r="R258" s="639"/>
      <c r="S258" s="855" t="s">
        <v>1167</v>
      </c>
      <c r="T258" s="855" t="s">
        <v>1168</v>
      </c>
      <c r="U258" s="856">
        <v>43521</v>
      </c>
      <c r="V258" s="857" t="s">
        <v>1169</v>
      </c>
      <c r="W258" s="858" t="s">
        <v>553</v>
      </c>
      <c r="X258" s="859">
        <v>30000000</v>
      </c>
      <c r="Y258" s="860">
        <v>0</v>
      </c>
      <c r="Z258" s="859">
        <v>30000000</v>
      </c>
      <c r="AA258" s="857" t="s">
        <v>1170</v>
      </c>
      <c r="AB258" s="858">
        <v>16819</v>
      </c>
      <c r="AC258" s="862" t="s">
        <v>1171</v>
      </c>
      <c r="AD258" s="856">
        <v>43522</v>
      </c>
      <c r="AE258" s="856">
        <v>43641</v>
      </c>
      <c r="AF258" s="863" t="s">
        <v>886</v>
      </c>
      <c r="AG258" s="864" t="s">
        <v>887</v>
      </c>
    </row>
    <row r="259" spans="1:33" s="667" customFormat="1" ht="229.5" customHeight="1" x14ac:dyDescent="0.35">
      <c r="A259" s="668">
        <v>238</v>
      </c>
      <c r="B259" s="634"/>
      <c r="C259" s="623" t="s">
        <v>139</v>
      </c>
      <c r="D259" s="624">
        <v>49181507</v>
      </c>
      <c r="E259" s="625" t="s">
        <v>541</v>
      </c>
      <c r="F259" s="623" t="s">
        <v>70</v>
      </c>
      <c r="G259" s="623">
        <v>1</v>
      </c>
      <c r="H259" s="626" t="s">
        <v>71</v>
      </c>
      <c r="I259" s="623">
        <v>1</v>
      </c>
      <c r="J259" s="623" t="s">
        <v>220</v>
      </c>
      <c r="K259" s="623" t="s">
        <v>73</v>
      </c>
      <c r="L259" s="623" t="s">
        <v>167</v>
      </c>
      <c r="M259" s="622">
        <v>2000000</v>
      </c>
      <c r="N259" s="627">
        <v>2000000</v>
      </c>
      <c r="O259" s="623" t="s">
        <v>75</v>
      </c>
      <c r="P259" s="623" t="s">
        <v>76</v>
      </c>
      <c r="Q259" s="623" t="s">
        <v>142</v>
      </c>
      <c r="R259" s="639"/>
      <c r="S259" s="855" t="s">
        <v>1082</v>
      </c>
      <c r="T259" s="855" t="s">
        <v>1071</v>
      </c>
      <c r="U259" s="865">
        <v>43504</v>
      </c>
      <c r="V259" s="857" t="s">
        <v>1083</v>
      </c>
      <c r="W259" s="858" t="s">
        <v>1073</v>
      </c>
      <c r="X259" s="859">
        <v>1999800</v>
      </c>
      <c r="Y259" s="860">
        <v>0</v>
      </c>
      <c r="Z259" s="859">
        <v>1999800</v>
      </c>
      <c r="AA259" s="857" t="s">
        <v>1084</v>
      </c>
      <c r="AB259" s="858">
        <v>15819</v>
      </c>
      <c r="AC259" s="862" t="s">
        <v>1075</v>
      </c>
      <c r="AD259" s="856">
        <v>43504</v>
      </c>
      <c r="AE259" s="856">
        <v>43531</v>
      </c>
      <c r="AF259" s="863" t="s">
        <v>1085</v>
      </c>
      <c r="AG259" s="864" t="s">
        <v>718</v>
      </c>
    </row>
    <row r="260" spans="1:33" s="667" customFormat="1" ht="229.5" customHeight="1" x14ac:dyDescent="0.35">
      <c r="A260" s="668">
        <v>239</v>
      </c>
      <c r="B260" s="623"/>
      <c r="C260" s="623" t="s">
        <v>115</v>
      </c>
      <c r="D260" s="624">
        <v>80101706</v>
      </c>
      <c r="E260" s="625" t="s">
        <v>907</v>
      </c>
      <c r="F260" s="623" t="s">
        <v>70</v>
      </c>
      <c r="G260" s="623">
        <v>1</v>
      </c>
      <c r="H260" s="623" t="s">
        <v>84</v>
      </c>
      <c r="I260" s="623">
        <v>4</v>
      </c>
      <c r="J260" s="623" t="s">
        <v>81</v>
      </c>
      <c r="K260" s="623" t="s">
        <v>130</v>
      </c>
      <c r="L260" s="623" t="s">
        <v>185</v>
      </c>
      <c r="M260" s="622">
        <v>330000000</v>
      </c>
      <c r="N260" s="622">
        <v>330000000</v>
      </c>
      <c r="O260" s="623" t="s">
        <v>75</v>
      </c>
      <c r="P260" s="623" t="s">
        <v>76</v>
      </c>
      <c r="Q260" s="623" t="s">
        <v>118</v>
      </c>
      <c r="R260" s="639"/>
      <c r="S260" s="855" t="s">
        <v>1102</v>
      </c>
      <c r="T260" s="855" t="s">
        <v>1103</v>
      </c>
      <c r="U260" s="865">
        <v>43523</v>
      </c>
      <c r="V260" s="857" t="s">
        <v>1104</v>
      </c>
      <c r="W260" s="858" t="s">
        <v>1073</v>
      </c>
      <c r="X260" s="859">
        <v>262977748.94999999</v>
      </c>
      <c r="Y260" s="860">
        <v>0</v>
      </c>
      <c r="Z260" s="859">
        <v>262977748.94999999</v>
      </c>
      <c r="AA260" s="857" t="s">
        <v>1105</v>
      </c>
      <c r="AB260" s="858" t="s">
        <v>1106</v>
      </c>
      <c r="AC260" s="857" t="s">
        <v>1107</v>
      </c>
      <c r="AD260" s="865">
        <v>43523</v>
      </c>
      <c r="AE260" s="865">
        <v>43887</v>
      </c>
      <c r="AF260" s="858" t="s">
        <v>1108</v>
      </c>
      <c r="AG260" s="869" t="s">
        <v>813</v>
      </c>
    </row>
    <row r="261" spans="1:33" s="667" customFormat="1" ht="229.5" customHeight="1" x14ac:dyDescent="0.35">
      <c r="A261" s="668">
        <v>240</v>
      </c>
      <c r="B261" s="623"/>
      <c r="C261" s="623" t="s">
        <v>115</v>
      </c>
      <c r="D261" s="624">
        <v>80101706</v>
      </c>
      <c r="E261" s="625" t="s">
        <v>908</v>
      </c>
      <c r="F261" s="623" t="s">
        <v>70</v>
      </c>
      <c r="G261" s="623">
        <v>1</v>
      </c>
      <c r="H261" s="623" t="s">
        <v>1241</v>
      </c>
      <c r="I261" s="623">
        <v>4</v>
      </c>
      <c r="J261" s="623" t="s">
        <v>535</v>
      </c>
      <c r="K261" s="623" t="s">
        <v>130</v>
      </c>
      <c r="L261" s="623" t="s">
        <v>528</v>
      </c>
      <c r="M261" s="622">
        <v>50000000</v>
      </c>
      <c r="N261" s="622">
        <v>50000000</v>
      </c>
      <c r="O261" s="623" t="s">
        <v>75</v>
      </c>
      <c r="P261" s="623" t="s">
        <v>76</v>
      </c>
      <c r="Q261" s="623" t="s">
        <v>118</v>
      </c>
      <c r="R261" s="639"/>
    </row>
    <row r="262" spans="1:33" s="667" customFormat="1" ht="229.5" customHeight="1" x14ac:dyDescent="0.35">
      <c r="A262" s="668">
        <v>241</v>
      </c>
      <c r="B262" s="623"/>
      <c r="C262" s="623" t="s">
        <v>115</v>
      </c>
      <c r="D262" s="624">
        <v>80101706</v>
      </c>
      <c r="E262" s="625" t="s">
        <v>1178</v>
      </c>
      <c r="F262" s="623" t="s">
        <v>70</v>
      </c>
      <c r="G262" s="623">
        <v>1</v>
      </c>
      <c r="H262" s="623" t="s">
        <v>1241</v>
      </c>
      <c r="I262" s="623">
        <v>4</v>
      </c>
      <c r="J262" s="623" t="s">
        <v>227</v>
      </c>
      <c r="K262" s="623" t="s">
        <v>130</v>
      </c>
      <c r="L262" s="623" t="s">
        <v>185</v>
      </c>
      <c r="M262" s="622">
        <v>400372500</v>
      </c>
      <c r="N262" s="622">
        <v>400372500</v>
      </c>
      <c r="O262" s="623" t="s">
        <v>75</v>
      </c>
      <c r="P262" s="623" t="s">
        <v>76</v>
      </c>
      <c r="Q262" s="623" t="s">
        <v>118</v>
      </c>
      <c r="R262" s="639"/>
    </row>
    <row r="263" spans="1:33" s="667" customFormat="1" ht="229.5" customHeight="1" x14ac:dyDescent="0.35">
      <c r="A263" s="668">
        <v>242</v>
      </c>
      <c r="B263" s="628"/>
      <c r="C263" s="628" t="s">
        <v>115</v>
      </c>
      <c r="D263" s="629">
        <v>80101706</v>
      </c>
      <c r="E263" s="630" t="s">
        <v>909</v>
      </c>
      <c r="F263" s="628" t="s">
        <v>70</v>
      </c>
      <c r="G263" s="628">
        <v>1</v>
      </c>
      <c r="H263" s="628" t="s">
        <v>84</v>
      </c>
      <c r="I263" s="628">
        <v>4</v>
      </c>
      <c r="J263" s="628" t="s">
        <v>227</v>
      </c>
      <c r="K263" s="628" t="s">
        <v>130</v>
      </c>
      <c r="L263" s="628" t="s">
        <v>528</v>
      </c>
      <c r="M263" s="631"/>
      <c r="N263" s="631"/>
      <c r="O263" s="628" t="s">
        <v>75</v>
      </c>
      <c r="P263" s="628" t="s">
        <v>76</v>
      </c>
      <c r="Q263" s="628" t="s">
        <v>118</v>
      </c>
      <c r="R263" s="639"/>
    </row>
    <row r="264" spans="1:33" s="667" customFormat="1" ht="130.5" customHeight="1" x14ac:dyDescent="0.35">
      <c r="A264" s="668">
        <v>243</v>
      </c>
      <c r="B264" s="623"/>
      <c r="C264" s="623" t="s">
        <v>115</v>
      </c>
      <c r="D264" s="624">
        <v>80101706</v>
      </c>
      <c r="E264" s="625" t="s">
        <v>910</v>
      </c>
      <c r="F264" s="623" t="s">
        <v>70</v>
      </c>
      <c r="G264" s="623">
        <v>1</v>
      </c>
      <c r="H264" s="623" t="s">
        <v>80</v>
      </c>
      <c r="I264" s="623">
        <v>4</v>
      </c>
      <c r="J264" s="623" t="s">
        <v>535</v>
      </c>
      <c r="K264" s="623" t="s">
        <v>130</v>
      </c>
      <c r="L264" s="623" t="s">
        <v>528</v>
      </c>
      <c r="M264" s="622">
        <v>36000000</v>
      </c>
      <c r="N264" s="622">
        <v>36000000</v>
      </c>
      <c r="O264" s="623" t="s">
        <v>75</v>
      </c>
      <c r="P264" s="623" t="s">
        <v>76</v>
      </c>
      <c r="Q264" s="623" t="s">
        <v>118</v>
      </c>
      <c r="R264" s="639"/>
    </row>
    <row r="265" spans="1:33" s="667" customFormat="1" ht="180.6" customHeight="1" x14ac:dyDescent="0.35">
      <c r="A265" s="668">
        <v>244</v>
      </c>
      <c r="B265" s="623" t="s">
        <v>1090</v>
      </c>
      <c r="C265" s="623" t="s">
        <v>324</v>
      </c>
      <c r="D265" s="624">
        <v>80101706</v>
      </c>
      <c r="E265" s="625" t="s">
        <v>1091</v>
      </c>
      <c r="F265" s="623" t="s">
        <v>70</v>
      </c>
      <c r="G265" s="623">
        <v>1</v>
      </c>
      <c r="H265" s="626" t="s">
        <v>120</v>
      </c>
      <c r="I265" s="623">
        <v>6</v>
      </c>
      <c r="J265" s="623" t="s">
        <v>244</v>
      </c>
      <c r="K265" s="623" t="s">
        <v>130</v>
      </c>
      <c r="L265" s="623" t="s">
        <v>306</v>
      </c>
      <c r="M265" s="848">
        <v>42000000</v>
      </c>
      <c r="N265" s="627">
        <v>42000000</v>
      </c>
      <c r="O265" s="623" t="s">
        <v>75</v>
      </c>
      <c r="P265" s="623" t="s">
        <v>76</v>
      </c>
      <c r="Q265" s="623" t="s">
        <v>326</v>
      </c>
      <c r="R265" s="639"/>
    </row>
    <row r="266" spans="1:33" s="667" customFormat="1" ht="130.5" customHeight="1" x14ac:dyDescent="0.35">
      <c r="A266" s="668">
        <v>245</v>
      </c>
      <c r="B266" s="623"/>
      <c r="C266" s="623" t="s">
        <v>68</v>
      </c>
      <c r="D266" s="623">
        <v>77111602</v>
      </c>
      <c r="E266" s="625" t="s">
        <v>1094</v>
      </c>
      <c r="F266" s="623" t="s">
        <v>70</v>
      </c>
      <c r="G266" s="623">
        <v>2</v>
      </c>
      <c r="H266" s="626" t="s">
        <v>108</v>
      </c>
      <c r="I266" s="623">
        <v>7</v>
      </c>
      <c r="J266" s="623" t="s">
        <v>98</v>
      </c>
      <c r="K266" s="623" t="s">
        <v>73</v>
      </c>
      <c r="L266" s="623" t="s">
        <v>1093</v>
      </c>
      <c r="M266" s="848">
        <v>2400000</v>
      </c>
      <c r="N266" s="627">
        <v>2400000</v>
      </c>
      <c r="O266" s="623" t="s">
        <v>75</v>
      </c>
      <c r="P266" s="623" t="s">
        <v>76</v>
      </c>
      <c r="Q266" s="623" t="s">
        <v>77</v>
      </c>
      <c r="R266" s="639"/>
    </row>
    <row r="267" spans="1:33" s="667" customFormat="1" ht="186" customHeight="1" x14ac:dyDescent="0.35">
      <c r="A267" s="668">
        <v>246</v>
      </c>
      <c r="B267" s="623"/>
      <c r="C267" s="623" t="s">
        <v>139</v>
      </c>
      <c r="D267" s="623">
        <v>80101706</v>
      </c>
      <c r="E267" s="625" t="s">
        <v>1173</v>
      </c>
      <c r="F267" s="623" t="s">
        <v>70</v>
      </c>
      <c r="G267" s="623">
        <v>1</v>
      </c>
      <c r="H267" s="626" t="s">
        <v>120</v>
      </c>
      <c r="I267" s="623">
        <v>8</v>
      </c>
      <c r="J267" s="623" t="s">
        <v>98</v>
      </c>
      <c r="K267" s="623" t="s">
        <v>73</v>
      </c>
      <c r="L267" s="623" t="s">
        <v>161</v>
      </c>
      <c r="M267" s="848">
        <v>9000000</v>
      </c>
      <c r="N267" s="627">
        <v>9000000</v>
      </c>
      <c r="O267" s="623" t="s">
        <v>75</v>
      </c>
      <c r="P267" s="623" t="s">
        <v>76</v>
      </c>
      <c r="Q267" s="623" t="s">
        <v>142</v>
      </c>
      <c r="R267" s="639"/>
    </row>
    <row r="268" spans="1:33" s="667" customFormat="1" ht="164.45" customHeight="1" x14ac:dyDescent="0.35">
      <c r="A268" s="668">
        <v>247</v>
      </c>
      <c r="B268" s="623" t="s">
        <v>1181</v>
      </c>
      <c r="C268" s="623" t="s">
        <v>115</v>
      </c>
      <c r="D268" s="624">
        <v>81112501</v>
      </c>
      <c r="E268" s="625" t="s">
        <v>1179</v>
      </c>
      <c r="F268" s="623" t="s">
        <v>70</v>
      </c>
      <c r="G268" s="623">
        <v>1</v>
      </c>
      <c r="H268" s="626" t="s">
        <v>108</v>
      </c>
      <c r="I268" s="623">
        <v>7</v>
      </c>
      <c r="J268" s="625" t="s">
        <v>1180</v>
      </c>
      <c r="K268" s="623" t="s">
        <v>130</v>
      </c>
      <c r="L268" s="623" t="s">
        <v>528</v>
      </c>
      <c r="M268" s="848">
        <v>200000000</v>
      </c>
      <c r="N268" s="627">
        <v>200000000</v>
      </c>
      <c r="O268" s="623" t="s">
        <v>75</v>
      </c>
      <c r="P268" s="623" t="s">
        <v>76</v>
      </c>
      <c r="Q268" s="623" t="s">
        <v>118</v>
      </c>
      <c r="R268" s="670"/>
      <c r="S268" s="623"/>
    </row>
    <row r="269" spans="1:33" s="667" customFormat="1" ht="164.45" customHeight="1" x14ac:dyDescent="0.35">
      <c r="A269" s="668">
        <v>248</v>
      </c>
      <c r="B269" s="623"/>
      <c r="C269" s="623" t="s">
        <v>324</v>
      </c>
      <c r="D269" s="624">
        <v>80101706</v>
      </c>
      <c r="E269" s="625" t="s">
        <v>1238</v>
      </c>
      <c r="F269" s="623" t="s">
        <v>70</v>
      </c>
      <c r="G269" s="623">
        <v>1</v>
      </c>
      <c r="H269" s="626" t="s">
        <v>120</v>
      </c>
      <c r="I269" s="623">
        <v>8</v>
      </c>
      <c r="J269" s="623" t="s">
        <v>244</v>
      </c>
      <c r="K269" s="623" t="s">
        <v>130</v>
      </c>
      <c r="L269" s="623" t="s">
        <v>306</v>
      </c>
      <c r="M269" s="848">
        <v>48000000</v>
      </c>
      <c r="N269" s="627">
        <f>+M269</f>
        <v>48000000</v>
      </c>
      <c r="O269" s="623" t="s">
        <v>75</v>
      </c>
      <c r="P269" s="623" t="s">
        <v>76</v>
      </c>
      <c r="Q269" s="623" t="s">
        <v>326</v>
      </c>
      <c r="R269" s="751"/>
      <c r="S269" s="850"/>
    </row>
    <row r="270" spans="1:33" s="667" customFormat="1" ht="164.45" customHeight="1" x14ac:dyDescent="0.35">
      <c r="A270" s="849"/>
      <c r="B270" s="850"/>
      <c r="C270" s="850"/>
      <c r="D270" s="850"/>
      <c r="E270" s="851"/>
      <c r="F270" s="850"/>
      <c r="G270" s="850"/>
      <c r="H270" s="852"/>
      <c r="I270" s="850"/>
      <c r="J270" s="850"/>
      <c r="K270" s="850"/>
      <c r="L270" s="850"/>
      <c r="M270" s="853"/>
      <c r="N270" s="854"/>
      <c r="O270" s="850"/>
      <c r="P270" s="850"/>
      <c r="Q270" s="850"/>
      <c r="R270" s="639"/>
    </row>
    <row r="271" spans="1:33" s="667" customFormat="1" ht="141" customHeight="1" x14ac:dyDescent="0.35">
      <c r="A271" s="635"/>
      <c r="B271" s="752"/>
      <c r="C271" s="752"/>
      <c r="D271" s="752"/>
      <c r="E271" s="752" t="s">
        <v>1086</v>
      </c>
      <c r="F271" s="752"/>
      <c r="G271" s="752"/>
      <c r="H271" s="752"/>
      <c r="I271" s="752"/>
      <c r="J271" s="752"/>
      <c r="K271" s="752"/>
      <c r="L271" s="826" t="s">
        <v>352</v>
      </c>
      <c r="M271" s="826"/>
      <c r="N271" s="752"/>
      <c r="O271" s="752"/>
      <c r="P271" s="752"/>
      <c r="Q271" s="752"/>
      <c r="R271" s="639"/>
    </row>
    <row r="272" spans="1:33" s="667" customFormat="1" ht="141" customHeight="1" x14ac:dyDescent="0.35">
      <c r="A272" s="635"/>
      <c r="B272" s="740"/>
      <c r="C272" s="740"/>
      <c r="D272" s="740"/>
      <c r="E272" s="740"/>
      <c r="F272" s="740"/>
      <c r="G272" s="740"/>
      <c r="H272" s="740"/>
      <c r="I272" s="740"/>
      <c r="J272" s="740"/>
      <c r="K272" s="740"/>
      <c r="L272" s="740"/>
      <c r="M272" s="740"/>
      <c r="N272" s="740"/>
      <c r="O272" s="740"/>
      <c r="P272" s="740"/>
      <c r="Q272" s="740"/>
      <c r="R272" s="639"/>
    </row>
    <row r="273" spans="1:33" s="667" customFormat="1" ht="141" customHeight="1" x14ac:dyDescent="0.35">
      <c r="A273" s="635"/>
      <c r="B273" s="740"/>
      <c r="C273" s="740"/>
      <c r="D273" s="740"/>
      <c r="E273" s="740"/>
      <c r="F273" s="740"/>
      <c r="G273" s="740"/>
      <c r="H273" s="740"/>
      <c r="I273" s="740"/>
      <c r="J273" s="740"/>
      <c r="K273" s="740"/>
      <c r="L273" s="740"/>
      <c r="M273" s="740"/>
      <c r="N273" s="740"/>
      <c r="O273" s="740"/>
      <c r="P273" s="740"/>
      <c r="Q273" s="740"/>
      <c r="R273" s="639"/>
    </row>
    <row r="274" spans="1:33" ht="30" x14ac:dyDescent="0.35">
      <c r="F274" s="826"/>
      <c r="G274" s="826"/>
      <c r="H274" s="826"/>
      <c r="S274" s="667"/>
      <c r="T274" s="667"/>
      <c r="U274" s="667"/>
      <c r="V274" s="667"/>
      <c r="W274" s="667"/>
      <c r="X274" s="667"/>
      <c r="Y274" s="667"/>
      <c r="Z274" s="667"/>
      <c r="AA274" s="667"/>
      <c r="AB274" s="667"/>
      <c r="AC274" s="667"/>
      <c r="AD274" s="667"/>
      <c r="AE274" s="667"/>
      <c r="AF274" s="667"/>
      <c r="AG274" s="667"/>
    </row>
    <row r="275" spans="1:33" x14ac:dyDescent="0.35">
      <c r="S275" s="667"/>
      <c r="T275" s="667"/>
      <c r="U275" s="667"/>
      <c r="V275" s="667"/>
      <c r="W275" s="667"/>
      <c r="X275" s="667"/>
      <c r="Y275" s="667"/>
      <c r="Z275" s="667"/>
      <c r="AA275" s="667"/>
      <c r="AB275" s="667"/>
      <c r="AC275" s="667"/>
      <c r="AD275" s="667"/>
      <c r="AE275" s="667"/>
      <c r="AF275" s="667"/>
      <c r="AG275" s="667"/>
    </row>
    <row r="276" spans="1:33" x14ac:dyDescent="0.35">
      <c r="S276" s="667"/>
      <c r="T276" s="667"/>
      <c r="U276" s="667"/>
      <c r="V276" s="667"/>
      <c r="W276" s="667"/>
      <c r="X276" s="667"/>
      <c r="Y276" s="667"/>
      <c r="Z276" s="667"/>
      <c r="AA276" s="667"/>
      <c r="AB276" s="667"/>
      <c r="AC276" s="667"/>
      <c r="AD276" s="667"/>
      <c r="AE276" s="667"/>
      <c r="AF276" s="667"/>
      <c r="AG276" s="667"/>
    </row>
    <row r="277" spans="1:33" x14ac:dyDescent="0.35">
      <c r="S277" s="667"/>
      <c r="T277" s="667"/>
      <c r="U277" s="667"/>
      <c r="V277" s="667"/>
      <c r="W277" s="667"/>
      <c r="X277" s="667"/>
      <c r="Y277" s="667"/>
      <c r="Z277" s="667"/>
      <c r="AA277" s="667"/>
      <c r="AB277" s="667"/>
      <c r="AC277" s="667"/>
      <c r="AD277" s="667"/>
      <c r="AE277" s="667"/>
      <c r="AF277" s="667"/>
      <c r="AG277" s="667"/>
    </row>
    <row r="278" spans="1:33" x14ac:dyDescent="0.35">
      <c r="S278" s="667"/>
      <c r="T278" s="667"/>
      <c r="U278" s="667"/>
      <c r="V278" s="667"/>
      <c r="W278" s="667"/>
      <c r="X278" s="667"/>
      <c r="Y278" s="667"/>
      <c r="Z278" s="667"/>
      <c r="AA278" s="667"/>
      <c r="AB278" s="667"/>
      <c r="AC278" s="667"/>
      <c r="AD278" s="667"/>
      <c r="AE278" s="667"/>
      <c r="AF278" s="667"/>
      <c r="AG278" s="667"/>
    </row>
    <row r="279" spans="1:33" x14ac:dyDescent="0.35">
      <c r="S279" s="667"/>
      <c r="T279" s="667"/>
      <c r="U279" s="667"/>
      <c r="V279" s="667"/>
      <c r="W279" s="667"/>
      <c r="X279" s="667"/>
      <c r="Y279" s="667"/>
      <c r="Z279" s="667"/>
      <c r="AA279" s="667"/>
      <c r="AB279" s="667"/>
      <c r="AC279" s="667"/>
      <c r="AD279" s="667"/>
      <c r="AE279" s="667"/>
      <c r="AF279" s="667"/>
      <c r="AG279" s="667"/>
    </row>
    <row r="280" spans="1:33" x14ac:dyDescent="0.35">
      <c r="S280" s="667"/>
      <c r="T280" s="667"/>
      <c r="U280" s="667"/>
      <c r="V280" s="667"/>
      <c r="W280" s="667"/>
      <c r="X280" s="667"/>
      <c r="Y280" s="667"/>
      <c r="Z280" s="667"/>
      <c r="AA280" s="667"/>
      <c r="AB280" s="667"/>
      <c r="AC280" s="667"/>
      <c r="AD280" s="667"/>
      <c r="AE280" s="667"/>
      <c r="AF280" s="667"/>
      <c r="AG280" s="667"/>
    </row>
    <row r="281" spans="1:33" x14ac:dyDescent="0.35">
      <c r="S281" s="667"/>
      <c r="T281" s="667"/>
      <c r="U281" s="667"/>
      <c r="V281" s="667"/>
      <c r="W281" s="667"/>
      <c r="X281" s="667"/>
      <c r="Y281" s="667"/>
      <c r="Z281" s="667"/>
      <c r="AA281" s="667"/>
      <c r="AB281" s="667"/>
      <c r="AC281" s="667"/>
      <c r="AD281" s="667"/>
      <c r="AE281" s="667"/>
      <c r="AF281" s="667"/>
      <c r="AG281" s="667"/>
    </row>
    <row r="282" spans="1:33" x14ac:dyDescent="0.35">
      <c r="S282" s="667"/>
      <c r="T282" s="667"/>
      <c r="U282" s="667"/>
      <c r="V282" s="667"/>
      <c r="W282" s="667"/>
      <c r="X282" s="667"/>
      <c r="Y282" s="667"/>
      <c r="Z282" s="667"/>
      <c r="AA282" s="667"/>
      <c r="AB282" s="667"/>
      <c r="AC282" s="667"/>
      <c r="AD282" s="667"/>
      <c r="AE282" s="667"/>
      <c r="AF282" s="667"/>
      <c r="AG282" s="667"/>
    </row>
    <row r="283" spans="1:33" x14ac:dyDescent="0.35">
      <c r="S283" s="667"/>
      <c r="T283" s="667"/>
      <c r="U283" s="667"/>
      <c r="V283" s="667"/>
      <c r="W283" s="667"/>
      <c r="X283" s="667"/>
      <c r="Y283" s="667"/>
      <c r="Z283" s="667"/>
      <c r="AA283" s="667"/>
      <c r="AB283" s="667"/>
      <c r="AC283" s="667"/>
      <c r="AD283" s="667"/>
      <c r="AE283" s="667"/>
      <c r="AF283" s="667"/>
      <c r="AG283" s="667"/>
    </row>
    <row r="284" spans="1:33" x14ac:dyDescent="0.35">
      <c r="S284" s="667"/>
      <c r="T284" s="667"/>
      <c r="U284" s="667"/>
      <c r="V284" s="667"/>
      <c r="W284" s="667"/>
      <c r="X284" s="667"/>
      <c r="Y284" s="667"/>
      <c r="Z284" s="667"/>
      <c r="AA284" s="667"/>
      <c r="AB284" s="667"/>
      <c r="AC284" s="667"/>
      <c r="AD284" s="667"/>
      <c r="AE284" s="667"/>
      <c r="AF284" s="667"/>
      <c r="AG284" s="667"/>
    </row>
    <row r="285" spans="1:33" x14ac:dyDescent="0.35">
      <c r="S285" s="667"/>
      <c r="T285" s="667"/>
      <c r="U285" s="667"/>
      <c r="V285" s="667"/>
      <c r="W285" s="667"/>
      <c r="X285" s="667"/>
      <c r="Y285" s="667"/>
      <c r="Z285" s="667"/>
      <c r="AA285" s="667"/>
      <c r="AB285" s="667"/>
      <c r="AC285" s="667"/>
      <c r="AD285" s="667"/>
      <c r="AE285" s="667"/>
      <c r="AF285" s="667"/>
      <c r="AG285" s="667"/>
    </row>
    <row r="286" spans="1:33" x14ac:dyDescent="0.35">
      <c r="S286" s="667"/>
      <c r="T286" s="667"/>
      <c r="U286" s="667"/>
      <c r="V286" s="667"/>
      <c r="W286" s="667"/>
      <c r="X286" s="667"/>
      <c r="Y286" s="667"/>
      <c r="Z286" s="667"/>
      <c r="AA286" s="667"/>
      <c r="AB286" s="667"/>
      <c r="AC286" s="667"/>
      <c r="AD286" s="667"/>
      <c r="AE286" s="667"/>
      <c r="AF286" s="667"/>
      <c r="AG286" s="667"/>
    </row>
    <row r="287" spans="1:33" x14ac:dyDescent="0.35">
      <c r="S287" s="667"/>
      <c r="T287" s="667"/>
      <c r="U287" s="667"/>
      <c r="V287" s="667"/>
      <c r="W287" s="667"/>
      <c r="X287" s="667"/>
      <c r="Y287" s="667"/>
      <c r="Z287" s="667"/>
      <c r="AA287" s="667"/>
      <c r="AB287" s="667"/>
      <c r="AC287" s="667"/>
      <c r="AD287" s="667"/>
      <c r="AE287" s="667"/>
      <c r="AF287" s="667"/>
      <c r="AG287" s="667"/>
    </row>
    <row r="288" spans="1:33" x14ac:dyDescent="0.35">
      <c r="S288" s="667"/>
      <c r="T288" s="667"/>
      <c r="U288" s="667"/>
      <c r="V288" s="667"/>
      <c r="W288" s="667"/>
      <c r="X288" s="667"/>
      <c r="Y288" s="667"/>
      <c r="Z288" s="667"/>
      <c r="AA288" s="667"/>
      <c r="AB288" s="667"/>
      <c r="AC288" s="667"/>
      <c r="AD288" s="667"/>
      <c r="AE288" s="667"/>
      <c r="AF288" s="667"/>
      <c r="AG288" s="667"/>
    </row>
    <row r="289" spans="19:33" x14ac:dyDescent="0.35">
      <c r="S289" s="667"/>
      <c r="T289" s="667"/>
      <c r="U289" s="667"/>
      <c r="V289" s="667"/>
      <c r="W289" s="667"/>
      <c r="X289" s="667"/>
      <c r="Y289" s="667"/>
      <c r="Z289" s="667"/>
      <c r="AA289" s="667"/>
      <c r="AB289" s="667"/>
      <c r="AC289" s="667"/>
      <c r="AD289" s="667"/>
      <c r="AE289" s="667"/>
      <c r="AF289" s="667"/>
      <c r="AG289" s="667"/>
    </row>
    <row r="290" spans="19:33" x14ac:dyDescent="0.35">
      <c r="S290" s="667"/>
      <c r="T290" s="667"/>
      <c r="U290" s="667"/>
      <c r="V290" s="667"/>
      <c r="W290" s="667"/>
      <c r="X290" s="667"/>
      <c r="Y290" s="667"/>
      <c r="Z290" s="667"/>
      <c r="AA290" s="667"/>
      <c r="AB290" s="667"/>
      <c r="AC290" s="667"/>
      <c r="AD290" s="667"/>
      <c r="AE290" s="667"/>
      <c r="AF290" s="667"/>
      <c r="AG290" s="667"/>
    </row>
    <row r="291" spans="19:33" x14ac:dyDescent="0.35">
      <c r="S291" s="667"/>
      <c r="T291" s="667"/>
      <c r="U291" s="667"/>
      <c r="V291" s="667"/>
      <c r="W291" s="667"/>
      <c r="X291" s="667"/>
      <c r="Y291" s="667"/>
      <c r="Z291" s="667"/>
      <c r="AA291" s="667"/>
      <c r="AB291" s="667"/>
      <c r="AC291" s="667"/>
      <c r="AD291" s="667"/>
      <c r="AE291" s="667"/>
      <c r="AF291" s="667"/>
      <c r="AG291" s="667"/>
    </row>
    <row r="292" spans="19:33" x14ac:dyDescent="0.35">
      <c r="S292" s="667"/>
      <c r="T292" s="667"/>
      <c r="U292" s="667"/>
      <c r="V292" s="667"/>
      <c r="W292" s="667"/>
      <c r="X292" s="667"/>
      <c r="Y292" s="667"/>
      <c r="Z292" s="667"/>
      <c r="AA292" s="667"/>
      <c r="AB292" s="667"/>
      <c r="AC292" s="667"/>
      <c r="AD292" s="667"/>
      <c r="AE292" s="667"/>
      <c r="AF292" s="667"/>
      <c r="AG292" s="667"/>
    </row>
    <row r="293" spans="19:33" x14ac:dyDescent="0.35">
      <c r="S293" s="667"/>
      <c r="T293" s="667"/>
      <c r="U293" s="667"/>
      <c r="V293" s="667"/>
      <c r="W293" s="667"/>
      <c r="X293" s="667"/>
      <c r="Y293" s="667"/>
      <c r="Z293" s="667"/>
      <c r="AA293" s="667"/>
      <c r="AB293" s="667"/>
      <c r="AC293" s="667"/>
      <c r="AD293" s="667"/>
      <c r="AE293" s="667"/>
      <c r="AF293" s="667"/>
      <c r="AG293" s="667"/>
    </row>
    <row r="294" spans="19:33" x14ac:dyDescent="0.35">
      <c r="S294" s="667"/>
      <c r="T294" s="667"/>
      <c r="U294" s="667"/>
      <c r="V294" s="667"/>
      <c r="W294" s="667"/>
      <c r="X294" s="667"/>
      <c r="Y294" s="667"/>
      <c r="Z294" s="667"/>
      <c r="AA294" s="667"/>
      <c r="AB294" s="667"/>
      <c r="AC294" s="667"/>
      <c r="AD294" s="667"/>
      <c r="AE294" s="667"/>
      <c r="AF294" s="667"/>
      <c r="AG294" s="667"/>
    </row>
    <row r="295" spans="19:33" x14ac:dyDescent="0.35">
      <c r="S295" s="667"/>
      <c r="T295" s="667"/>
      <c r="U295" s="667"/>
      <c r="V295" s="667"/>
      <c r="W295" s="667"/>
      <c r="X295" s="667"/>
      <c r="Y295" s="667"/>
      <c r="Z295" s="667"/>
      <c r="AA295" s="667"/>
      <c r="AB295" s="667"/>
      <c r="AC295" s="667"/>
      <c r="AD295" s="667"/>
      <c r="AE295" s="667"/>
      <c r="AF295" s="667"/>
      <c r="AG295" s="667"/>
    </row>
    <row r="296" spans="19:33" x14ac:dyDescent="0.35">
      <c r="S296" s="667"/>
      <c r="T296" s="667"/>
      <c r="U296" s="667"/>
      <c r="V296" s="667"/>
      <c r="W296" s="667"/>
      <c r="X296" s="667"/>
      <c r="Y296" s="667"/>
      <c r="Z296" s="667"/>
      <c r="AA296" s="667"/>
      <c r="AB296" s="667"/>
      <c r="AC296" s="667"/>
      <c r="AD296" s="667"/>
      <c r="AE296" s="667"/>
      <c r="AF296" s="667"/>
      <c r="AG296" s="667"/>
    </row>
    <row r="297" spans="19:33" x14ac:dyDescent="0.35">
      <c r="S297" s="667"/>
      <c r="T297" s="667"/>
      <c r="U297" s="667"/>
      <c r="V297" s="667"/>
      <c r="W297" s="667"/>
      <c r="X297" s="667"/>
      <c r="Y297" s="667"/>
      <c r="Z297" s="667"/>
      <c r="AA297" s="667"/>
      <c r="AB297" s="667"/>
      <c r="AC297" s="667"/>
      <c r="AD297" s="667"/>
      <c r="AE297" s="667"/>
      <c r="AF297" s="667"/>
      <c r="AG297" s="667"/>
    </row>
    <row r="298" spans="19:33" x14ac:dyDescent="0.35">
      <c r="S298" s="667"/>
      <c r="T298" s="667"/>
      <c r="U298" s="667"/>
      <c r="V298" s="667"/>
      <c r="W298" s="667"/>
      <c r="X298" s="667"/>
      <c r="Y298" s="667"/>
      <c r="Z298" s="667"/>
      <c r="AA298" s="667"/>
      <c r="AB298" s="667"/>
      <c r="AC298" s="667"/>
      <c r="AD298" s="667"/>
      <c r="AE298" s="667"/>
      <c r="AF298" s="667"/>
      <c r="AG298" s="667"/>
    </row>
    <row r="299" spans="19:33" x14ac:dyDescent="0.35">
      <c r="S299" s="667"/>
      <c r="T299" s="667"/>
      <c r="U299" s="667"/>
      <c r="V299" s="667"/>
      <c r="W299" s="667"/>
      <c r="X299" s="667"/>
      <c r="Y299" s="667"/>
      <c r="Z299" s="667"/>
      <c r="AA299" s="667"/>
      <c r="AB299" s="667"/>
      <c r="AC299" s="667"/>
      <c r="AD299" s="667"/>
      <c r="AE299" s="667"/>
      <c r="AF299" s="667"/>
      <c r="AG299" s="667"/>
    </row>
    <row r="300" spans="19:33" x14ac:dyDescent="0.35">
      <c r="S300" s="667"/>
      <c r="T300" s="667"/>
      <c r="U300" s="667"/>
      <c r="V300" s="667"/>
      <c r="W300" s="667"/>
      <c r="X300" s="667"/>
      <c r="Y300" s="667"/>
      <c r="Z300" s="667"/>
      <c r="AA300" s="667"/>
      <c r="AB300" s="667"/>
      <c r="AC300" s="667"/>
      <c r="AD300" s="667"/>
      <c r="AE300" s="667"/>
      <c r="AF300" s="667"/>
      <c r="AG300" s="667"/>
    </row>
    <row r="301" spans="19:33" x14ac:dyDescent="0.35">
      <c r="S301" s="667"/>
      <c r="T301" s="667"/>
      <c r="U301" s="667"/>
      <c r="V301" s="667"/>
      <c r="W301" s="667"/>
      <c r="X301" s="667"/>
      <c r="Y301" s="667"/>
      <c r="Z301" s="667"/>
      <c r="AA301" s="667"/>
      <c r="AB301" s="667"/>
      <c r="AC301" s="667"/>
      <c r="AD301" s="667"/>
      <c r="AE301" s="667"/>
      <c r="AF301" s="667"/>
      <c r="AG301" s="667"/>
    </row>
    <row r="302" spans="19:33" x14ac:dyDescent="0.35">
      <c r="S302" s="667"/>
      <c r="T302" s="667"/>
      <c r="U302" s="667"/>
      <c r="V302" s="667"/>
      <c r="W302" s="667"/>
      <c r="X302" s="667"/>
      <c r="Y302" s="667"/>
      <c r="Z302" s="667"/>
      <c r="AA302" s="667"/>
      <c r="AB302" s="667"/>
      <c r="AC302" s="667"/>
      <c r="AD302" s="667"/>
      <c r="AE302" s="667"/>
      <c r="AF302" s="667"/>
      <c r="AG302" s="667"/>
    </row>
  </sheetData>
  <autoFilter ref="A19:AG271"/>
  <mergeCells count="22">
    <mergeCell ref="L271:M271"/>
    <mergeCell ref="F274:H274"/>
    <mergeCell ref="D17:E17"/>
    <mergeCell ref="H17:I17"/>
    <mergeCell ref="H18:I18"/>
    <mergeCell ref="A41:A42"/>
    <mergeCell ref="A228:A229"/>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pageMargins left="0.70866141732283472" right="0.70866141732283472" top="0.74803149606299213" bottom="0.74803149606299213" header="0.31496062992125984" footer="0.31496062992125984"/>
  <pageSetup paperSize="14" scale="10" orientation="landscape" horizontalDpi="4294967294" verticalDpi="4294967294" r:id="rId1"/>
  <rowBreaks count="7" manualBreakCount="7">
    <brk id="43" max="32" man="1"/>
    <brk id="75" max="32" man="1"/>
    <brk id="110" max="32" man="1"/>
    <brk id="143" max="32" man="1"/>
    <brk id="181" max="32" man="1"/>
    <brk id="216" max="32" man="1"/>
    <brk id="250"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[5]LISTAS!#REF!</xm:f>
          </x14:formula1>
          <xm:sqref>AG181 AG226 W181 W226 AG160:AG161 AG228:AG229 AG176 AG171 AG126 AG216 AG41:AG42 AG206 AG258 AG120 AG158 AG246 W161 W228:W229 W176 W126 W216 W41:W42 W206 W258 W260 W111 AG260 AG111 AG134:AG140 AG59:AG61 AG220 AG98 AG190:AG192 W134:W140 W59:W61 W220 W98</xm:sqref>
        </x14:dataValidation>
        <x14:dataValidation type="list" allowBlank="1" showInputMessage="1" showErrorMessage="1">
          <x14:formula1>
            <xm:f>[1]LISTAS!#REF!</xm:f>
          </x14:formula1>
          <xm:sqref>W148:W160 AG162 AG247 AG159 AG182 W162 W188:W205 W182 AG35 AG118:AG119 AG144:AG146 AG256:AG257 AG217:AG219 AG121:AG125 AG68 AG251:AG253 AG221:AG224 AG230:AG241 AG243:AG245 AG164:AG170 AG177:AG180 AG227 AG207:AG215 AG186 AG141:AG142 AG127:AG133 AG172:AG175 AG259 AG148:AG157 W35 W144:W146 W256:W257 W217:W219 W118:W125 W68 W251:W253 W221:W224 W230:W241 W243:W247 W177:W180 W227 W207:W215 W186 W141:W142 W127:W133 W164:W175 W259 AG188:AG189 AG193:AG205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TRASLADOS</vt:lpstr>
      <vt:lpstr>TRASLADOS (2)</vt:lpstr>
      <vt:lpstr>TRASLADOS (3)</vt:lpstr>
      <vt:lpstr>PAA-PRESUP 2019-04-01</vt:lpstr>
      <vt:lpstr>PAA 2019-04-11</vt:lpstr>
      <vt:lpstr>'PAA 2019-04-11'!Área_de_impresión</vt:lpstr>
      <vt:lpstr>'PAA-PRESUP 2019-04-01'!Área_de_impresión</vt:lpstr>
      <vt:lpstr>'TRASLADOS (3)'!Área_de_impresión</vt:lpstr>
      <vt:lpstr>'PAA 2019-04-11'!Títulos_a_imprimir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2019-04-12T13:42:31Z</cp:lastPrinted>
  <dcterms:created xsi:type="dcterms:W3CDTF">2019-01-12T23:01:37Z</dcterms:created>
  <dcterms:modified xsi:type="dcterms:W3CDTF">2019-04-12T13:43:21Z</dcterms:modified>
</cp:coreProperties>
</file>