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ecastro\Documents\JIDCB\Año 2025\Informes\Ekogui Marzo 2025\"/>
    </mc:Choice>
  </mc:AlternateContent>
  <workbookProtection workbookAlgorithmName="SHA-512" workbookHashValue="xD3qnex8s9ICeI1qOAHD+zNwU1npwUEHoOgHRXi5aceSdngVGaEhJykAdWp3gnvbcbl1gTjA+2JfcBY5o9YY9g==" workbookSaltValue="5H5JeNgyFx/dxFp3s6t5yg==" workbookSpinCount="100000" lockStructure="1"/>
  <bookViews>
    <workbookView xWindow="0" yWindow="0" windowWidth="23040" windowHeight="7344" firstSheet="1" activeTab="8"/>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8" l="1"/>
  <c r="R20" i="19"/>
  <c r="R24" i="19" l="1"/>
  <c r="R22" i="19"/>
  <c r="E17" i="28"/>
  <c r="R18" i="16"/>
  <c r="S18" i="16" s="1"/>
  <c r="R20" i="16"/>
  <c r="S20" i="16" s="1"/>
  <c r="R14" i="16"/>
  <c r="R12" i="16"/>
  <c r="S12" i="16" s="1"/>
  <c r="S14" i="16"/>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<sst xmlns="http://schemas.openxmlformats.org/spreadsheetml/2006/main" count="1237" uniqueCount="662">
  <si>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</si>
  <si>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</si>
  <si>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</si>
  <si>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</si>
  <si>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</si>
  <si>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</si>
  <si>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</si>
  <si>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</si>
  <si>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</si>
  <si>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</si>
  <si>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</si>
  <si>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</si>
  <si>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</si>
  <si>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</si>
  <si>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</si>
  <si>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</si>
  <si>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</si>
  <si>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</si>
  <si>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</si>
  <si>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</si>
  <si>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</si>
  <si>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</si>
  <si>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</si>
  <si>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</si>
  <si>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</si>
  <si>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</si>
  <si>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</si>
  <si>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</si>
  <si>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</si>
  <si>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</si>
  <si>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</si>
  <si>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</si>
  <si>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</si>
  <si>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</si>
  <si>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</si>
  <si>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</si>
  <si>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</si>
  <si>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</si>
  <si>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</si>
  <si>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</si>
  <si>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</si>
  <si>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</si>
  <si>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</si>
  <si>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</si>
  <si>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</si>
  <si>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</si>
  <si>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</si>
  <si>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</si>
  <si>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</si>
  <si>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</si>
  <si>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</si>
  <si>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</si>
  <si>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</si>
  <si>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</si>
  <si>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</si>
  <si>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</si>
  <si>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</si>
  <si>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</si>
  <si>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</si>
  <si>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</si>
  <si>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</si>
  <si>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</si>
  <si>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</si>
  <si>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</si>
  <si>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</si>
  <si>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</si>
  <si>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</si>
  <si>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</si>
  <si>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</si>
  <si>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</si>
  <si>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</si>
  <si>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</si>
  <si>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</si>
  <si>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</si>
  <si>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</si>
  <si>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</si>
  <si>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</si>
  <si>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</si>
  <si>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</si>
  <si>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</si>
  <si>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</si>
  <si>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</si>
  <si>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</si>
  <si>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</si>
  <si>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</si>
  <si>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</si>
  <si>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</si>
  <si>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</si>
  <si>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</si>
  <si>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</si>
  <si>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</si>
  <si>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</si>
  <si>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</si>
  <si>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</si>
  <si>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</si>
  <si>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</si>
  <si>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</si>
  <si>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</si>
  <si>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</si>
  <si>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</si>
  <si>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</si>
  <si>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</si>
  <si>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</si>
  <si>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</si>
  <si>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</si>
  <si>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</si>
  <si>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</si>
  <si>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</si>
  <si>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</si>
  <si>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</si>
  <si>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</si>
  <si>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</si>
  <si>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</si>
  <si>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</si>
  <si>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</si>
  <si>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</si>
  <si>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</si>
  <si>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</si>
  <si>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</si>
  <si>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</si>
  <si>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</si>
  <si>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</si>
  <si>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</si>
  <si>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</si>
  <si>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</si>
  <si>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</si>
  <si>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</si>
  <si>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</si>
  <si>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</si>
  <si>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</si>
  <si>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</si>
  <si>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</si>
  <si>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</si>
  <si>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</si>
  <si>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</si>
  <si>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</si>
  <si>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</si>
  <si>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</si>
  <si>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</si>
  <si>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</si>
  <si>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</si>
  <si>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</si>
  <si>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</si>
  <si>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</si>
  <si>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</si>
  <si>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</si>
  <si>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</si>
  <si>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</si>
  <si>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</si>
  <si>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</si>
  <si>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</si>
  <si>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</si>
  <si>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</si>
  <si>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</si>
  <si>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</si>
  <si>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</si>
  <si>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</si>
  <si>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</si>
  <si>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</si>
  <si>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</si>
  <si>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</si>
  <si>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</si>
  <si>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</si>
  <si>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</si>
  <si>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</si>
  <si>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</si>
  <si>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</si>
  <si>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</si>
  <si>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</si>
  <si>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</si>
  <si>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</si>
  <si>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</si>
  <si>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</si>
  <si>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</si>
  <si>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</si>
  <si>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</si>
  <si>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</si>
  <si>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</si>
  <si>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</si>
  <si>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</si>
  <si>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</si>
  <si>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</si>
  <si>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</si>
  <si>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</si>
  <si>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</si>
  <si>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</si>
  <si>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</si>
  <si>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</si>
  <si>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</si>
  <si>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</si>
  <si>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</si>
  <si>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</si>
  <si>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</si>
  <si>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</si>
  <si>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</si>
  <si>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</si>
  <si>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</si>
  <si>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</si>
  <si>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</si>
  <si>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</si>
  <si>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</si>
  <si>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</si>
  <si>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</si>
  <si>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</si>
  <si>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</si>
  <si>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</si>
  <si>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</si>
  <si>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</si>
  <si>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</si>
  <si>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</si>
  <si>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</si>
  <si>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</si>
  <si>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</si>
  <si>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</si>
  <si>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</si>
  <si>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</si>
  <si>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</si>
  <si>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</si>
  <si>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</si>
  <si>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</si>
  <si>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</si>
  <si>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</si>
  <si>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</si>
  <si>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</si>
  <si>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</si>
  <si>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</si>
  <si>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</si>
  <si>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</si>
  <si>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</si>
  <si>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</si>
  <si>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</si>
  <si>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</si>
  <si>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</si>
  <si>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</si>
  <si>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</si>
  <si>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</si>
  <si>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</si>
  <si>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</si>
  <si>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</si>
  <si>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</si>
  <si>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</si>
  <si>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</si>
  <si>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</si>
  <si>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</si>
  <si>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</si>
  <si>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</si>
  <si>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</si>
  <si>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</si>
  <si>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</si>
  <si>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</si>
  <si>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</si>
  <si>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</si>
  <si>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</si>
  <si>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</si>
  <si>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</si>
  <si>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</si>
  <si>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</si>
  <si>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</si>
  <si>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</si>
  <si>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</si>
  <si>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</si>
  <si>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</si>
  <si>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</si>
  <si>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</si>
  <si>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</si>
  <si>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</si>
  <si>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</si>
  <si>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</si>
  <si>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</si>
  <si>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</si>
  <si>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</si>
  <si>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</si>
  <si>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</si>
  <si>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</si>
  <si>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</si>
  <si>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</si>
  <si>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</si>
  <si>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</si>
  <si>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</si>
  <si>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</si>
  <si>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</si>
  <si>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</si>
  <si>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</si>
  <si>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</si>
  <si>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</si>
  <si>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</si>
  <si>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</si>
  <si>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</si>
  <si>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</si>
  <si>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</si>
  <si>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</si>
  <si>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</si>
  <si>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</si>
  <si>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</si>
  <si>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</si>
  <si>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</si>
  <si>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</si>
  <si>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</si>
  <si>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</si>
  <si>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</si>
  <si>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</si>
  <si>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</si>
  <si>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</si>
  <si>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</si>
  <si>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</si>
  <si>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</si>
  <si>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</si>
  <si>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</si>
  <si>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</si>
  <si>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</si>
  <si>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</si>
  <si>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</si>
  <si>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</si>
  <si>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</si>
  <si>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</si>
  <si>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</si>
  <si>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</si>
  <si>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</si>
  <si>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</si>
  <si>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</si>
  <si>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</si>
  <si>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</si>
  <si>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</si>
  <si>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</si>
  <si>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</si>
  <si>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</si>
  <si>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</si>
  <si>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</si>
  <si>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</si>
  <si>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</si>
  <si>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</si>
  <si>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</si>
  <si>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</si>
  <si>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</si>
  <si>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</si>
  <si>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</si>
  <si>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</si>
  <si>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</si>
  <si>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</si>
  <si>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</si>
  <si>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</si>
  <si>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</si>
  <si>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</si>
  <si>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</si>
  <si>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</si>
  <si>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</si>
  <si>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</si>
  <si>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</si>
  <si>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</si>
  <si>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</si>
  <si>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</si>
  <si>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</si>
  <si>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</si>
  <si>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</si>
  <si>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</si>
  <si>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</si>
  <si>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</si>
  <si>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</si>
  <si>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</si>
  <si>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</si>
  <si>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</si>
  <si>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</si>
  <si>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</si>
  <si>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</si>
  <si>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</si>
  <si>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</si>
  <si>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</si>
  <si>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</si>
  <si>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</si>
  <si>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</si>
  <si>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</si>
  <si>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</si>
  <si>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</si>
  <si>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</si>
  <si>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</si>
  <si>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</si>
  <si>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</si>
  <si>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</si>
  <si>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</si>
  <si>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</si>
  <si>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</si>
  <si>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</si>
  <si>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</si>
  <si>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</si>
  <si>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</si>
  <si>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</si>
  <si>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</si>
  <si>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</si>
  <si>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</si>
  <si>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</si>
  <si>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</si>
  <si>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</si>
  <si>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</si>
  <si>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</si>
  <si>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</si>
  <si>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</si>
  <si>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</si>
  <si>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</si>
  <si>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</si>
  <si>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</si>
  <si>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</si>
  <si>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</si>
  <si>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</si>
  <si>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</si>
  <si>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</si>
  <si>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</si>
  <si>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</si>
  <si>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</si>
  <si>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</si>
  <si>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</si>
  <si>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</si>
  <si>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</si>
  <si>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</si>
  <si>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</si>
  <si>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</si>
  <si>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</si>
  <si>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</si>
  <si>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</si>
  <si>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</si>
  <si>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</si>
  <si>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</si>
  <si>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</si>
  <si>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</si>
  <si>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</si>
  <si>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</si>
  <si>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</si>
  <si>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</si>
  <si>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</si>
  <si>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</si>
  <si>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</si>
  <si>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</si>
  <si>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</si>
  <si>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</si>
  <si>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</si>
  <si>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</si>
  <si>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</si>
  <si>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</si>
  <si>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</si>
  <si>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</si>
  <si>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</si>
  <si>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</si>
  <si>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</si>
  <si>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</si>
  <si>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</si>
  <si>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</si>
  <si>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</si>
  <si>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</si>
  <si>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</si>
  <si>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</si>
  <si>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</si>
  <si>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</si>
  <si>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</si>
  <si>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</si>
  <si>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</si>
  <si>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</si>
  <si>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</si>
  <si>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</si>
  <si>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</si>
  <si>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</si>
  <si>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</si>
  <si>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</si>
  <si>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</si>
  <si>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</si>
  <si>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</si>
  <si>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</si>
  <si>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</si>
  <si>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</si>
  <si>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</si>
  <si>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</si>
  <si>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</si>
  <si>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</si>
  <si>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</si>
  <si>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</si>
  <si>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</si>
  <si>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</si>
  <si>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</si>
  <si>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</si>
  <si>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</si>
  <si>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</si>
  <si>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</si>
  <si>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</si>
  <si>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</si>
  <si>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</si>
  <si>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</si>
  <si>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</si>
  <si>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</si>
  <si>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</si>
  <si>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</si>
  <si>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</si>
  <si>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</si>
  <si>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</si>
  <si>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</si>
  <si>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</si>
  <si>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</si>
  <si>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</si>
  <si>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</si>
  <si>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</si>
  <si>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</si>
  <si>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</si>
  <si>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</si>
  <si>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</si>
  <si>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</si>
  <si>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</si>
  <si>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</si>
  <si>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</si>
  <si>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</si>
  <si>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</si>
  <si>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</si>
  <si>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</si>
  <si>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</si>
  <si>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</si>
  <si>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</si>
  <si>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</si>
  <si>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</si>
  <si>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</si>
  <si>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</si>
  <si>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</si>
  <si>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</si>
  <si>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</si>
  <si>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</si>
  <si>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</si>
  <si>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</si>
  <si>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</si>
  <si>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</si>
  <si>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</si>
  <si>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</si>
  <si>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</si>
  <si>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</si>
  <si>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</si>
  <si>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</si>
  <si>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</si>
  <si>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</si>
  <si>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</si>
  <si>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</si>
  <si>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</si>
  <si>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</si>
  <si>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</si>
  <si>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</si>
  <si>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</si>
  <si>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</si>
  <si>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</si>
  <si>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</si>
  <si>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</si>
  <si>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</si>
  <si>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</si>
  <si>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</si>
  <si>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</si>
  <si>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</si>
  <si>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</si>
  <si>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</si>
  <si>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</si>
  <si>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</si>
  <si>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</si>
  <si>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</si>
  <si>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</si>
  <si>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</si>
  <si>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</si>
  <si>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</si>
  <si>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</si>
  <si>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</si>
  <si>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</si>
  <si>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</si>
  <si>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</si>
  <si>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</si>
  <si>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</si>
  <si>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</si>
  <si>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</si>
  <si>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</si>
  <si>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</si>
  <si>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</si>
  <si>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</si>
  <si>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</si>
  <si>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</si>
  <si>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</si>
  <si>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</si>
  <si>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</si>
  <si>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</si>
  <si>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</si>
  <si>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</si>
  <si>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</si>
  <si>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</si>
  <si>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</si>
  <si>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</si>
  <si>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</si>
  <si>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</si>
  <si>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</si>
  <si>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</si>
  <si>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</si>
  <si>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</si>
  <si>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</si>
  <si>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</si>
  <si>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</si>
  <si>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</si>
  <si>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</si>
  <si>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</si>
  <si>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</si>
  <si>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</si>
  <si>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</si>
  <si>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</si>
  <si>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</si>
  <si>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</si>
  <si>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</si>
  <si>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</si>
  <si>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</si>
  <si>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</si>
  <si>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</si>
  <si>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</si>
  <si>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</si>
  <si>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</si>
  <si>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</si>
  <si>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</si>
  <si>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</si>
  <si>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</si>
  <si>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</si>
  <si>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</si>
  <si>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</si>
  <si>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</si>
  <si>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</si>
  <si>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</si>
  <si>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</si>
  <si>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</si>
  <si>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</si>
  <si>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</si>
  <si>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</si>
  <si>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</si>
  <si>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</si>
  <si>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</si>
  <si>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</si>
  <si>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</si>
  <si>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</si>
  <si>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</si>
  <si>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</si>
  <si>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</si>
  <si>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</si>
  <si>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</si>
  <si>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</si>
  <si>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</si>
  <si>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</si>
  <si>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</si>
  <si>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</si>
  <si>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</si>
  <si>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</si>
  <si>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</si>
  <si>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</si>
  <si>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</si>
  <si>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</si>
  <si>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</si>
  <si>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</si>
  <si>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</si>
  <si>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Orlando Mateus López</t>
  </si>
  <si>
    <t>Harold Israel Herreño Suarez</t>
  </si>
  <si>
    <t>Jorge Iván de Castro Barón</t>
  </si>
  <si>
    <t>Carlos Javier Muñoz Sánchez</t>
  </si>
  <si>
    <t>Adriana Marcela Ortega Moreno</t>
  </si>
  <si>
    <t xml:space="preserve">Se encuentra pendiente el certificados de capacitación del servidor con rol de jefe financiero. </t>
  </si>
  <si>
    <t xml:space="preserve">Se pudo validar la documentación referente a las certificaciones de capacitación de los servidores con el rol de abogados durante el primer semestre de 2025. </t>
  </si>
  <si>
    <t>No se identifican autos pendientes ni fuera del plazo normativo.</t>
  </si>
  <si>
    <t>Para la vigencia evaluada el Departamento Administrativo de la Función Pública no hizo parte de ningún arbitramento.</t>
  </si>
  <si>
    <t>No existió necesidad de hacer uso del módulo de pagos en la vigencia evaluada.</t>
  </si>
  <si>
    <t xml:space="preserve">La Entidad gestionó de manera oportuna las sesiones del comité de conciliación en el sistema EKOGUI durante el semestre I de 2025, registrando decisiones en 3 procesos judiciales y 8 conciliaciones extrajudiciales. </t>
  </si>
  <si>
    <t>Al corte del 30 de junio de 2025, la Entidad reporta un total de 505 procesos activos, coincidiendo la información registrada en el sistema EKOGUI con la suministrada por el área jurídica, lo que refleja consistencia en la gestión de la defensa judicial. Se destaca que los 2 procesos con cuantía superior a 33.000 SMMLV cuentan con registro en el sistema y con la respectiva pieza procesal (demanda), lo cual demuestra un control adecuado frente a procesos de alta materialidad económica.
En cuanto a la terminación de procesos durante el primer semestre de 2025, se evidencia correspondencia entre lo informado por jurídica (20 procesos) y lo registrado en EKOGUI (20 procesos), lo que garantiza confiabilidad de la información. No obstante, se observa que la calificación del riesgo procesal presenta un rezago, dado que únicamente 8 procesos fueron calificados durante el semestre I de 2025, mientras que 15 mantenían calificación de periodos anteriores. Si bien no se identifican procesos sin calificación al corte del semestre, resulta necesario fortalecer la actualización periódica para asegurar la oportunidad y exactitud en la estimación de provisiones contables.
Respecto al análisis de 10 procesos terminados, todos se encuentran con ejecutoria y uno de ellos fue clasificado con probabilidad de pérdida ALTA, sin que se evidencien procesos desfavorables ni erogaciones económicas registradas en EKOGUI.
En conclusión, si bien la Entidad presenta un manejo consistente y alineado entre jurídica y EKOGUI en el registro de procesos activos y terminados, se recomienda fortalecer la gestión de calificación de riesgo procesal y la provisión contable, con el fin de garantizar una administración responsable, oportuna y preventiva de las contingencias judiciales del Estado.</t>
  </si>
  <si>
    <t>Del análisis realizado a la gestión de defensa jurídica de la Entidad en el sistema EKOGUI durante el semestre I de 2025, se evidencia un cumplimiento general adecuado y consistente, acompañado de algunas oportunidades de mejora.
En materia de usuarios y capacitación, se encuentra pendiente el certificado de capacitación del servidor con rol de jefe financiero; sin embargo, se pudo validar la documentación de los servidores con rol de abogados, quienes cuentan con certificación durante el periodo evaluado, alcanzando un nivel satisfactorio de formación.
En el componente de registro de casos judiciales, la Entidad recibió y registró oportunamente los 50 autos admisorios notificados, todos dentro del plazo normativo, sin identificar rezagos. Al 30 de junio de 2025, se reportan 505 procesos activos, coincidiendo la información entre jurídica y EKOGUI, lo que refleja consistencia en la gestión. Cabe resaltar que los 2 procesos con cuantía superior a 33.000 SMMLV cuentan con registro y pieza procesal, demostrando un control responsable sobre los asuntos de mayor impacto económico.
En cuanto a la terminación de procesos, se validó correspondencia entre lo informado por jurídica (20 procesos) y lo registrado en EKOGUI (20 procesos), lo cual asegura confiabilidad en la información. No obstante, se advierte un rezago en la calificación de riesgo procesal, pues solo 8 procesos fueron actualizados en el semestre, mientras que 15 mantienen calificaciones de periodos anteriores. Aunque no existen procesos sin calificación, se requiere fortalecer la actualización periódica para garantizar oportunidad en la estimación de provisiones contables.
Durante el periodo evaluado no se identificaron procesos arbitrales asociados a la Entidad. En materia de comités de conciliación, se destaca la gestión oportuna de las sesiones y la adopción de decisiones en 3 procesos judiciales y 8 conciliaciones extrajudiciales. Finalmente, no se presentó la necesidad de hacer uso del módulo de pagos en la vigencia evaluada, lo que explica la ausencia de registros en este componente.
En conclusión, la Entidad presenta una gestión jurídica transparente y consistente entre el área jurídica y el sistema EKOGUI, con cumplimiento de los plazos normativos en el registro de casos y una adecuada administración de procesos activos y terminados. No obstante, resulta necesario avanzar en la actualización de calificaciones de riesgo procesal, formalizar la capacitación pendiente del rol financiero y fortalecer el uso integral de EKOGUI en la elaboración de fichas de conciliación, con el propósito de garantizar una administración más responsable, preventiva y confiable de la defensa jurídica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</si>
</sst>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59" fillId="2" borderId="0" xfId="0" applyFont="1" applyFill="1" applyAlignment="1" applyProtection="1">
      <alignment horizontal="left" vertical="center" wrapText="1"/>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603101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639922</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562446</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141720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180551</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752475</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AI27"/>
  <sheetViews>
    <sheetView showGridLines="0" showRowColHeaders="0" topLeftCell="B7" zoomScaleNormal="100" workbookViewId="0">
      <selection activeCell="H25" sqref="H25"/>
    </sheetView>
  </sheetViews>
  <sheetFormatPr baseColWidth="10" defaultColWidth="11.44140625" defaultRowHeight="20.399999999999999"/>
  <cols>
    <col min="1" max="1" width="0" style="6" hidden="1" customWidth="1"/>
    <col min="2" max="2" width="17.77734375" style="55" customWidth="1"/>
    <col min="3" max="3" width="19.77734375" style="55" customWidth="1"/>
    <col min="4" max="18" width="9.21875" style="6" customWidth="1"/>
    <col min="19" max="19" width="12.77734375" style="6" customWidth="1"/>
    <col min="20" max="26" width="9.21875" style="6" customWidth="1"/>
    <col min="27" max="16384" width="11.441406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4.6">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4.6">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formula1>$AI$3:$AI$7</formula1>
    </dataValidation>
  </dataValidations>
  <hyperlinks>
    <hyperlink ref="T22:U22" r:id="rId1" display="Acceder al manual"/>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T22:V24" r:id="rId2" display="Acceder a la guía"/>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S4"/>
  <sheetViews>
    <sheetView showGridLines="0" workbookViewId="0">
      <selection activeCell="BK24" sqref="BK24"/>
    </sheetView>
  </sheetViews>
  <sheetFormatPr baseColWidth="10" defaultColWidth="11.44140625" defaultRowHeight="15"/>
  <cols>
    <col min="1" max="2" width="13.21875" style="27" customWidth="1"/>
    <col min="3" max="3" width="15" style="27" customWidth="1"/>
    <col min="4" max="5" width="13.21875" style="27" customWidth="1"/>
    <col min="6" max="6" width="15.5546875" style="27" customWidth="1"/>
    <col min="7" max="15" width="13.21875" style="27" customWidth="1"/>
    <col min="16" max="25" width="22.77734375" style="27" customWidth="1"/>
    <col min="26" max="29" width="37.21875" style="27" customWidth="1"/>
    <col min="30" max="45" width="14" style="27" customWidth="1"/>
    <col min="46" max="54" width="14.21875" style="27" customWidth="1"/>
    <col min="55" max="55" width="14" style="27" customWidth="1"/>
    <col min="56" max="56" width="14.44140625" style="27" customWidth="1"/>
    <col min="57" max="57" width="15.77734375" style="27" customWidth="1"/>
    <col min="58" max="58" width="14.5546875" style="27" customWidth="1"/>
    <col min="59" max="60" width="15.77734375" style="27" customWidth="1"/>
    <col min="61" max="69" width="14.5546875" style="27" customWidth="1"/>
    <col min="70" max="71" width="16.21875" style="27" customWidth="1"/>
    <col min="72" max="16384" width="11.441406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45495</v>
      </c>
      <c r="B4" s="49" t="str">
        <f>+Usuarios!$K$11</f>
        <v>Orlando Mateus López</v>
      </c>
      <c r="C4" s="48">
        <f>+Usuarios!$O$11</f>
        <v>0</v>
      </c>
      <c r="D4" s="48">
        <f>+Usuarios!$H$13</f>
        <v>45790</v>
      </c>
      <c r="E4" s="49" t="str">
        <f>+Usuarios!$K$13</f>
        <v>Harold Israel Herreño Suarez</v>
      </c>
      <c r="F4" s="48">
        <f>+Usuarios!$O$13</f>
        <v>45790</v>
      </c>
      <c r="G4" s="48">
        <f>+Usuarios!$H$15</f>
        <v>45336</v>
      </c>
      <c r="H4" s="49" t="str">
        <f>+Usuarios!$K$15</f>
        <v>Jorge Iván de Castro Barón</v>
      </c>
      <c r="I4" s="48">
        <f>+Usuarios!$O$15</f>
        <v>45512</v>
      </c>
      <c r="J4" s="48">
        <f>+Usuarios!$H$17</f>
        <v>45462</v>
      </c>
      <c r="K4" s="49" t="str">
        <f>+Usuarios!$K$17</f>
        <v>Carlos Javier Muñoz Sánchez</v>
      </c>
      <c r="L4" s="48">
        <f>+Usuarios!$O$17</f>
        <v>45468</v>
      </c>
      <c r="M4" s="48">
        <f>+Usuarios!$H$19</f>
        <v>44118</v>
      </c>
      <c r="N4" s="49" t="str">
        <f>+Usuarios!$K$19</f>
        <v>Adriana Marcela Ortega Moreno</v>
      </c>
      <c r="O4" s="48">
        <f>+Usuarios!$O$19</f>
        <v>45646</v>
      </c>
      <c r="P4" s="76">
        <f>+Abogados!$G$9</f>
        <v>3</v>
      </c>
      <c r="Q4" s="76">
        <f>+Abogados!$J$9</f>
        <v>3</v>
      </c>
      <c r="R4" s="76">
        <f>+Abogados!$M$9</f>
        <v>0</v>
      </c>
      <c r="S4" s="76">
        <f>+Abogados!$P$9</f>
        <v>0</v>
      </c>
      <c r="T4" s="76">
        <f>+Abogados!$I$19</f>
        <v>3</v>
      </c>
      <c r="U4" s="76">
        <f>+Abogados!$I$21</f>
        <v>3</v>
      </c>
      <c r="V4" s="76">
        <f>+Abogados!I23</f>
        <v>3</v>
      </c>
      <c r="W4" s="76">
        <f>+Abogados!$P$19</f>
        <v>3</v>
      </c>
      <c r="X4" s="76">
        <f>+Abogados!$P$21</f>
        <v>0</v>
      </c>
      <c r="Y4" s="76">
        <f>+Abogados!$P$23</f>
        <v>0</v>
      </c>
      <c r="Z4" s="76">
        <f>+'Registro Casos'!$P$10</f>
        <v>50</v>
      </c>
      <c r="AA4" s="76">
        <f>+'Registro Casos'!$P$13</f>
        <v>50</v>
      </c>
      <c r="AB4" s="76">
        <f>+'Registro Casos'!$P$16</f>
        <v>50</v>
      </c>
      <c r="AC4" s="76">
        <f>+'Registro Casos'!$P$19</f>
        <v>0</v>
      </c>
      <c r="AD4" s="76">
        <f>+Judiciales!$L$12</f>
        <v>505</v>
      </c>
      <c r="AE4" s="76">
        <f>+Judiciales!$L$14</f>
        <v>505</v>
      </c>
      <c r="AF4" s="76">
        <f>+Judiciales!$L$16</f>
        <v>0</v>
      </c>
      <c r="AG4" s="76">
        <f>+Judiciales!$L$21</f>
        <v>20</v>
      </c>
      <c r="AH4" s="76">
        <f>+Judiciales!$L$23</f>
        <v>20</v>
      </c>
      <c r="AI4" s="76">
        <f>+Judiciales!$L$32</f>
        <v>10</v>
      </c>
      <c r="AJ4" s="76">
        <f>+Judiciales!$L$34</f>
        <v>10</v>
      </c>
      <c r="AK4" s="76">
        <f>+Judiciales!$L$36</f>
        <v>0</v>
      </c>
      <c r="AL4" s="76">
        <f>+Judiciales!$L$38</f>
        <v>0</v>
      </c>
      <c r="AM4" s="76">
        <f>+Judiciales!$L$40</f>
        <v>0</v>
      </c>
      <c r="AN4" s="76">
        <f>+Judiciales!$U$12</f>
        <v>2</v>
      </c>
      <c r="AO4" s="76">
        <f>+Judiciales!$U$14</f>
        <v>2</v>
      </c>
      <c r="AP4" s="76">
        <f>+Judiciales!$U$16</f>
        <v>2</v>
      </c>
      <c r="AQ4" s="76">
        <f>+Judiciales!$U$21</f>
        <v>23</v>
      </c>
      <c r="AR4" s="76">
        <f>+Judiciales!$U$23</f>
        <v>8</v>
      </c>
      <c r="AS4" s="76">
        <f>+Judiciales!$U$25</f>
        <v>15</v>
      </c>
      <c r="AT4" s="76">
        <f>+Judiciales!$U$27</f>
        <v>0</v>
      </c>
      <c r="AU4" s="76">
        <f>+Judiciales!$S$32</f>
        <v>1</v>
      </c>
      <c r="AV4" s="76">
        <f>+Judiciales!$T$32</f>
        <v>0</v>
      </c>
      <c r="AW4" s="76">
        <f>+Judiciales!$S$34</f>
        <v>0</v>
      </c>
      <c r="AX4" s="76">
        <f>+Judiciales!$T$34</f>
        <v>0</v>
      </c>
      <c r="AY4" s="76">
        <f>+Judiciales!$S$36</f>
        <v>22</v>
      </c>
      <c r="AZ4" s="76">
        <f>+Judiciales!$T$36</f>
        <v>0</v>
      </c>
      <c r="BA4" s="76">
        <f>+Judiciales!$S$38</f>
        <v>0</v>
      </c>
      <c r="BB4" s="76">
        <f>+Judiciales!$T$38</f>
        <v>0</v>
      </c>
      <c r="BC4" s="76">
        <f>+Arbitramentos!$L$11</f>
        <v>0</v>
      </c>
      <c r="BD4" s="76">
        <f>+Arbitramentos!$L$13</f>
        <v>0</v>
      </c>
      <c r="BE4" s="76">
        <f>+Arbitramentos!$U$11</f>
        <v>0</v>
      </c>
      <c r="BF4" s="76">
        <f>+Arbitramentos!$U$13</f>
        <v>0</v>
      </c>
      <c r="BG4" s="49" t="str">
        <f>+'Comité de conciliación'!$R$8</f>
        <v>SI</v>
      </c>
      <c r="BH4" s="49" t="str">
        <f>+'Comité de conciliación'!$R$10</f>
        <v>SI</v>
      </c>
      <c r="BI4" s="76">
        <f>+'Comité de conciliación'!$J$15</f>
        <v>0</v>
      </c>
      <c r="BJ4" s="76">
        <f>+'Comité de conciliación'!$L$15</f>
        <v>0</v>
      </c>
      <c r="BK4" s="76">
        <f>+'Comité de conciliación'!$J$16</f>
        <v>3</v>
      </c>
      <c r="BL4" s="76">
        <f>+'Comité de conciliación'!$L$16</f>
        <v>0</v>
      </c>
      <c r="BM4" s="76">
        <f>+'Comité de conciliación'!$J$17</f>
        <v>8</v>
      </c>
      <c r="BN4" s="76">
        <f>+'Comité de conciliación'!$L$17</f>
        <v>0</v>
      </c>
      <c r="BO4" s="76">
        <f>+'Comité de conciliación'!$J$20</f>
        <v>0</v>
      </c>
      <c r="BP4" s="76">
        <f>+'Comité de conciliación'!$J$21</f>
        <v>3</v>
      </c>
      <c r="BQ4" s="76">
        <f>+'Comité de conciliación'!$J$22</f>
        <v>8</v>
      </c>
      <c r="BR4" s="49" t="str">
        <f>+Pagos!$R$9</f>
        <v>SI</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426"/>
  <sheetViews>
    <sheetView showGridLines="0" workbookViewId="0">
      <selection activeCell="D13" sqref="D13"/>
    </sheetView>
  </sheetViews>
  <sheetFormatPr baseColWidth="10" defaultRowHeight="14.4"/>
  <cols>
    <col min="1" max="1" width="23.21875" customWidth="1"/>
    <col min="2" max="2" width="29.77734375" bestFit="1" customWidth="1"/>
    <col min="3" max="3" width="11.77734375" bestFit="1" customWidth="1"/>
    <col min="5" max="5" width="88.7773437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6">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SI</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showGridLines="0" workbookViewId="0"/>
  </sheetViews>
  <sheetFormatPr baseColWidth="10" defaultColWidth="11.44140625" defaultRowHeight="14.4"/>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V37"/>
  <sheetViews>
    <sheetView showGridLines="0" showRowColHeaders="0" topLeftCell="B4" zoomScale="70" zoomScaleNormal="70" workbookViewId="0">
      <selection activeCell="O11" sqref="E11:Q12"/>
    </sheetView>
  </sheetViews>
  <sheetFormatPr baseColWidth="10" defaultColWidth="9.21875" defaultRowHeight="20.399999999999999"/>
  <cols>
    <col min="1" max="1" width="0" style="6" hidden="1" customWidth="1"/>
    <col min="2" max="2" width="17.77734375" style="55" customWidth="1"/>
    <col min="3" max="3" width="19.77734375" style="55" customWidth="1"/>
    <col min="4" max="6" width="9.21875" style="6"/>
    <col min="7" max="7" width="14.77734375" style="6" customWidth="1"/>
    <col min="8" max="9" width="9.21875" style="6"/>
    <col min="10" max="10" width="14.5546875" style="6" customWidth="1"/>
    <col min="11" max="13" width="9.21875" style="6"/>
    <col min="14" max="14" width="16.21875" style="6" customWidth="1"/>
    <col min="15" max="16" width="9.21875" style="6"/>
    <col min="17" max="17" width="16.21875" style="6" customWidth="1"/>
    <col min="18" max="19" width="5.77734375" style="57" customWidth="1"/>
    <col min="20" max="21" width="9.21875" style="6"/>
    <col min="22" max="22" width="16.77734375" style="6" customWidth="1"/>
    <col min="23" max="16384" width="9.2187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45495</v>
      </c>
      <c r="I11" s="137"/>
      <c r="J11" s="145"/>
      <c r="K11" s="127" t="s">
        <v>649</v>
      </c>
      <c r="L11" s="128"/>
      <c r="M11" s="128"/>
      <c r="N11" s="129"/>
      <c r="O11" s="131"/>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0</v>
      </c>
      <c r="S12" s="59">
        <f>IF(R12=0,1,"")</f>
        <v>1</v>
      </c>
      <c r="T12" s="118" t="s">
        <v>598</v>
      </c>
      <c r="U12" s="118"/>
      <c r="V12" s="118"/>
    </row>
    <row r="13" spans="2:22" ht="24" customHeight="1">
      <c r="B13" s="107"/>
      <c r="C13" s="107"/>
      <c r="E13" s="132" t="s">
        <v>530</v>
      </c>
      <c r="F13" s="132"/>
      <c r="G13" s="133"/>
      <c r="H13" s="122">
        <v>45790</v>
      </c>
      <c r="I13" s="147"/>
      <c r="J13" s="148"/>
      <c r="K13" s="119" t="s">
        <v>650</v>
      </c>
      <c r="L13" s="120"/>
      <c r="M13" s="120"/>
      <c r="N13" s="121"/>
      <c r="O13" s="122">
        <v>45790</v>
      </c>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2</v>
      </c>
      <c r="S14" s="59" t="str">
        <f>IF(R14=0,1,"")</f>
        <v/>
      </c>
      <c r="T14" s="144"/>
      <c r="U14" s="144"/>
      <c r="V14" s="144"/>
    </row>
    <row r="15" spans="2:22" ht="24" customHeight="1">
      <c r="B15" s="107"/>
      <c r="C15" s="107"/>
      <c r="E15" s="141" t="s">
        <v>531</v>
      </c>
      <c r="F15" s="141"/>
      <c r="G15" s="142"/>
      <c r="H15" s="130">
        <v>45336</v>
      </c>
      <c r="I15" s="137"/>
      <c r="J15" s="145"/>
      <c r="K15" s="127" t="s">
        <v>651</v>
      </c>
      <c r="L15" s="128"/>
      <c r="M15" s="128"/>
      <c r="N15" s="129"/>
      <c r="O15" s="130">
        <v>45512</v>
      </c>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2</v>
      </c>
      <c r="S16" s="59" t="str">
        <f>IF(R16=0,1,"")</f>
        <v/>
      </c>
      <c r="T16" s="125" t="s">
        <v>641</v>
      </c>
      <c r="U16" s="125"/>
      <c r="V16" s="125"/>
    </row>
    <row r="17" spans="2:22" ht="24" customHeight="1">
      <c r="B17" s="107"/>
      <c r="C17" s="107"/>
      <c r="E17" s="132" t="s">
        <v>532</v>
      </c>
      <c r="F17" s="132"/>
      <c r="G17" s="133"/>
      <c r="H17" s="122">
        <v>45462</v>
      </c>
      <c r="I17" s="147"/>
      <c r="J17" s="148"/>
      <c r="K17" s="119" t="s">
        <v>652</v>
      </c>
      <c r="L17" s="120"/>
      <c r="M17" s="120"/>
      <c r="N17" s="121"/>
      <c r="O17" s="122">
        <v>45468</v>
      </c>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2</v>
      </c>
      <c r="S18" s="59" t="str">
        <f>IF(R18=0,1,"")</f>
        <v/>
      </c>
      <c r="T18" s="125"/>
      <c r="U18" s="125"/>
      <c r="V18" s="125"/>
    </row>
    <row r="19" spans="2:22" ht="24" customHeight="1">
      <c r="B19" s="107"/>
      <c r="C19" s="107"/>
      <c r="E19" s="141" t="s">
        <v>533</v>
      </c>
      <c r="F19" s="141"/>
      <c r="G19" s="142"/>
      <c r="H19" s="130">
        <v>44118</v>
      </c>
      <c r="I19" s="137"/>
      <c r="J19" s="145"/>
      <c r="K19" s="127" t="s">
        <v>653</v>
      </c>
      <c r="L19" s="128"/>
      <c r="M19" s="128"/>
      <c r="N19" s="129"/>
      <c r="O19" s="130">
        <v>45646</v>
      </c>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t="s">
        <v>654</v>
      </c>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formula1>44927</formula1>
      <formula2>401769</formula2>
    </dataValidation>
    <dataValidation type="date" allowBlank="1" showInputMessage="1" showErrorMessage="1" sqref="O21:Q21 H21:J21">
      <formula1>42005</formula1>
      <formula2>45748</formula2>
    </dataValidation>
    <dataValidation type="date" allowBlank="1" showInputMessage="1" showErrorMessage="1" sqref="H11:J20">
      <formula1>42005</formula1>
      <formula2>45838</formula2>
    </dataValidation>
    <dataValidation type="date" allowBlank="1" showInputMessage="1" showErrorMessage="1" sqref="O11:Q20">
      <formula1>45292</formula1>
      <formula2>45838</formula2>
    </dataValidation>
  </dataValidations>
  <hyperlinks>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T12:V13" r:id="rId1" display="Acceder a la guí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V33"/>
  <sheetViews>
    <sheetView showGridLines="0" showRowColHeaders="0" topLeftCell="B16" zoomScale="70" zoomScaleNormal="70" workbookViewId="0">
      <selection activeCell="E27" sqref="E27:Q33"/>
    </sheetView>
  </sheetViews>
  <sheetFormatPr baseColWidth="10" defaultColWidth="11.44140625" defaultRowHeight="20.399999999999999"/>
  <cols>
    <col min="1" max="1" width="0" style="6" hidden="1" customWidth="1"/>
    <col min="2" max="2" width="17.77734375" style="55" customWidth="1"/>
    <col min="3" max="3" width="19.77734375" style="55" customWidth="1"/>
    <col min="4" max="6" width="9.21875" style="6" customWidth="1"/>
    <col min="7" max="8" width="12.21875" style="6" customWidth="1"/>
    <col min="9" max="9" width="9.21875" style="6" customWidth="1"/>
    <col min="10" max="11" width="12.21875" style="6" customWidth="1"/>
    <col min="12" max="12" width="9.21875" style="6" customWidth="1"/>
    <col min="13" max="13" width="12.21875" style="6" customWidth="1"/>
    <col min="14" max="14" width="15" style="6" customWidth="1"/>
    <col min="15" max="15" width="9.21875" style="6" customWidth="1"/>
    <col min="16" max="17" width="12.21875" style="6" customWidth="1"/>
    <col min="18" max="18" width="9.21875" style="57" customWidth="1"/>
    <col min="19" max="20" width="9.21875" style="6" customWidth="1"/>
    <col min="21" max="21" width="14.44140625" style="6" customWidth="1"/>
    <col min="22" max="22" width="3.77734375" style="6" customWidth="1"/>
    <col min="23" max="27" width="9.21875" style="6" customWidth="1"/>
    <col min="28" max="16384" width="11.44140625" style="6"/>
  </cols>
  <sheetData>
    <row r="2" spans="2:22">
      <c r="E2" s="138" t="s">
        <v>1</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1" t="s">
        <v>534</v>
      </c>
      <c r="F5" s="151"/>
      <c r="G5" s="151"/>
      <c r="H5" s="151"/>
      <c r="I5" s="151"/>
      <c r="J5" s="151"/>
      <c r="K5" s="151"/>
      <c r="L5" s="151"/>
      <c r="M5" s="151"/>
      <c r="N5" s="151"/>
      <c r="O5" s="151"/>
      <c r="P5" s="151"/>
      <c r="Q5" s="151"/>
      <c r="R5" s="73"/>
      <c r="S5" s="143" t="s">
        <v>621</v>
      </c>
      <c r="T5" s="143"/>
      <c r="U5" s="143"/>
      <c r="V5" s="45"/>
    </row>
    <row r="6" spans="2:22">
      <c r="B6" s="107" t="s">
        <v>616</v>
      </c>
      <c r="C6" s="107"/>
      <c r="E6" s="151"/>
      <c r="F6" s="151"/>
      <c r="G6" s="151"/>
      <c r="H6" s="151"/>
      <c r="I6" s="151"/>
      <c r="J6" s="151"/>
      <c r="K6" s="151"/>
      <c r="L6" s="151"/>
      <c r="M6" s="151"/>
      <c r="N6" s="151"/>
      <c r="O6" s="151"/>
      <c r="P6" s="151"/>
      <c r="Q6" s="151"/>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2">
        <v>3</v>
      </c>
      <c r="H9" s="152"/>
      <c r="J9" s="152">
        <v>3</v>
      </c>
      <c r="K9" s="152"/>
      <c r="M9" s="152">
        <v>0</v>
      </c>
      <c r="N9" s="152"/>
      <c r="P9" s="152">
        <v>0</v>
      </c>
      <c r="Q9" s="152"/>
      <c r="S9" s="143"/>
      <c r="T9" s="143"/>
      <c r="U9" s="143"/>
      <c r="V9" s="45"/>
    </row>
    <row r="10" spans="2:22" ht="20.25" customHeight="1">
      <c r="B10" s="107" t="s">
        <v>1</v>
      </c>
      <c r="C10" s="107"/>
      <c r="G10" s="152"/>
      <c r="H10" s="152"/>
      <c r="J10" s="152"/>
      <c r="K10" s="152"/>
      <c r="M10" s="152"/>
      <c r="N10" s="152"/>
      <c r="P10" s="152"/>
      <c r="Q10" s="152"/>
      <c r="S10" s="143"/>
      <c r="T10" s="143"/>
      <c r="U10" s="143"/>
      <c r="V10" s="45"/>
    </row>
    <row r="11" spans="2:22" ht="20.25" customHeight="1">
      <c r="B11" s="107"/>
      <c r="C11" s="107"/>
      <c r="G11" s="152"/>
      <c r="H11" s="152"/>
      <c r="J11" s="152"/>
      <c r="K11" s="152"/>
      <c r="M11" s="152"/>
      <c r="N11" s="152"/>
      <c r="P11" s="152"/>
      <c r="Q11" s="152"/>
      <c r="S11" s="143"/>
      <c r="T11" s="143"/>
      <c r="U11" s="143"/>
      <c r="V11" s="45"/>
    </row>
    <row r="12" spans="2:22" ht="20.25" customHeight="1">
      <c r="B12" s="107" t="s">
        <v>617</v>
      </c>
      <c r="C12" s="107"/>
      <c r="G12" s="161" t="s">
        <v>542</v>
      </c>
      <c r="H12" s="161"/>
      <c r="J12" s="161" t="s">
        <v>543</v>
      </c>
      <c r="K12" s="161"/>
      <c r="M12" s="161" t="s">
        <v>544</v>
      </c>
      <c r="N12" s="161"/>
      <c r="P12" s="161" t="s">
        <v>545</v>
      </c>
      <c r="Q12" s="161"/>
      <c r="S12" s="118" t="s">
        <v>598</v>
      </c>
      <c r="T12" s="118"/>
      <c r="U12" s="118"/>
      <c r="V12" s="118"/>
    </row>
    <row r="13" spans="2:22" ht="20.25" customHeight="1">
      <c r="B13" s="107"/>
      <c r="C13" s="107"/>
      <c r="G13" s="161"/>
      <c r="H13" s="161"/>
      <c r="J13" s="161"/>
      <c r="K13" s="161"/>
      <c r="M13" s="161"/>
      <c r="N13" s="161"/>
      <c r="P13" s="161"/>
      <c r="Q13" s="161"/>
      <c r="S13" s="118"/>
      <c r="T13" s="118"/>
      <c r="U13" s="118"/>
      <c r="V13" s="118"/>
    </row>
    <row r="14" spans="2:22" ht="20.25" customHeight="1">
      <c r="B14" s="107" t="s">
        <v>2</v>
      </c>
      <c r="C14" s="107"/>
      <c r="G14" s="161"/>
      <c r="H14" s="161"/>
      <c r="J14" s="161"/>
      <c r="K14" s="161"/>
      <c r="M14" s="161"/>
      <c r="N14" s="161"/>
      <c r="P14" s="161"/>
      <c r="Q14" s="161"/>
      <c r="S14" s="160"/>
      <c r="T14" s="160"/>
      <c r="U14" s="160"/>
      <c r="V14" s="160"/>
    </row>
    <row r="15" spans="2:22">
      <c r="B15" s="107"/>
      <c r="C15" s="107"/>
      <c r="E15" s="89"/>
      <c r="F15" s="89"/>
      <c r="G15" s="89"/>
      <c r="H15" s="57">
        <f>+J9*25%</f>
        <v>0.75</v>
      </c>
      <c r="I15" s="57">
        <f>+INT(IF(J9&lt;10,J9,IF(H15&lt;10,10,H15)))</f>
        <v>3</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3" t="str">
        <f>"Seleccione una muestra de "&amp;I15&amp;" abogados activos y complete los siguientes datos:"</f>
        <v>Seleccione una muestra de 3 abogados activos y complete los siguientes datos:</v>
      </c>
      <c r="F17" s="153"/>
      <c r="G17" s="153"/>
      <c r="H17" s="153"/>
      <c r="I17" s="153"/>
      <c r="J17" s="153"/>
      <c r="K17" s="90"/>
      <c r="L17" s="153" t="s">
        <v>485</v>
      </c>
      <c r="M17" s="153"/>
      <c r="N17" s="153"/>
      <c r="O17" s="153"/>
      <c r="P17" s="153"/>
      <c r="Q17" s="153"/>
      <c r="S17" s="125"/>
      <c r="T17" s="125"/>
      <c r="U17" s="125"/>
      <c r="V17" s="125"/>
    </row>
    <row r="18" spans="2:22" ht="36" customHeight="1">
      <c r="B18" s="107" t="s">
        <v>538</v>
      </c>
      <c r="C18" s="107"/>
      <c r="E18" s="153"/>
      <c r="F18" s="153"/>
      <c r="G18" s="153"/>
      <c r="H18" s="153"/>
      <c r="I18" s="153"/>
      <c r="J18" s="153"/>
      <c r="K18" s="90"/>
      <c r="L18" s="153"/>
      <c r="M18" s="153"/>
      <c r="N18" s="153"/>
      <c r="O18" s="153"/>
      <c r="P18" s="153"/>
      <c r="Q18" s="153"/>
      <c r="S18" s="125"/>
      <c r="T18" s="125"/>
      <c r="U18" s="125"/>
      <c r="V18" s="125"/>
    </row>
    <row r="19" spans="2:22" ht="25.5" customHeight="1">
      <c r="B19" s="107"/>
      <c r="C19" s="107"/>
      <c r="E19" s="154" t="str">
        <f>"De la muestra de "&amp;I15&amp;", cuantos tienen el nombre correcto"</f>
        <v>De la muestra de 3, cuantos tienen el nombre correcto</v>
      </c>
      <c r="F19" s="154"/>
      <c r="G19" s="154"/>
      <c r="H19" s="154"/>
      <c r="I19" s="156">
        <v>3</v>
      </c>
      <c r="J19" s="157"/>
      <c r="K19" s="90"/>
      <c r="L19" s="154" t="s">
        <v>546</v>
      </c>
      <c r="M19" s="154"/>
      <c r="N19" s="154"/>
      <c r="O19" s="154"/>
      <c r="P19" s="156">
        <v>3</v>
      </c>
      <c r="Q19" s="157"/>
      <c r="S19" s="125"/>
      <c r="T19" s="125"/>
      <c r="U19" s="125"/>
      <c r="V19" s="125"/>
    </row>
    <row r="20" spans="2:22" ht="20.25" customHeight="1">
      <c r="B20" s="107" t="s">
        <v>431</v>
      </c>
      <c r="C20" s="107"/>
      <c r="E20" s="154"/>
      <c r="F20" s="154"/>
      <c r="G20" s="154"/>
      <c r="H20" s="154"/>
      <c r="I20" s="156"/>
      <c r="J20" s="157"/>
      <c r="K20" s="90"/>
      <c r="L20" s="154"/>
      <c r="M20" s="154"/>
      <c r="N20" s="154"/>
      <c r="O20" s="154"/>
      <c r="P20" s="156"/>
      <c r="Q20" s="157"/>
      <c r="R20" s="104">
        <f>+P19*1</f>
        <v>3</v>
      </c>
      <c r="S20" s="125"/>
      <c r="T20" s="125"/>
      <c r="U20" s="125"/>
      <c r="V20" s="125"/>
    </row>
    <row r="21" spans="2:22" ht="26.25" customHeight="1">
      <c r="B21" s="107"/>
      <c r="C21" s="107"/>
      <c r="E21" s="155" t="str">
        <f>"De la muestra de "&amp;I15&amp;", cuantos tienen el correo electrónico correcto"</f>
        <v>De la muestra de 3, cuantos tienen el correo electrónico correcto</v>
      </c>
      <c r="F21" s="155"/>
      <c r="G21" s="155"/>
      <c r="H21" s="155"/>
      <c r="I21" s="158">
        <v>3</v>
      </c>
      <c r="J21" s="159"/>
      <c r="K21" s="90"/>
      <c r="L21" s="155" t="s">
        <v>547</v>
      </c>
      <c r="M21" s="155"/>
      <c r="N21" s="155"/>
      <c r="O21" s="155"/>
      <c r="P21" s="158">
        <v>0</v>
      </c>
      <c r="Q21" s="159"/>
      <c r="R21" s="74"/>
      <c r="S21" s="125"/>
      <c r="T21" s="125"/>
      <c r="U21" s="125"/>
      <c r="V21" s="125"/>
    </row>
    <row r="22" spans="2:22" ht="42" customHeight="1">
      <c r="B22" s="107" t="s">
        <v>618</v>
      </c>
      <c r="C22" s="107"/>
      <c r="E22" s="155"/>
      <c r="F22" s="155"/>
      <c r="G22" s="155"/>
      <c r="H22" s="155"/>
      <c r="I22" s="158"/>
      <c r="J22" s="159"/>
      <c r="K22" s="90"/>
      <c r="L22" s="155"/>
      <c r="M22" s="155"/>
      <c r="N22" s="155"/>
      <c r="O22" s="155"/>
      <c r="P22" s="158"/>
      <c r="Q22" s="159"/>
      <c r="R22" s="104">
        <f>+P21*1</f>
        <v>0</v>
      </c>
      <c r="S22" s="125"/>
      <c r="T22" s="125"/>
      <c r="U22" s="125"/>
      <c r="V22" s="125"/>
    </row>
    <row r="23" spans="2:22" ht="20.25" customHeight="1">
      <c r="E23" s="154" t="str">
        <f>"De la muestra de "&amp;I15&amp;", cuantos tienen tipo de vinculación de planta"</f>
        <v>De la muestra de 3, cuantos tienen tipo de vinculación de planta</v>
      </c>
      <c r="F23" s="154"/>
      <c r="G23" s="154"/>
      <c r="H23" s="154"/>
      <c r="I23" s="156">
        <v>3</v>
      </c>
      <c r="J23" s="157"/>
      <c r="K23" s="90"/>
      <c r="L23" s="154" t="s">
        <v>486</v>
      </c>
      <c r="M23" s="154"/>
      <c r="N23" s="154"/>
      <c r="O23" s="154"/>
      <c r="P23" s="156">
        <v>0</v>
      </c>
      <c r="Q23" s="157"/>
      <c r="R23" s="74"/>
      <c r="S23" s="125"/>
      <c r="T23" s="125"/>
      <c r="U23" s="125"/>
      <c r="V23" s="125"/>
    </row>
    <row r="24" spans="2:22" ht="20.25" customHeight="1">
      <c r="E24" s="154"/>
      <c r="F24" s="154"/>
      <c r="G24" s="154"/>
      <c r="H24" s="154"/>
      <c r="I24" s="156"/>
      <c r="J24" s="157"/>
      <c r="K24" s="90"/>
      <c r="L24" s="154"/>
      <c r="M24" s="154"/>
      <c r="N24" s="154"/>
      <c r="O24" s="154"/>
      <c r="P24" s="156"/>
      <c r="Q24" s="157"/>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655</v>
      </c>
      <c r="F27" s="150"/>
      <c r="G27" s="150"/>
      <c r="H27" s="150"/>
      <c r="I27" s="150"/>
      <c r="J27" s="150"/>
      <c r="K27" s="150"/>
      <c r="L27" s="150"/>
      <c r="M27" s="150"/>
      <c r="N27" s="150"/>
      <c r="O27" s="150"/>
      <c r="P27" s="150"/>
      <c r="Q27" s="150"/>
      <c r="S27" s="125"/>
      <c r="T27" s="125"/>
      <c r="U27" s="125"/>
      <c r="V27" s="125"/>
    </row>
    <row r="28" spans="2:22">
      <c r="E28" s="150"/>
      <c r="F28" s="150"/>
      <c r="G28" s="150"/>
      <c r="H28" s="150"/>
      <c r="I28" s="150"/>
      <c r="J28" s="150"/>
      <c r="K28" s="150"/>
      <c r="L28" s="150"/>
      <c r="M28" s="150"/>
      <c r="N28" s="150"/>
      <c r="O28" s="150"/>
      <c r="P28" s="150"/>
      <c r="Q28" s="150"/>
      <c r="S28" s="125"/>
      <c r="T28" s="125"/>
      <c r="U28" s="125"/>
      <c r="V28" s="125"/>
    </row>
    <row r="29" spans="2:22">
      <c r="E29" s="150"/>
      <c r="F29" s="150"/>
      <c r="G29" s="150"/>
      <c r="H29" s="150"/>
      <c r="I29" s="150"/>
      <c r="J29" s="150"/>
      <c r="K29" s="150"/>
      <c r="L29" s="150"/>
      <c r="M29" s="150"/>
      <c r="N29" s="150"/>
      <c r="O29" s="150"/>
      <c r="P29" s="150"/>
      <c r="Q29" s="150"/>
      <c r="S29" s="125"/>
      <c r="T29" s="125"/>
      <c r="U29" s="125"/>
      <c r="V29" s="125"/>
    </row>
    <row r="30" spans="2:22">
      <c r="E30" s="150"/>
      <c r="F30" s="150"/>
      <c r="G30" s="150"/>
      <c r="H30" s="150"/>
      <c r="I30" s="150"/>
      <c r="J30" s="150"/>
      <c r="K30" s="150"/>
      <c r="L30" s="150"/>
      <c r="M30" s="150"/>
      <c r="N30" s="150"/>
      <c r="O30" s="150"/>
      <c r="P30" s="150"/>
      <c r="Q30" s="150"/>
      <c r="S30" s="125"/>
      <c r="T30" s="125"/>
      <c r="U30" s="125"/>
      <c r="V30" s="125"/>
    </row>
    <row r="31" spans="2:22">
      <c r="E31" s="150"/>
      <c r="F31" s="150"/>
      <c r="G31" s="150"/>
      <c r="H31" s="150"/>
      <c r="I31" s="150"/>
      <c r="J31" s="150"/>
      <c r="K31" s="150"/>
      <c r="L31" s="150"/>
      <c r="M31" s="150"/>
      <c r="N31" s="150"/>
      <c r="O31" s="150"/>
      <c r="P31" s="150"/>
      <c r="Q31" s="150"/>
      <c r="S31" s="125"/>
      <c r="T31" s="125"/>
      <c r="U31" s="125"/>
      <c r="V31" s="125"/>
    </row>
    <row r="32" spans="2:22">
      <c r="E32" s="150"/>
      <c r="F32" s="150"/>
      <c r="G32" s="150"/>
      <c r="H32" s="150"/>
      <c r="I32" s="150"/>
      <c r="J32" s="150"/>
      <c r="K32" s="150"/>
      <c r="L32" s="150"/>
      <c r="M32" s="150"/>
      <c r="N32" s="150"/>
      <c r="O32" s="150"/>
      <c r="P32" s="150"/>
      <c r="Q32" s="150"/>
      <c r="S32" s="125"/>
      <c r="T32" s="125"/>
      <c r="U32" s="125"/>
      <c r="V32" s="125"/>
    </row>
    <row r="33" spans="5:22">
      <c r="E33" s="150"/>
      <c r="F33" s="150"/>
      <c r="G33" s="150"/>
      <c r="H33" s="150"/>
      <c r="I33" s="150"/>
      <c r="J33" s="150"/>
      <c r="K33" s="150"/>
      <c r="L33" s="150"/>
      <c r="M33" s="150"/>
      <c r="N33" s="150"/>
      <c r="O33" s="150"/>
      <c r="P33" s="150"/>
      <c r="Q33" s="150"/>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formula1>44927</formula1>
      <formula2>47484</formula2>
    </dataValidation>
    <dataValidation type="whole" operator="lessThanOrEqual" allowBlank="1" showInputMessage="1" showErrorMessage="1" sqref="I19:J20">
      <formula1>I15</formula1>
    </dataValidation>
    <dataValidation type="whole" operator="lessThanOrEqual" allowBlank="1" showInputMessage="1" showErrorMessage="1" sqref="I21:J22">
      <formula1>I15</formula1>
    </dataValidation>
    <dataValidation type="whole" operator="lessThanOrEqual" allowBlank="1" showInputMessage="1" showErrorMessage="1" sqref="I23:J24">
      <formula1>I15</formula1>
    </dataValidation>
    <dataValidation type="whole" operator="lessThanOrEqual" allowBlank="1" showInputMessage="1" showErrorMessage="1" sqref="P19:Q20">
      <formula1>J9</formula1>
    </dataValidation>
    <dataValidation type="whole" operator="lessThanOrEqual" allowBlank="1" showInputMessage="1" showErrorMessage="1" sqref="P21:Q22">
      <formula1>J9</formula1>
    </dataValidation>
    <dataValidation type="whole" operator="lessThanOrEqual" allowBlank="1" showInputMessage="1" showErrorMessage="1" sqref="P23:Q24">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dataValidation operator="greaterThanOrEqual" allowBlank="1" showInputMessage="1" showErrorMessage="1" sqref="G9:H11"/>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dataValidations>
  <hyperlinks>
    <hyperlink ref="S12:U13" r:id="rId1" display="Acceder al manual"/>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S12:V13" r:id="rId2" display="Acceder a la guía"/>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9"/>
  <sheetViews>
    <sheetView showGridLines="0" showRowColHeaders="0" topLeftCell="B13" zoomScale="70" zoomScaleNormal="70" workbookViewId="0">
      <selection activeCell="E23" sqref="E23:R26"/>
    </sheetView>
  </sheetViews>
  <sheetFormatPr baseColWidth="10" defaultColWidth="11.44140625" defaultRowHeight="20.399999999999999"/>
  <cols>
    <col min="1" max="1" width="0" style="6" hidden="1" customWidth="1"/>
    <col min="2" max="2" width="17.77734375" style="55" customWidth="1"/>
    <col min="3" max="3" width="19.77734375" style="55" customWidth="1"/>
    <col min="4" max="8" width="9.21875" style="6" customWidth="1"/>
    <col min="9" max="9" width="14.21875" style="6" customWidth="1"/>
    <col min="10" max="14" width="9.21875" style="6" customWidth="1"/>
    <col min="15" max="15" width="15.77734375" style="6" customWidth="1"/>
    <col min="16" max="16" width="23.21875" style="6" customWidth="1"/>
    <col min="17" max="18" width="9.21875" style="6" customWidth="1"/>
    <col min="19" max="19" width="6.5546875" style="6" customWidth="1"/>
    <col min="20" max="21" width="9.21875" style="6" customWidth="1"/>
    <col min="22" max="22" width="16.21875" style="6" customWidth="1"/>
    <col min="23" max="38" width="9.21875" style="6" customWidth="1"/>
    <col min="39" max="16384" width="11.441406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1" t="s">
        <v>550</v>
      </c>
      <c r="F6" s="151"/>
      <c r="G6" s="151"/>
      <c r="H6" s="151"/>
      <c r="I6" s="151"/>
      <c r="J6" s="151"/>
      <c r="K6" s="151"/>
      <c r="L6" s="151"/>
      <c r="M6" s="151"/>
      <c r="N6" s="151"/>
      <c r="O6" s="151"/>
      <c r="P6" s="151"/>
      <c r="Q6" s="151"/>
      <c r="R6" s="151"/>
      <c r="T6" s="143" t="s">
        <v>622</v>
      </c>
      <c r="U6" s="143"/>
      <c r="V6" s="143"/>
    </row>
    <row r="7" spans="2:22">
      <c r="B7" s="107"/>
      <c r="C7" s="107"/>
      <c r="E7" s="151"/>
      <c r="F7" s="151"/>
      <c r="G7" s="151"/>
      <c r="H7" s="151"/>
      <c r="I7" s="151"/>
      <c r="J7" s="151"/>
      <c r="K7" s="151"/>
      <c r="L7" s="151"/>
      <c r="M7" s="151"/>
      <c r="N7" s="151"/>
      <c r="O7" s="151"/>
      <c r="P7" s="151"/>
      <c r="Q7" s="151"/>
      <c r="R7" s="151"/>
      <c r="T7" s="143"/>
      <c r="U7" s="143"/>
      <c r="V7" s="143"/>
    </row>
    <row r="8" spans="2:22" ht="14.7"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50</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50</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50</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55" customHeight="1">
      <c r="B19" s="107"/>
      <c r="C19" s="107"/>
      <c r="G19" s="163" t="s">
        <v>645</v>
      </c>
      <c r="H19" s="163"/>
      <c r="I19" s="163"/>
      <c r="J19" s="163"/>
      <c r="K19" s="163"/>
      <c r="L19" s="163"/>
      <c r="M19" s="163"/>
      <c r="N19" s="163"/>
      <c r="O19" s="164"/>
      <c r="P19" s="165">
        <f>+P13-P16</f>
        <v>0</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62" t="s">
        <v>656</v>
      </c>
      <c r="F23" s="162"/>
      <c r="G23" s="162"/>
      <c r="H23" s="162"/>
      <c r="I23" s="162"/>
      <c r="J23" s="162"/>
      <c r="K23" s="162"/>
      <c r="L23" s="162"/>
      <c r="M23" s="162"/>
      <c r="N23" s="162"/>
      <c r="O23" s="162"/>
      <c r="P23" s="162"/>
      <c r="Q23" s="162"/>
      <c r="R23" s="162"/>
      <c r="T23" s="125"/>
      <c r="U23" s="125"/>
      <c r="V23" s="125"/>
    </row>
    <row r="24" spans="2:22" ht="28.5" customHeight="1">
      <c r="E24" s="162"/>
      <c r="F24" s="162"/>
      <c r="G24" s="162"/>
      <c r="H24" s="162"/>
      <c r="I24" s="162"/>
      <c r="J24" s="162"/>
      <c r="K24" s="162"/>
      <c r="L24" s="162"/>
      <c r="M24" s="162"/>
      <c r="N24" s="162"/>
      <c r="O24" s="162"/>
      <c r="P24" s="162"/>
      <c r="Q24" s="162"/>
      <c r="R24" s="162"/>
      <c r="T24" s="125"/>
      <c r="U24" s="125"/>
      <c r="V24" s="125"/>
    </row>
    <row r="25" spans="2:22" ht="28.5" customHeight="1">
      <c r="E25" s="162"/>
      <c r="F25" s="162"/>
      <c r="G25" s="162"/>
      <c r="H25" s="162"/>
      <c r="I25" s="162"/>
      <c r="J25" s="162"/>
      <c r="K25" s="162"/>
      <c r="L25" s="162"/>
      <c r="M25" s="162"/>
      <c r="N25" s="162"/>
      <c r="O25" s="162"/>
      <c r="P25" s="162"/>
      <c r="Q25" s="162"/>
      <c r="R25" s="162"/>
      <c r="T25" s="125"/>
      <c r="U25" s="125"/>
      <c r="V25" s="125"/>
    </row>
    <row r="26" spans="2:22" ht="22.5" customHeight="1">
      <c r="E26" s="162"/>
      <c r="F26" s="162"/>
      <c r="G26" s="162"/>
      <c r="H26" s="162"/>
      <c r="I26" s="162"/>
      <c r="J26" s="162"/>
      <c r="K26" s="162"/>
      <c r="L26" s="162"/>
      <c r="M26" s="162"/>
      <c r="N26" s="162"/>
      <c r="O26" s="162"/>
      <c r="P26" s="162"/>
      <c r="Q26" s="162"/>
      <c r="R26" s="162"/>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formula1>#REF!</formula1>
    </dataValidation>
    <dataValidation type="whole" operator="greaterThanOrEqual" allowBlank="1" showInputMessage="1" showErrorMessage="1" sqref="P10:P11 P19:P20">
      <formula1>0</formula1>
    </dataValidation>
    <dataValidation type="whole" operator="lessThanOrEqual" allowBlank="1" showInputMessage="1" showErrorMessage="1" sqref="P13:P14 P16:P17">
      <formula1>P10</formula1>
    </dataValidation>
  </dataValidations>
  <hyperlinks>
    <hyperlink ref="T14:V15"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autoPageBreaks="0"/>
  </sheetPr>
  <dimension ref="A3:Y51"/>
  <sheetViews>
    <sheetView showGridLines="0" showRowColHeaders="0" topLeftCell="B20" zoomScale="70" zoomScaleNormal="70" workbookViewId="0">
      <selection activeCell="B42" sqref="B42"/>
      <extLst>
        <ext xmlns:xlsdti="http://schemas.microsoft.com/office/spreadsheetml/2023/showDataTypeIcons" uri="{77bfe23e-c014-4d31-8a63-9c772dbf06b6}">
          <xlsdti:showDataTypeIcons visible="0"/>
        </ext>
      </extLst>
    </sheetView>
  </sheetViews>
  <sheetFormatPr baseColWidth="10" defaultColWidth="11.44140625" defaultRowHeight="20.399999999999999"/>
  <cols>
    <col min="1" max="1" width="0" style="6" hidden="1" customWidth="1"/>
    <col min="2" max="2" width="17.77734375" style="55" customWidth="1"/>
    <col min="3" max="3" width="19.77734375" style="55" customWidth="1"/>
    <col min="4" max="10" width="9.21875" style="6" customWidth="1"/>
    <col min="11" max="11" width="5.21875" style="6" customWidth="1"/>
    <col min="12" max="12" width="17.44140625" style="6" customWidth="1"/>
    <col min="13" max="18" width="9.21875" style="6" customWidth="1"/>
    <col min="19" max="19" width="17.44140625" style="6" customWidth="1"/>
    <col min="20" max="20" width="15.44140625" style="6" customWidth="1"/>
    <col min="21" max="21" width="17.77734375" style="6" customWidth="1"/>
    <col min="22" max="22" width="5.44140625" style="6" customWidth="1"/>
    <col min="23" max="24" width="9.21875" style="6" customWidth="1"/>
    <col min="25" max="25" width="15.21875" style="6" customWidth="1"/>
    <col min="26" max="55" width="9.21875" style="6" customWidth="1"/>
    <col min="56" max="16384" width="11.441406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1" t="s">
        <v>528</v>
      </c>
      <c r="F6" s="151"/>
      <c r="G6" s="151"/>
      <c r="H6" s="151"/>
      <c r="I6" s="151"/>
      <c r="J6" s="151"/>
      <c r="K6" s="151"/>
      <c r="L6" s="151"/>
      <c r="M6" s="151"/>
      <c r="N6" s="151"/>
      <c r="O6" s="151"/>
      <c r="P6" s="151"/>
      <c r="Q6" s="151"/>
      <c r="R6" s="151"/>
      <c r="S6" s="151"/>
      <c r="T6" s="151"/>
      <c r="U6" s="151"/>
      <c r="V6" s="16"/>
      <c r="W6" s="143" t="s">
        <v>623</v>
      </c>
      <c r="X6" s="143"/>
      <c r="Y6" s="143"/>
    </row>
    <row r="7" spans="1:25">
      <c r="B7" s="107"/>
      <c r="C7" s="107"/>
      <c r="E7" s="151"/>
      <c r="F7" s="151"/>
      <c r="G7" s="151"/>
      <c r="H7" s="151"/>
      <c r="I7" s="151"/>
      <c r="J7" s="151"/>
      <c r="K7" s="151"/>
      <c r="L7" s="151"/>
      <c r="M7" s="151"/>
      <c r="N7" s="151"/>
      <c r="O7" s="151"/>
      <c r="P7" s="151"/>
      <c r="Q7" s="151"/>
      <c r="R7" s="151"/>
      <c r="S7" s="151"/>
      <c r="T7" s="151"/>
      <c r="U7" s="151"/>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505</v>
      </c>
      <c r="M12" s="68"/>
      <c r="N12" s="193" t="s">
        <v>442</v>
      </c>
      <c r="O12" s="193"/>
      <c r="P12" s="193"/>
      <c r="Q12" s="193"/>
      <c r="R12" s="193"/>
      <c r="S12" s="193"/>
      <c r="T12" s="194"/>
      <c r="U12" s="189">
        <v>2</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505</v>
      </c>
      <c r="M14" s="186"/>
      <c r="N14" s="195" t="s">
        <v>572</v>
      </c>
      <c r="O14" s="195"/>
      <c r="P14" s="195"/>
      <c r="Q14" s="195"/>
      <c r="R14" s="195"/>
      <c r="S14" s="195"/>
      <c r="T14" s="196"/>
      <c r="U14" s="187">
        <v>2</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0</v>
      </c>
      <c r="M16" s="68"/>
      <c r="N16" s="199" t="s">
        <v>630</v>
      </c>
      <c r="O16" s="199"/>
      <c r="P16" s="199"/>
      <c r="Q16" s="199"/>
      <c r="R16" s="199"/>
      <c r="S16" s="199"/>
      <c r="T16" s="200"/>
      <c r="U16" s="189">
        <v>2</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20</v>
      </c>
      <c r="M21" s="43"/>
      <c r="N21" s="193" t="str">
        <f>"Cantidad de procesos activos ekOGUI - Calidad demandado"</f>
        <v>Cantidad de procesos activos ekOGUI - Calidad demandado</v>
      </c>
      <c r="O21" s="193"/>
      <c r="P21" s="193"/>
      <c r="Q21" s="193"/>
      <c r="R21" s="193"/>
      <c r="S21" s="193"/>
      <c r="T21" s="194"/>
      <c r="U21" s="188">
        <v>23</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20</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8</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5</v>
      </c>
      <c r="L25" s="54">
        <f>+INT(IF(L23&lt;10,L23,IF(K25&lt;10,10,K25)))</f>
        <v>10</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15</v>
      </c>
      <c r="W25" s="125"/>
      <c r="X25" s="125"/>
      <c r="Y25" s="125"/>
    </row>
    <row r="26" spans="2:25" ht="26.25" customHeight="1">
      <c r="E26" s="134" t="str">
        <f>"Seleccione "&amp;L25&amp;" procesos terminados en el primer semestre de "&amp;Administrador!A8&amp;" y diligencie la siguiente tabla:"</f>
        <v>Seleccione 10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0</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5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10</v>
      </c>
      <c r="M32" s="93"/>
      <c r="N32" s="175" t="s">
        <v>471</v>
      </c>
      <c r="O32" s="175"/>
      <c r="P32" s="175"/>
      <c r="Q32" s="175"/>
      <c r="R32" s="176"/>
      <c r="S32" s="173">
        <v>1</v>
      </c>
      <c r="T32" s="174">
        <v>0</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10</v>
      </c>
      <c r="M34" s="93"/>
      <c r="N34" s="191" t="s">
        <v>443</v>
      </c>
      <c r="O34" s="191"/>
      <c r="P34" s="191"/>
      <c r="Q34" s="191"/>
      <c r="R34" s="201"/>
      <c r="S34" s="184">
        <v>0</v>
      </c>
      <c r="T34" s="177">
        <v>0</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0</v>
      </c>
      <c r="M36" s="93"/>
      <c r="N36" s="175" t="s">
        <v>444</v>
      </c>
      <c r="O36" s="175"/>
      <c r="P36" s="175"/>
      <c r="Q36" s="175"/>
      <c r="R36" s="176"/>
      <c r="S36" s="173">
        <v>22</v>
      </c>
      <c r="T36" s="174">
        <v>0</v>
      </c>
      <c r="U36" s="169"/>
      <c r="V36" s="10">
        <f>+S32-T32</f>
        <v>1</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0</v>
      </c>
      <c r="M38" s="68"/>
      <c r="N38" s="197" t="s">
        <v>445</v>
      </c>
      <c r="O38" s="197"/>
      <c r="P38" s="197"/>
      <c r="Q38" s="197"/>
      <c r="R38" s="198"/>
      <c r="S38" s="184">
        <v>0</v>
      </c>
      <c r="T38" s="177">
        <v>0</v>
      </c>
      <c r="U38" s="172"/>
      <c r="V38" s="10">
        <f>+S34-T34</f>
        <v>0</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0</v>
      </c>
      <c r="M40" s="69"/>
      <c r="N40" s="68"/>
      <c r="O40" s="68"/>
      <c r="P40" s="68"/>
      <c r="Q40" s="68"/>
      <c r="R40" s="68"/>
      <c r="S40" s="68"/>
      <c r="T40" s="68"/>
      <c r="U40" s="68"/>
      <c r="V40" s="10">
        <f>+S36-T36</f>
        <v>22</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t="s">
        <v>660</v>
      </c>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formula1>44927</formula1>
      <formula2>47484</formula2>
    </dataValidation>
    <dataValidation type="whole" operator="lessThanOrEqual" allowBlank="1" showInputMessage="1" showErrorMessage="1" sqref="L32:L35">
      <formula1>$L$32</formula1>
    </dataValidation>
    <dataValidation type="whole" operator="lessThanOrEqual" allowBlank="1" showInputMessage="1" showErrorMessage="1" sqref="T38:U39">
      <formula1>$S$38</formula1>
    </dataValidation>
    <dataValidation type="whole" operator="lessThanOrEqual" allowBlank="1" showInputMessage="1" showErrorMessage="1" sqref="T32:U33">
      <formula1>$S$32</formula1>
    </dataValidation>
    <dataValidation type="whole" operator="lessThanOrEqual" allowBlank="1" showInputMessage="1" showErrorMessage="1" sqref="T34:U35">
      <formula1>S34</formula1>
    </dataValidation>
    <dataValidation type="whole" operator="lessThanOrEqual" allowBlank="1" showInputMessage="1" showErrorMessage="1" sqref="T36:U37">
      <formula1>$S$36</formula1>
    </dataValidation>
    <dataValidation type="whole" operator="lessThanOrEqual" allowBlank="1" showInputMessage="1" showErrorMessage="1" sqref="L36:L37 L38:L39 L40:L41 L16:L17 U16:U17 U23:U24">
      <formula1>L14</formula1>
    </dataValidation>
    <dataValidation type="whole" operator="lessThanOrEqual" allowBlank="1" showInputMessage="1" showErrorMessage="1" sqref="U25:U26">
      <formula1>U21</formula1>
    </dataValidation>
    <dataValidation type="whole" operator="lessThanOrEqual" allowBlank="1" showInputMessage="1" showErrorMessage="1" sqref="U27:U28">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dataValidation allowBlank="1" showInputMessage="1" showErrorMessage="1" promptTitle="Casilla con fondo rojo" prompt="Explique en el campo de observaciones, por qué existen más procesos terminados en ekOGUI que los procesos terminados reportados por la Oficina Asesora Jurídica." sqref="L23:L24"/>
  </dataValidations>
  <hyperlinks>
    <hyperlink ref="W14:Y15"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Y23"/>
  <sheetViews>
    <sheetView showGridLines="0" showRowColHeaders="0" topLeftCell="B1" zoomScale="70" zoomScaleNormal="70" workbookViewId="0">
      <selection activeCell="E18" sqref="E18:U21"/>
    </sheetView>
  </sheetViews>
  <sheetFormatPr baseColWidth="10" defaultColWidth="11.44140625" defaultRowHeight="20.399999999999999"/>
  <cols>
    <col min="1" max="1" width="0" style="6" hidden="1" customWidth="1"/>
    <col min="2" max="2" width="17.77734375" style="55" customWidth="1"/>
    <col min="3" max="3" width="19.77734375" style="55" customWidth="1"/>
    <col min="4" max="10" width="9.21875" style="6" customWidth="1"/>
    <col min="11" max="11" width="18.5546875" style="6" customWidth="1"/>
    <col min="12" max="12" width="14.5546875" style="6" customWidth="1"/>
    <col min="13" max="13" width="2.77734375" style="6" customWidth="1"/>
    <col min="14" max="19" width="9.21875" style="6" customWidth="1"/>
    <col min="20" max="20" width="17.77734375" style="6" customWidth="1"/>
    <col min="21" max="21" width="14.21875" style="6" customWidth="1"/>
    <col min="22" max="22" width="3.5546875" style="6" customWidth="1"/>
    <col min="23" max="24" width="9.21875" style="6" customWidth="1"/>
    <col min="25" max="25" width="13.21875" style="6" customWidth="1"/>
    <col min="26" max="64" width="9.21875" style="6" customWidth="1"/>
    <col min="65" max="16384" width="11.441406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1" t="s">
        <v>537</v>
      </c>
      <c r="F5" s="151"/>
      <c r="G5" s="151"/>
      <c r="H5" s="151"/>
      <c r="I5" s="151"/>
      <c r="J5" s="151"/>
      <c r="K5" s="151"/>
      <c r="L5" s="151"/>
      <c r="M5" s="151"/>
      <c r="N5" s="151"/>
      <c r="O5" s="151"/>
      <c r="P5" s="151"/>
      <c r="Q5" s="151"/>
      <c r="R5" s="151"/>
      <c r="S5" s="151"/>
      <c r="T5" s="151"/>
      <c r="U5" s="151"/>
      <c r="V5" s="12"/>
      <c r="W5" s="143" t="s">
        <v>624</v>
      </c>
      <c r="X5" s="143"/>
      <c r="Y5" s="143"/>
    </row>
    <row r="6" spans="2:25">
      <c r="B6" s="107" t="s">
        <v>616</v>
      </c>
      <c r="C6" s="107"/>
      <c r="E6" s="151"/>
      <c r="F6" s="151"/>
      <c r="G6" s="151"/>
      <c r="H6" s="151"/>
      <c r="I6" s="151"/>
      <c r="J6" s="151"/>
      <c r="K6" s="151"/>
      <c r="L6" s="151"/>
      <c r="M6" s="151"/>
      <c r="N6" s="151"/>
      <c r="O6" s="151"/>
      <c r="P6" s="151"/>
      <c r="Q6" s="151"/>
      <c r="R6" s="151"/>
      <c r="S6" s="151"/>
      <c r="T6" s="151"/>
      <c r="U6" s="151"/>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t="s">
        <v>657</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formula1>44927</formula1>
      <formula2>47484</formula2>
    </dataValidation>
  </dataValidations>
  <hyperlinks>
    <hyperlink ref="W12:Y13"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30"/>
  <sheetViews>
    <sheetView showGridLines="0" showRowColHeaders="0" topLeftCell="B11" zoomScale="70" zoomScaleNormal="70" workbookViewId="0">
      <selection activeCell="E25" sqref="E25:R30"/>
    </sheetView>
  </sheetViews>
  <sheetFormatPr baseColWidth="10" defaultColWidth="11.44140625" defaultRowHeight="20.399999999999999"/>
  <cols>
    <col min="1" max="1" width="0" style="6" hidden="1" customWidth="1"/>
    <col min="2" max="2" width="17.77734375" style="55" customWidth="1"/>
    <col min="3" max="3" width="19.77734375" style="55" customWidth="1"/>
    <col min="4" max="8" width="9.21875" style="6" customWidth="1"/>
    <col min="9" max="9" width="34.5546875" style="6" customWidth="1"/>
    <col min="10" max="18" width="9.21875" style="6" customWidth="1"/>
    <col min="19" max="19" width="6.5546875" style="6" customWidth="1"/>
    <col min="20" max="21" width="9.21875" style="6" customWidth="1"/>
    <col min="22" max="22" width="15.44140625" style="6" customWidth="1"/>
    <col min="23" max="38" width="9.21875" style="6" customWidth="1"/>
    <col min="39" max="16384" width="11.441406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1" t="s">
        <v>536</v>
      </c>
      <c r="F5" s="151"/>
      <c r="G5" s="151"/>
      <c r="H5" s="151"/>
      <c r="I5" s="151"/>
      <c r="J5" s="151"/>
      <c r="K5" s="151"/>
      <c r="L5" s="151"/>
      <c r="M5" s="151"/>
      <c r="N5" s="151"/>
      <c r="O5" s="151"/>
      <c r="P5" s="151"/>
      <c r="Q5" s="151"/>
      <c r="R5" s="151"/>
      <c r="T5" s="143" t="s">
        <v>625</v>
      </c>
      <c r="U5" s="143"/>
      <c r="V5" s="143"/>
    </row>
    <row r="6" spans="2:22">
      <c r="B6" s="107" t="s">
        <v>616</v>
      </c>
      <c r="C6" s="107"/>
      <c r="E6" s="151"/>
      <c r="F6" s="151"/>
      <c r="G6" s="151"/>
      <c r="H6" s="151"/>
      <c r="I6" s="151"/>
      <c r="J6" s="151"/>
      <c r="K6" s="151"/>
      <c r="L6" s="151"/>
      <c r="M6" s="151"/>
      <c r="N6" s="151"/>
      <c r="O6" s="151"/>
      <c r="P6" s="151"/>
      <c r="Q6" s="151"/>
      <c r="R6" s="151"/>
      <c r="T6" s="143"/>
      <c r="U6" s="143"/>
      <c r="V6" s="143"/>
    </row>
    <row r="7" spans="2:22" ht="14.7"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636</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636</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v>0</v>
      </c>
      <c r="K15" s="217"/>
      <c r="L15" s="174">
        <v>0</v>
      </c>
      <c r="M15" s="217"/>
      <c r="N15" s="215">
        <f>+J15+L15</f>
        <v>0</v>
      </c>
      <c r="O15" s="215"/>
      <c r="T15" s="17"/>
      <c r="U15" s="17"/>
      <c r="V15" s="17"/>
    </row>
    <row r="16" spans="2:22" ht="30.75" customHeight="1">
      <c r="B16" s="107" t="s">
        <v>3</v>
      </c>
      <c r="C16" s="107"/>
      <c r="E16" s="191" t="s">
        <v>589</v>
      </c>
      <c r="F16" s="191"/>
      <c r="G16" s="191"/>
      <c r="H16" s="191"/>
      <c r="I16" s="201"/>
      <c r="J16" s="177">
        <v>3</v>
      </c>
      <c r="K16" s="218"/>
      <c r="L16" s="177">
        <v>0</v>
      </c>
      <c r="M16" s="218"/>
      <c r="N16" s="216">
        <f>+J16+L16</f>
        <v>3</v>
      </c>
      <c r="O16" s="216"/>
    </row>
    <row r="17" spans="2:19" ht="30.75" customHeight="1">
      <c r="B17" s="107"/>
      <c r="C17" s="107"/>
      <c r="E17" s="175" t="s">
        <v>590</v>
      </c>
      <c r="F17" s="175"/>
      <c r="G17" s="175"/>
      <c r="H17" s="175"/>
      <c r="I17" s="176"/>
      <c r="J17" s="174">
        <v>8</v>
      </c>
      <c r="K17" s="217"/>
      <c r="L17" s="174">
        <v>0</v>
      </c>
      <c r="M17" s="217"/>
      <c r="N17" s="215">
        <f>+J17+L17</f>
        <v>8</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v>0</v>
      </c>
      <c r="K20" s="169"/>
    </row>
    <row r="21" spans="2:19" ht="30.75" customHeight="1">
      <c r="B21" s="107"/>
      <c r="C21" s="107"/>
      <c r="E21" s="191" t="s">
        <v>491</v>
      </c>
      <c r="F21" s="191"/>
      <c r="G21" s="191"/>
      <c r="H21" s="191"/>
      <c r="I21" s="201"/>
      <c r="J21" s="177">
        <v>3</v>
      </c>
      <c r="K21" s="172"/>
    </row>
    <row r="22" spans="2:19" ht="39" customHeight="1">
      <c r="B22" s="107" t="s">
        <v>618</v>
      </c>
      <c r="C22" s="107"/>
      <c r="E22" s="175" t="s">
        <v>492</v>
      </c>
      <c r="F22" s="175"/>
      <c r="G22" s="175"/>
      <c r="H22" s="175"/>
      <c r="I22" s="176"/>
      <c r="J22" s="174">
        <v>8</v>
      </c>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t="s">
        <v>659</v>
      </c>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formula1>#REF!</formula1>
    </dataValidation>
  </dataValidations>
  <hyperlinks>
    <hyperlink ref="T13:V14"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W30"/>
  <sheetViews>
    <sheetView showGridLines="0" showRowColHeaders="0" topLeftCell="B1" zoomScale="70" zoomScaleNormal="70" workbookViewId="0">
      <selection activeCell="E17" sqref="E17:S21"/>
    </sheetView>
  </sheetViews>
  <sheetFormatPr baseColWidth="10" defaultColWidth="11.44140625" defaultRowHeight="20.399999999999999"/>
  <cols>
    <col min="1" max="1" width="0" style="6" hidden="1" customWidth="1"/>
    <col min="2" max="2" width="17.77734375" style="55" customWidth="1"/>
    <col min="3" max="3" width="19.77734375" style="55" customWidth="1"/>
    <col min="4" max="14" width="9.21875" style="6" customWidth="1"/>
    <col min="15" max="15" width="9.21875" style="6" hidden="1" customWidth="1"/>
    <col min="16" max="19" width="9.21875" style="6" customWidth="1"/>
    <col min="20" max="20" width="14.44140625" style="6" customWidth="1"/>
    <col min="21" max="22" width="9.21875" style="6" customWidth="1"/>
    <col min="23" max="23" width="17.5546875" style="6" customWidth="1"/>
    <col min="24" max="44" width="9.21875" style="6" customWidth="1"/>
    <col min="45" max="16384" width="11.441406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1" t="s">
        <v>635</v>
      </c>
      <c r="F5" s="151"/>
      <c r="G5" s="151"/>
      <c r="H5" s="151"/>
      <c r="I5" s="151"/>
      <c r="J5" s="151"/>
      <c r="K5" s="151"/>
      <c r="L5" s="151"/>
      <c r="M5" s="151"/>
      <c r="N5" s="151"/>
      <c r="O5" s="151"/>
      <c r="P5" s="151"/>
      <c r="Q5" s="151"/>
      <c r="R5" s="151"/>
      <c r="S5" s="151"/>
      <c r="U5" s="143" t="s">
        <v>626</v>
      </c>
      <c r="V5" s="143"/>
      <c r="W5" s="143"/>
    </row>
    <row r="6" spans="2:23" ht="19.5" customHeight="1">
      <c r="B6" s="107" t="s">
        <v>616</v>
      </c>
      <c r="C6" s="107"/>
      <c r="E6" s="151"/>
      <c r="F6" s="151"/>
      <c r="G6" s="151"/>
      <c r="H6" s="151"/>
      <c r="I6" s="151"/>
      <c r="J6" s="151"/>
      <c r="K6" s="151"/>
      <c r="L6" s="151"/>
      <c r="M6" s="151"/>
      <c r="N6" s="151"/>
      <c r="O6" s="151"/>
      <c r="P6" s="151"/>
      <c r="Q6" s="151"/>
      <c r="R6" s="151"/>
      <c r="S6" s="151"/>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636</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f>IF(R9="SI",1," ")</f>
        <v>1</v>
      </c>
      <c r="U10" s="143"/>
      <c r="V10" s="143"/>
      <c r="W10" s="143"/>
    </row>
    <row r="11" spans="2:23" ht="15.75" customHeight="1">
      <c r="B11" s="107"/>
      <c r="C11" s="107"/>
      <c r="E11" s="219" t="str">
        <f>IFERROR(IF(T10=1,"¿Cuántos pagos ha relacionado la entidad en ekOGUI?",IF(T10=_xleta.NOT,"")),"")</f>
        <v>¿Cuántos pagos ha relacionado la entidad en ekOGUI?</v>
      </c>
      <c r="F11" s="219"/>
      <c r="G11" s="219"/>
      <c r="H11" s="219"/>
      <c r="I11" s="219"/>
      <c r="J11" s="219"/>
      <c r="K11" s="219"/>
      <c r="L11" s="219"/>
      <c r="M11" s="219"/>
      <c r="N11" s="219"/>
      <c r="O11" s="219"/>
      <c r="P11" s="219"/>
      <c r="Q11" s="219"/>
      <c r="R11" s="220">
        <v>0</v>
      </c>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62" t="s">
        <v>658</v>
      </c>
      <c r="F17" s="162"/>
      <c r="G17" s="162"/>
      <c r="H17" s="162"/>
      <c r="I17" s="162"/>
      <c r="J17" s="162"/>
      <c r="K17" s="162"/>
      <c r="L17" s="162"/>
      <c r="M17" s="162"/>
      <c r="N17" s="162"/>
      <c r="O17" s="162"/>
      <c r="P17" s="162"/>
      <c r="Q17" s="162"/>
      <c r="R17" s="162"/>
      <c r="S17" s="162"/>
    </row>
    <row r="18" spans="2:19" ht="20.25" customHeight="1">
      <c r="B18" s="107" t="s">
        <v>538</v>
      </c>
      <c r="C18" s="107"/>
      <c r="E18" s="162"/>
      <c r="F18" s="162"/>
      <c r="G18" s="162"/>
      <c r="H18" s="162"/>
      <c r="I18" s="162"/>
      <c r="J18" s="162"/>
      <c r="K18" s="162"/>
      <c r="L18" s="162"/>
      <c r="M18" s="162"/>
      <c r="N18" s="162"/>
      <c r="O18" s="162"/>
      <c r="P18" s="162"/>
      <c r="Q18" s="162"/>
      <c r="R18" s="162"/>
      <c r="S18" s="162"/>
    </row>
    <row r="19" spans="2:19" ht="23.25" customHeight="1">
      <c r="B19" s="107"/>
      <c r="C19" s="107"/>
      <c r="E19" s="162"/>
      <c r="F19" s="162"/>
      <c r="G19" s="162"/>
      <c r="H19" s="162"/>
      <c r="I19" s="162"/>
      <c r="J19" s="162"/>
      <c r="K19" s="162"/>
      <c r="L19" s="162"/>
      <c r="M19" s="162"/>
      <c r="N19" s="162"/>
      <c r="O19" s="162"/>
      <c r="P19" s="162"/>
      <c r="Q19" s="162"/>
      <c r="R19" s="162"/>
      <c r="S19" s="162"/>
    </row>
    <row r="20" spans="2:19">
      <c r="B20" s="107" t="s">
        <v>431</v>
      </c>
      <c r="C20" s="107"/>
      <c r="E20" s="162"/>
      <c r="F20" s="162"/>
      <c r="G20" s="162"/>
      <c r="H20" s="162"/>
      <c r="I20" s="162"/>
      <c r="J20" s="162"/>
      <c r="K20" s="162"/>
      <c r="L20" s="162"/>
      <c r="M20" s="162"/>
      <c r="N20" s="162"/>
      <c r="O20" s="162"/>
      <c r="P20" s="162"/>
      <c r="Q20" s="162"/>
      <c r="R20" s="162"/>
      <c r="S20" s="162"/>
    </row>
    <row r="21" spans="2:19" ht="13.5" customHeight="1">
      <c r="B21" s="107"/>
      <c r="C21" s="107"/>
      <c r="E21" s="162"/>
      <c r="F21" s="162"/>
      <c r="G21" s="162"/>
      <c r="H21" s="162"/>
      <c r="I21" s="162"/>
      <c r="J21" s="162"/>
      <c r="K21" s="162"/>
      <c r="L21" s="162"/>
      <c r="M21" s="162"/>
      <c r="N21" s="162"/>
      <c r="O21" s="162"/>
      <c r="P21" s="162"/>
      <c r="Q21" s="162"/>
      <c r="R21" s="162"/>
      <c r="S21" s="162"/>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11" priority="5">
      <formula>$T$10&gt;1</formula>
    </cfRule>
  </conditionalFormatting>
  <conditionalFormatting sqref="R11:S12">
    <cfRule type="uniqueValues" dxfId="10" priority="1"/>
  </conditionalFormatting>
  <hyperlinks>
    <hyperlink ref="U13:W14"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W55"/>
  <sheetViews>
    <sheetView showGridLines="0" showRowColHeaders="0" tabSelected="1" zoomScale="70" zoomScaleNormal="70" workbookViewId="0">
      <selection activeCell="E51" sqref="E51:G54"/>
    </sheetView>
  </sheetViews>
  <sheetFormatPr baseColWidth="10" defaultColWidth="11.44140625" defaultRowHeight="22.8"/>
  <cols>
    <col min="1" max="1" width="17.77734375" style="61" customWidth="1"/>
    <col min="2" max="2" width="19.77734375" style="61" customWidth="1"/>
    <col min="3" max="3" width="11.44140625" style="28"/>
    <col min="4" max="4" width="54" style="28" customWidth="1"/>
    <col min="5" max="5" width="19" style="28" customWidth="1"/>
    <col min="6" max="6" width="11.44140625" style="28"/>
    <col min="7" max="7" width="35.5546875" style="28" customWidth="1"/>
    <col min="8" max="8" width="18.44140625" style="28" customWidth="1"/>
    <col min="9" max="10" width="11.44140625" style="28"/>
    <col min="11" max="11" width="4.44140625" style="28" customWidth="1"/>
    <col min="12" max="13" width="9.21875" style="28" customWidth="1"/>
    <col min="14" max="14" width="13.44140625" style="28" customWidth="1"/>
    <col min="15" max="21" width="11.44140625" style="28"/>
    <col min="22" max="23" width="0" style="28" hidden="1" customWidth="1"/>
    <col min="24" max="16384" width="11.44140625" style="28"/>
  </cols>
  <sheetData>
    <row r="1" spans="1:23">
      <c r="G1" s="29"/>
    </row>
    <row r="2" spans="1:23" ht="34.5" customHeight="1">
      <c r="C2" s="30"/>
      <c r="D2" s="30"/>
      <c r="E2" s="30"/>
      <c r="F2" s="30"/>
      <c r="G2" s="30"/>
      <c r="H2" s="30"/>
      <c r="I2" s="30"/>
      <c r="J2" s="30"/>
      <c r="L2" s="229" t="s">
        <v>627</v>
      </c>
      <c r="M2" s="229"/>
      <c r="N2" s="229"/>
    </row>
    <row r="3" spans="1:23" ht="38.1" customHeight="1">
      <c r="C3" s="30"/>
      <c r="D3" s="30"/>
      <c r="E3" s="30"/>
      <c r="F3" s="27"/>
      <c r="G3" s="30"/>
      <c r="H3" s="153" t="s">
        <v>432</v>
      </c>
      <c r="I3" s="153"/>
      <c r="J3" s="31"/>
      <c r="L3" s="229"/>
      <c r="M3" s="229"/>
      <c r="N3" s="229"/>
    </row>
    <row r="4" spans="1:23" ht="21.75" customHeight="1">
      <c r="C4" s="30"/>
      <c r="D4" s="30"/>
      <c r="E4" s="30"/>
      <c r="F4" s="27"/>
      <c r="G4" s="30"/>
      <c r="H4" s="233">
        <v>45898</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108</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651</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0.8</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3</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50</v>
      </c>
      <c r="F23" s="41"/>
      <c r="G23" s="72" t="s">
        <v>457</v>
      </c>
      <c r="H23" s="97" t="str">
        <f>+'Comité de conciliación'!$R$8</f>
        <v>SI</v>
      </c>
      <c r="I23" s="97"/>
      <c r="J23" s="30"/>
    </row>
    <row r="24" spans="1:10" ht="28.5" customHeight="1">
      <c r="C24" s="30"/>
      <c r="D24" s="78" t="s">
        <v>608</v>
      </c>
      <c r="E24" s="84">
        <f>+'Registro Casos'!$P$13</f>
        <v>50</v>
      </c>
      <c r="F24" s="41"/>
      <c r="G24" s="78" t="s">
        <v>637</v>
      </c>
      <c r="H24" s="95" t="str">
        <f>+'Comité de conciliación'!$R$10</f>
        <v>SI</v>
      </c>
      <c r="I24" s="95"/>
      <c r="J24" s="30"/>
    </row>
    <row r="25" spans="1:10" ht="28.5" customHeight="1">
      <c r="C25" s="30"/>
      <c r="D25" s="72" t="s">
        <v>638</v>
      </c>
      <c r="E25" s="85">
        <f>+'Registro Casos'!$P$16</f>
        <v>50</v>
      </c>
      <c r="F25" s="41"/>
      <c r="G25" s="72" t="s">
        <v>500</v>
      </c>
      <c r="H25" s="96">
        <f>+'Comité de conciliación'!$J$20+'Comité de conciliación'!$J$21+'Comité de conciliación'!$J$22</f>
        <v>11</v>
      </c>
      <c r="I25" s="96"/>
      <c r="J25" s="30"/>
    </row>
    <row r="26" spans="1:10" ht="28.5" customHeight="1">
      <c r="C26" s="30"/>
      <c r="D26" s="78" t="s">
        <v>639</v>
      </c>
      <c r="E26" s="86">
        <f>+'Registro Casos'!$P$19</f>
        <v>0</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3" t="str">
        <f>IF(AND(Pagos!R9="",Pagos!R11=""),"Falta diligenciar",IF(Pagos!R9="","Falta diligenciar",""))</f>
        <v/>
      </c>
      <c r="I28" s="153"/>
      <c r="J28" s="30"/>
    </row>
    <row r="29" spans="1:10" ht="28.5" customHeight="1">
      <c r="C29" s="30"/>
      <c r="D29" s="72" t="s">
        <v>601</v>
      </c>
      <c r="E29" s="80">
        <f>+Judiciales!$L$14</f>
        <v>505</v>
      </c>
      <c r="F29" s="30"/>
      <c r="G29" s="72" t="s">
        <v>614</v>
      </c>
      <c r="H29" s="97" t="str">
        <f>+Pagos!R9</f>
        <v>SI</v>
      </c>
      <c r="I29" s="97"/>
      <c r="J29" s="30"/>
    </row>
    <row r="30" spans="1:10" ht="28.5" customHeight="1">
      <c r="C30" s="30"/>
      <c r="D30" s="78" t="s">
        <v>447</v>
      </c>
      <c r="E30" s="79">
        <f>IFERROR(+Judiciales!L14/Judiciales!L12," ")</f>
        <v>1</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168.33333333333334</v>
      </c>
      <c r="F32" s="60"/>
      <c r="G32" s="60"/>
      <c r="H32" s="60"/>
      <c r="I32" s="60"/>
      <c r="J32" s="30"/>
    </row>
    <row r="33" spans="3:10">
      <c r="C33" s="30"/>
      <c r="D33" s="72" t="s">
        <v>449</v>
      </c>
      <c r="E33" s="77">
        <f>IFERROR((+Judiciales!V42+Judiciales!V40+Judiciales!V38)/(Judiciales!S38+Judiciales!S36+Judiciales!S34+Judiciales!S32)," ")</f>
        <v>0.95652173913043481</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t="s">
        <v>661</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6" priority="53" stopIfTrue="1">
      <formula>$J$8&gt;0</formula>
    </cfRule>
  </conditionalFormatting>
  <conditionalFormatting sqref="D36">
    <cfRule type="containsBlanks" dxfId="5" priority="66" stopIfTrue="1">
      <formula>LEN(TRIM(D36))=0</formula>
    </cfRule>
  </conditionalFormatting>
  <conditionalFormatting sqref="E10 E13">
    <cfRule type="containsBlanks" dxfId="4"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dataValidation type="date" allowBlank="1" showInputMessage="1" showErrorMessage="1" promptTitle="Visualización en eKOGUI" prompt="Diligenciar la fecha de consulta en eKOGUI de la información a ingresar en esta hoja, formato (DD/MM/AAAA)" sqref="J4 I5:J5">
      <formula1>44927</formula1>
      <formula2>401769</formula2>
    </dataValidation>
    <dataValidation type="date" allowBlank="1" showInputMessage="1" showErrorMessage="1" sqref="H4:I4">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dataValidations>
  <hyperlinks>
    <hyperlink ref="L8:N8" r:id="rId1" display="Acceder a la guía"/>
    <hyperlink ref="A10:B10" location="Abogados!A1" display="Abogados"/>
    <hyperlink ref="A12:B12" location="'Registro Casos'!A1" display="Registro Casos"/>
    <hyperlink ref="A8:B8" location="Usuarios!A1" display="Usuarios"/>
    <hyperlink ref="A16:B16" location="Arbitramentos!A1" display="Arbitramentos"/>
    <hyperlink ref="A14:B14" location="Judiciales!A1" display="Judiciales"/>
    <hyperlink ref="A6:B6" location="Portada!A1" display="Portada"/>
    <hyperlink ref="A22:B22" location="Resumen!A1" display="Resumen (Certificación a presentar)"/>
    <hyperlink ref="A20:B20" location="Pagos!A1" display="Pagos"/>
    <hyperlink ref="A18:B18" location="'Comité de conciliación'!A1" display="Comité de Conciliación"/>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2.xml><?xml version="1.0" encoding="utf-8"?>
<ds:datastoreItem xmlns:ds="http://schemas.openxmlformats.org/officeDocument/2006/customXml" ds:itemID="{D358E5D7-2628-4318-AA98-C397282CBE0A}">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Jorge Iván De Castro Barón</cp:lastModifiedBy>
  <cp:revision/>
  <cp:lastPrinted>2025-07-15T19:53:07Z</cp:lastPrinted>
  <dcterms:created xsi:type="dcterms:W3CDTF">2020-06-25T21:16:25Z</dcterms:created>
  <dcterms:modified xsi:type="dcterms:W3CDTF">2025-08-29T21:44:06Z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