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60" windowWidth="19440" windowHeight="1005" tabRatio="725" firstSheet="2" activeTab="7"/>
  </bookViews>
  <sheets>
    <sheet name="consumos 27-04-2016" sheetId="32" r:id="rId1"/>
    <sheet name="DETALLE CDP" sheetId="53" r:id="rId2"/>
    <sheet name="TRASLADOS" sheetId="56" r:id="rId3"/>
    <sheet name="Hoja4" sheetId="59" r:id="rId4"/>
    <sheet name="control caja menor" sheetId="58" r:id="rId5"/>
    <sheet name="DESAGREGADA A 18 JULIO" sheetId="67" r:id="rId6"/>
    <sheet name="PAA-PRESUP 12 agosto" sheetId="68" r:id="rId7"/>
    <sheet name="PAA 12 GOSTO " sheetId="71" r:id="rId8"/>
    <sheet name="INDICADOR SECTORIAL" sheetId="45" r:id="rId9"/>
  </sheets>
  <externalReferences>
    <externalReference r:id="rId10"/>
    <externalReference r:id="rId11"/>
    <externalReference r:id="rId12"/>
    <externalReference r:id="rId13"/>
    <externalReference r:id="rId14"/>
  </externalReferences>
  <definedNames>
    <definedName name="_xlnm._FilterDatabase" localSheetId="1" hidden="1">'DETALLE CDP'!$A$1:$N$354</definedName>
    <definedName name="_xlnm._FilterDatabase" localSheetId="7" hidden="1">'PAA 12 GOSTO '!$A$19:$JN$296</definedName>
    <definedName name="_xlnm._FilterDatabase" localSheetId="6" hidden="1">'PAA-PRESUP 12 agosto'!$A$96:$P$111</definedName>
    <definedName name="_xlnm.Print_Area" localSheetId="7">'PAA 12 GOSTO '!$A$1:$AN$357</definedName>
    <definedName name="Z_D25A11FE_C2CC_4D7C_89A9_026E2FA55D90_.wvu.Cols" localSheetId="7" hidden="1">'PAA 12 GOSTO '!#REF!</definedName>
    <definedName name="Z_D25A11FE_C2CC_4D7C_89A9_026E2FA55D90_.wvu.FilterData" localSheetId="7" hidden="1">'PAA 12 GOSTO '!$B$19:$AZ$132</definedName>
    <definedName name="Z_D25A11FE_C2CC_4D7C_89A9_026E2FA55D90_.wvu.Rows" localSheetId="7" hidden="1">'PAA 12 GOSTO '!$232:$1048576,'PAA 12 GOSTO '!#REF!</definedName>
  </definedNames>
  <calcPr calcId="145621"/>
  <pivotCaches>
    <pivotCache cacheId="10" r:id="rId15"/>
  </pivotCaches>
</workbook>
</file>

<file path=xl/calcChain.xml><?xml version="1.0" encoding="utf-8"?>
<calcChain xmlns="http://schemas.openxmlformats.org/spreadsheetml/2006/main">
  <c r="Y274" i="71" l="1"/>
  <c r="Y273" i="71"/>
  <c r="Y281" i="71"/>
  <c r="Y244" i="71"/>
  <c r="Y243" i="71"/>
  <c r="Y169" i="71" l="1"/>
  <c r="T39" i="68" l="1"/>
  <c r="T38" i="68"/>
  <c r="T56" i="68"/>
  <c r="T79" i="68"/>
  <c r="T49" i="68"/>
  <c r="T47" i="68"/>
  <c r="T32" i="68"/>
  <c r="T30" i="68"/>
  <c r="T34" i="68"/>
  <c r="T33" i="68"/>
  <c r="T31" i="68"/>
  <c r="Y272" i="71" l="1"/>
  <c r="Y271" i="71"/>
  <c r="Y270" i="71"/>
  <c r="Y269" i="71"/>
  <c r="Y268" i="71"/>
  <c r="Y266" i="71"/>
  <c r="Y265" i="71"/>
  <c r="Y264" i="71"/>
  <c r="Y263" i="71"/>
  <c r="Y262" i="71"/>
  <c r="Y261" i="71"/>
  <c r="Y260" i="71"/>
  <c r="Y259" i="71"/>
  <c r="M259" i="71"/>
  <c r="L259" i="71"/>
  <c r="Y258" i="71"/>
  <c r="M258" i="71"/>
  <c r="L258" i="71"/>
  <c r="Y257" i="71"/>
  <c r="M257" i="71"/>
  <c r="L257" i="71"/>
  <c r="Y256" i="71"/>
  <c r="Y253" i="71"/>
  <c r="Y252" i="71"/>
  <c r="Y251" i="71"/>
  <c r="Y250" i="71"/>
  <c r="Y249" i="71"/>
  <c r="Y248" i="71"/>
  <c r="Y247" i="71"/>
  <c r="Y246" i="71"/>
  <c r="Y245" i="71"/>
  <c r="Y242" i="71"/>
  <c r="Y241" i="71"/>
  <c r="Y240" i="71"/>
  <c r="Y239" i="71"/>
  <c r="Y238" i="71"/>
  <c r="Y237" i="71"/>
  <c r="Y236" i="71"/>
  <c r="Y235" i="71"/>
  <c r="Y234" i="71"/>
  <c r="Y233" i="71"/>
  <c r="X232" i="71"/>
  <c r="Y231" i="71"/>
  <c r="Y230" i="71"/>
  <c r="L229" i="71"/>
  <c r="Y228" i="71"/>
  <c r="Y227" i="71"/>
  <c r="Y226" i="71"/>
  <c r="Y225" i="71"/>
  <c r="Y224" i="71"/>
  <c r="Y223" i="71"/>
  <c r="Y222" i="71"/>
  <c r="Y221" i="71"/>
  <c r="Y220" i="71"/>
  <c r="Y219" i="71"/>
  <c r="Y218" i="71"/>
  <c r="Y217" i="71"/>
  <c r="Y216" i="71"/>
  <c r="Y215" i="71"/>
  <c r="Y211" i="71"/>
  <c r="Y209" i="71"/>
  <c r="Y208" i="71"/>
  <c r="Y207" i="71"/>
  <c r="Y206" i="71"/>
  <c r="Y205" i="71"/>
  <c r="Y204" i="71"/>
  <c r="Y203" i="71"/>
  <c r="Y202" i="71"/>
  <c r="Y201" i="71"/>
  <c r="Y200" i="71"/>
  <c r="Y199" i="71"/>
  <c r="Y198" i="71"/>
  <c r="Y197" i="71"/>
  <c r="Y196" i="71"/>
  <c r="Y195" i="71"/>
  <c r="Y194" i="71"/>
  <c r="Y193" i="71"/>
  <c r="Y192" i="71"/>
  <c r="Y191" i="71"/>
  <c r="Y190" i="71"/>
  <c r="Y189" i="71"/>
  <c r="Y188" i="71"/>
  <c r="Y187" i="71"/>
  <c r="Y186" i="71"/>
  <c r="Y185" i="71"/>
  <c r="Y184" i="71"/>
  <c r="Y183" i="71"/>
  <c r="Y182" i="71"/>
  <c r="Y181" i="71"/>
  <c r="Y180" i="71"/>
  <c r="Y179" i="71"/>
  <c r="Y178" i="71"/>
  <c r="Y177" i="71"/>
  <c r="Y176" i="71"/>
  <c r="Y175" i="71"/>
  <c r="Y172" i="71"/>
  <c r="Y171" i="71"/>
  <c r="Y170" i="71"/>
  <c r="Y168" i="71"/>
  <c r="Y167" i="71"/>
  <c r="Y166" i="71"/>
  <c r="Y165" i="71"/>
  <c r="Y164" i="71"/>
  <c r="Y163" i="71"/>
  <c r="X162" i="71"/>
  <c r="Y162" i="71" s="1"/>
  <c r="Y161" i="71"/>
  <c r="Y160" i="71"/>
  <c r="Y159" i="71"/>
  <c r="AO157" i="71"/>
  <c r="Y154" i="71"/>
  <c r="Y153" i="71"/>
  <c r="AO152" i="71"/>
  <c r="Y152" i="71"/>
  <c r="Y151" i="71"/>
  <c r="Y150" i="71"/>
  <c r="Y149" i="71"/>
  <c r="Y148" i="71"/>
  <c r="Y147" i="71"/>
  <c r="AO146" i="71"/>
  <c r="Y146" i="71"/>
  <c r="Y145" i="71"/>
  <c r="AO144" i="71"/>
  <c r="Y144" i="71"/>
  <c r="Y143" i="71"/>
  <c r="Y142" i="71"/>
  <c r="Y141" i="71"/>
  <c r="Y140" i="71"/>
  <c r="Y139" i="71"/>
  <c r="Y138" i="71"/>
  <c r="Y137" i="71"/>
  <c r="Y136" i="71"/>
  <c r="Y135" i="71"/>
  <c r="Y134" i="71"/>
  <c r="Y133" i="71"/>
  <c r="Y132" i="71"/>
  <c r="Y131" i="71"/>
  <c r="Y130" i="71"/>
  <c r="AS129" i="71"/>
  <c r="AO129" i="71"/>
  <c r="Y129" i="71"/>
  <c r="Y128" i="71"/>
  <c r="Y127" i="71"/>
  <c r="Y126" i="71"/>
  <c r="Y125" i="71"/>
  <c r="AO124" i="71"/>
  <c r="Y124" i="71"/>
  <c r="AO123" i="71"/>
  <c r="Y123" i="71"/>
  <c r="AO122" i="71"/>
  <c r="Y122" i="71"/>
  <c r="Y121" i="71"/>
  <c r="Y120" i="71"/>
  <c r="AO119" i="71"/>
  <c r="Y119" i="71"/>
  <c r="M119" i="71"/>
  <c r="L119" i="71"/>
  <c r="AO118" i="71"/>
  <c r="Y118" i="71"/>
  <c r="M118" i="71"/>
  <c r="L118" i="71"/>
  <c r="Y117" i="71"/>
  <c r="M117" i="71"/>
  <c r="L117" i="71"/>
  <c r="Y116" i="71"/>
  <c r="M116" i="71"/>
  <c r="L116" i="71"/>
  <c r="AO115" i="71"/>
  <c r="Y115" i="71"/>
  <c r="M115" i="71"/>
  <c r="L115" i="71"/>
  <c r="Y114" i="71"/>
  <c r="AO113" i="71"/>
  <c r="Y113" i="71"/>
  <c r="M113" i="71"/>
  <c r="L113" i="71"/>
  <c r="AO112" i="71"/>
  <c r="Y112" i="71"/>
  <c r="M112" i="71"/>
  <c r="L112" i="71"/>
  <c r="Y111" i="71"/>
  <c r="AO110" i="71"/>
  <c r="Y110" i="71"/>
  <c r="M110" i="71"/>
  <c r="L110" i="71"/>
  <c r="Y109" i="71"/>
  <c r="Y107" i="71"/>
  <c r="L107" i="71"/>
  <c r="M106" i="71"/>
  <c r="L106" i="71"/>
  <c r="Y105" i="71"/>
  <c r="Y104" i="71"/>
  <c r="Y103" i="71"/>
  <c r="Y102" i="71"/>
  <c r="Y101" i="71"/>
  <c r="Y100" i="71"/>
  <c r="Y99" i="71"/>
  <c r="Y98" i="71"/>
  <c r="Y97" i="71"/>
  <c r="Y96" i="71"/>
  <c r="Y95" i="71"/>
  <c r="Y94" i="71"/>
  <c r="Y93" i="71"/>
  <c r="Y92" i="71"/>
  <c r="Y91" i="71"/>
  <c r="Y90" i="71"/>
  <c r="Y89" i="71"/>
  <c r="Y88" i="71"/>
  <c r="Y87" i="71"/>
  <c r="Y86" i="71"/>
  <c r="Y85" i="71"/>
  <c r="Y84" i="71"/>
  <c r="Y83" i="71"/>
  <c r="Y82" i="71"/>
  <c r="Y81" i="71"/>
  <c r="Y80" i="71"/>
  <c r="AS79" i="71"/>
  <c r="Y79" i="71"/>
  <c r="AS78" i="71"/>
  <c r="Y78" i="71"/>
  <c r="AO77" i="71"/>
  <c r="Y77" i="71"/>
  <c r="Y76" i="71"/>
  <c r="Y75" i="71"/>
  <c r="Y74" i="71"/>
  <c r="Y73" i="71"/>
  <c r="Y72" i="71"/>
  <c r="Y71" i="71"/>
  <c r="Y70" i="71"/>
  <c r="AO69" i="71"/>
  <c r="Y69" i="71"/>
  <c r="Y68" i="71"/>
  <c r="Y67" i="71"/>
  <c r="Y66" i="71"/>
  <c r="Y65" i="71"/>
  <c r="Y64" i="71"/>
  <c r="Y63" i="71"/>
  <c r="Y62" i="71"/>
  <c r="Y61" i="71"/>
  <c r="Y60" i="71"/>
  <c r="Y59" i="71"/>
  <c r="Y58" i="71"/>
  <c r="L58" i="71"/>
  <c r="Y57" i="71"/>
  <c r="Y56" i="71"/>
  <c r="AO55" i="71"/>
  <c r="Y55" i="71"/>
  <c r="AO54" i="71"/>
  <c r="Y54" i="71"/>
  <c r="AO53" i="71"/>
  <c r="Y53" i="71"/>
  <c r="Y52" i="71"/>
  <c r="AO51" i="71"/>
  <c r="Y51" i="71"/>
  <c r="Y50" i="71"/>
  <c r="Y49" i="71"/>
  <c r="Y48" i="71"/>
  <c r="Y47" i="71"/>
  <c r="Y46" i="71"/>
  <c r="Y45" i="71"/>
  <c r="Y44" i="71"/>
  <c r="Y43" i="71"/>
  <c r="Y42" i="71"/>
  <c r="Y41" i="71"/>
  <c r="Y40" i="71"/>
  <c r="Y39" i="71"/>
  <c r="Y38" i="71"/>
  <c r="Y37" i="71"/>
  <c r="Y34" i="71"/>
  <c r="Y33" i="71"/>
  <c r="Y30" i="71"/>
  <c r="Y29" i="71"/>
  <c r="Y28" i="71"/>
  <c r="Y27" i="71"/>
  <c r="Y26" i="71"/>
  <c r="Y25" i="71"/>
  <c r="Y24" i="71"/>
  <c r="Y23" i="71"/>
  <c r="Y22" i="71"/>
  <c r="Y21" i="71"/>
  <c r="Y20" i="71"/>
  <c r="W18" i="71"/>
  <c r="M18" i="71" l="1"/>
  <c r="L18" i="71"/>
  <c r="X18" i="71"/>
  <c r="Y232" i="71"/>
  <c r="Y17" i="71" s="1"/>
  <c r="Y18" i="71" l="1"/>
  <c r="W16" i="71" s="1"/>
  <c r="B4" i="45"/>
  <c r="P122" i="68" l="1"/>
  <c r="O122" i="68"/>
  <c r="N122" i="68"/>
  <c r="P121" i="68"/>
  <c r="P123" i="68" s="1"/>
  <c r="O121" i="68"/>
  <c r="O123" i="68" s="1"/>
  <c r="N121" i="68"/>
  <c r="AB119" i="68"/>
  <c r="AA119" i="68"/>
  <c r="P118" i="68"/>
  <c r="O118" i="68"/>
  <c r="N118" i="68"/>
  <c r="Q118" i="68" s="1"/>
  <c r="AK117" i="68"/>
  <c r="AJ117" i="68"/>
  <c r="AI117" i="68"/>
  <c r="P114" i="68"/>
  <c r="AE110" i="68"/>
  <c r="AE116" i="68" s="1"/>
  <c r="AB110" i="68"/>
  <c r="AA110" i="68"/>
  <c r="AA116" i="68" s="1"/>
  <c r="Y110" i="68"/>
  <c r="W110" i="68"/>
  <c r="T110" i="68"/>
  <c r="P110" i="68"/>
  <c r="O110" i="68"/>
  <c r="N110" i="68"/>
  <c r="AC109" i="68"/>
  <c r="X109" i="68"/>
  <c r="Q109" i="68"/>
  <c r="AC108" i="68"/>
  <c r="X108" i="68"/>
  <c r="Q108" i="68"/>
  <c r="AC107" i="68"/>
  <c r="X107" i="68"/>
  <c r="Q107" i="68"/>
  <c r="AC106" i="68"/>
  <c r="X106" i="68"/>
  <c r="Q106" i="68"/>
  <c r="Z106" i="68" s="1"/>
  <c r="AD106" i="68" s="1"/>
  <c r="AC105" i="68"/>
  <c r="X105" i="68"/>
  <c r="Q105" i="68"/>
  <c r="Z105" i="68" s="1"/>
  <c r="AD105" i="68" s="1"/>
  <c r="AF105" i="68" s="1"/>
  <c r="AH105" i="68" s="1"/>
  <c r="AC104" i="68"/>
  <c r="X104" i="68"/>
  <c r="V104" i="68"/>
  <c r="V110" i="68" s="1"/>
  <c r="Q104" i="68"/>
  <c r="AC103" i="68"/>
  <c r="X103" i="68"/>
  <c r="Q103" i="68"/>
  <c r="AC102" i="68"/>
  <c r="X102" i="68"/>
  <c r="Z102" i="68" s="1"/>
  <c r="AD102" i="68" s="1"/>
  <c r="AF102" i="68" s="1"/>
  <c r="AH102" i="68" s="1"/>
  <c r="Q102" i="68"/>
  <c r="AC101" i="68"/>
  <c r="X101" i="68"/>
  <c r="Q101" i="68"/>
  <c r="Q121" i="68" s="1"/>
  <c r="AA99" i="68"/>
  <c r="Z99" i="68"/>
  <c r="AD99" i="68" s="1"/>
  <c r="AK99" i="68" s="1"/>
  <c r="V99" i="68"/>
  <c r="T99" i="68"/>
  <c r="P99" i="68"/>
  <c r="O99" i="68"/>
  <c r="N99" i="68"/>
  <c r="AK98" i="68"/>
  <c r="Z98" i="68"/>
  <c r="Q98" i="68"/>
  <c r="Q99" i="68" s="1"/>
  <c r="AQ96" i="68"/>
  <c r="AE91" i="68"/>
  <c r="AB91" i="68"/>
  <c r="AA91" i="68"/>
  <c r="S90" i="68"/>
  <c r="AE88" i="68"/>
  <c r="AC88" i="68"/>
  <c r="AB88" i="68"/>
  <c r="AA88" i="68"/>
  <c r="Y88" i="68"/>
  <c r="X88" i="68"/>
  <c r="W88" i="68"/>
  <c r="V88" i="68"/>
  <c r="P88" i="68"/>
  <c r="O88" i="68"/>
  <c r="N88" i="68"/>
  <c r="AD87" i="68"/>
  <c r="AC87" i="68"/>
  <c r="X87" i="68"/>
  <c r="Q87" i="68"/>
  <c r="Z87" i="68" s="1"/>
  <c r="Z88" i="68" s="1"/>
  <c r="AE85" i="68"/>
  <c r="AB85" i="68"/>
  <c r="AA85" i="68"/>
  <c r="Y85" i="68"/>
  <c r="W85" i="68"/>
  <c r="V85" i="68"/>
  <c r="U85" i="68"/>
  <c r="T85" i="68"/>
  <c r="S85" i="68"/>
  <c r="P85" i="68"/>
  <c r="O85" i="68"/>
  <c r="N85" i="68"/>
  <c r="M85" i="68"/>
  <c r="L85" i="68"/>
  <c r="K85" i="68"/>
  <c r="AC84" i="68"/>
  <c r="X84" i="68"/>
  <c r="Q84" i="68"/>
  <c r="AC83" i="68"/>
  <c r="X83" i="68"/>
  <c r="Z83" i="68" s="1"/>
  <c r="AD83" i="68" s="1"/>
  <c r="Q83" i="68"/>
  <c r="AC82" i="68"/>
  <c r="AC85" i="68" s="1"/>
  <c r="X82" i="68"/>
  <c r="X85" i="68" s="1"/>
  <c r="Q82" i="68"/>
  <c r="Q85" i="68" s="1"/>
  <c r="AK81" i="68"/>
  <c r="AN80" i="68"/>
  <c r="AE80" i="68"/>
  <c r="AB80" i="68"/>
  <c r="AA80" i="68"/>
  <c r="AC80" i="68" s="1"/>
  <c r="Y80" i="68"/>
  <c r="W80" i="68"/>
  <c r="V80" i="68"/>
  <c r="T80" i="68"/>
  <c r="S80" i="68"/>
  <c r="R80" i="68"/>
  <c r="P80" i="68"/>
  <c r="O80" i="68"/>
  <c r="N80" i="68"/>
  <c r="M80" i="68"/>
  <c r="L80" i="68"/>
  <c r="K80" i="68"/>
  <c r="AC79" i="68"/>
  <c r="U79" i="68"/>
  <c r="Q79" i="68"/>
  <c r="AC78" i="68"/>
  <c r="X78" i="68"/>
  <c r="Q78" i="68"/>
  <c r="AK77" i="68"/>
  <c r="AH77" i="68"/>
  <c r="AF77" i="68"/>
  <c r="AC77" i="68"/>
  <c r="X77" i="68"/>
  <c r="AC76" i="68"/>
  <c r="X76" i="68"/>
  <c r="Q76" i="68"/>
  <c r="AK75" i="68"/>
  <c r="AN74" i="68"/>
  <c r="AE74" i="68"/>
  <c r="AB74" i="68"/>
  <c r="AA74" i="68"/>
  <c r="Y74" i="68"/>
  <c r="W74" i="68"/>
  <c r="V74" i="68"/>
  <c r="U74" i="68"/>
  <c r="T74" i="68"/>
  <c r="S74" i="68"/>
  <c r="P74" i="68"/>
  <c r="O74" i="68"/>
  <c r="N74" i="68"/>
  <c r="M74" i="68"/>
  <c r="L74" i="68"/>
  <c r="K74" i="68"/>
  <c r="AC73" i="68"/>
  <c r="X73" i="68"/>
  <c r="Z73" i="68" s="1"/>
  <c r="Q73" i="68"/>
  <c r="AC72" i="68"/>
  <c r="X72" i="68"/>
  <c r="X74" i="68" s="1"/>
  <c r="Q72" i="68"/>
  <c r="Z72" i="68" s="1"/>
  <c r="AD72" i="68" s="1"/>
  <c r="AF72" i="68" s="1"/>
  <c r="AK71" i="68"/>
  <c r="AE70" i="68"/>
  <c r="AB70" i="68"/>
  <c r="AA70" i="68"/>
  <c r="W70" i="68"/>
  <c r="V70" i="68"/>
  <c r="U70" i="68"/>
  <c r="T70" i="68"/>
  <c r="S70" i="68"/>
  <c r="P70" i="68"/>
  <c r="O70" i="68"/>
  <c r="N70" i="68"/>
  <c r="M70" i="68"/>
  <c r="L70" i="68"/>
  <c r="K70" i="68"/>
  <c r="AC69" i="68"/>
  <c r="X69" i="68"/>
  <c r="Q69" i="68"/>
  <c r="AC68" i="68"/>
  <c r="X68" i="68"/>
  <c r="Q68" i="68"/>
  <c r="AC67" i="68"/>
  <c r="AB67" i="68"/>
  <c r="Y67" i="68"/>
  <c r="Y70" i="68" s="1"/>
  <c r="X67" i="68"/>
  <c r="Q67" i="68"/>
  <c r="AC66" i="68"/>
  <c r="X66" i="68"/>
  <c r="Q66" i="68"/>
  <c r="Z66" i="68" s="1"/>
  <c r="AD66" i="68" s="1"/>
  <c r="AC65" i="68"/>
  <c r="X65" i="68"/>
  <c r="X70" i="68" s="1"/>
  <c r="Q65" i="68"/>
  <c r="Z65" i="68" s="1"/>
  <c r="AK64" i="68"/>
  <c r="AN63" i="68"/>
  <c r="AE63" i="68"/>
  <c r="AD63" i="68"/>
  <c r="AB63" i="68"/>
  <c r="AA63" i="68"/>
  <c r="Y63" i="68"/>
  <c r="W63" i="68"/>
  <c r="V63" i="68"/>
  <c r="P63" i="68"/>
  <c r="O63" i="68"/>
  <c r="N63" i="68"/>
  <c r="AK62" i="68"/>
  <c r="AH62" i="68"/>
  <c r="AC62" i="68"/>
  <c r="X62" i="68"/>
  <c r="Q62" i="68"/>
  <c r="AL62" i="68" s="1"/>
  <c r="AK61" i="68"/>
  <c r="AH61" i="68"/>
  <c r="AC61" i="68"/>
  <c r="X61" i="68"/>
  <c r="Q61" i="68"/>
  <c r="AL61" i="68" s="1"/>
  <c r="AK60" i="68"/>
  <c r="AH60" i="68"/>
  <c r="AC60" i="68"/>
  <c r="X60" i="68"/>
  <c r="Q60" i="68"/>
  <c r="AK59" i="68"/>
  <c r="AH59" i="68"/>
  <c r="AC59" i="68"/>
  <c r="X59" i="68"/>
  <c r="Q59" i="68"/>
  <c r="AC58" i="68"/>
  <c r="X58" i="68"/>
  <c r="AE57" i="68"/>
  <c r="AB57" i="68"/>
  <c r="AA57" i="68"/>
  <c r="AC57" i="68" s="1"/>
  <c r="Y57" i="68"/>
  <c r="W57" i="68"/>
  <c r="V57" i="68"/>
  <c r="R57" i="68"/>
  <c r="N57" i="68"/>
  <c r="L57" i="68"/>
  <c r="K57" i="68"/>
  <c r="AC56" i="68"/>
  <c r="U56" i="68"/>
  <c r="X56" i="68" s="1"/>
  <c r="T57" i="68"/>
  <c r="S56" i="68"/>
  <c r="S57" i="68" s="1"/>
  <c r="O56" i="68"/>
  <c r="M56" i="68"/>
  <c r="M57" i="68" s="1"/>
  <c r="AC55" i="68"/>
  <c r="U55" i="68"/>
  <c r="X55" i="68" s="1"/>
  <c r="P55" i="68"/>
  <c r="AC54" i="68"/>
  <c r="X54" i="68"/>
  <c r="U54" i="68"/>
  <c r="Q54" i="68"/>
  <c r="AC53" i="68"/>
  <c r="X53" i="68"/>
  <c r="U53" i="68"/>
  <c r="Q53" i="68"/>
  <c r="AK52" i="68"/>
  <c r="AE51" i="68"/>
  <c r="AC51" i="68"/>
  <c r="AB51" i="68"/>
  <c r="AA51" i="68"/>
  <c r="Y51" i="68"/>
  <c r="V51" i="68"/>
  <c r="P51" i="68"/>
  <c r="O51" i="68"/>
  <c r="N51" i="68"/>
  <c r="L51" i="68"/>
  <c r="K51" i="68"/>
  <c r="AC50" i="68"/>
  <c r="U50" i="68"/>
  <c r="X50" i="68" s="1"/>
  <c r="Z50" i="68" s="1"/>
  <c r="AD50" i="68" s="1"/>
  <c r="Q50" i="68"/>
  <c r="M50" i="68"/>
  <c r="M51" i="68" s="1"/>
  <c r="AC49" i="68"/>
  <c r="X49" i="68"/>
  <c r="U49" i="68"/>
  <c r="Q49" i="68"/>
  <c r="AC48" i="68"/>
  <c r="Y48" i="68"/>
  <c r="W48" i="68"/>
  <c r="W51" i="68" s="1"/>
  <c r="U48" i="68"/>
  <c r="X48" i="68" s="1"/>
  <c r="Q48" i="68"/>
  <c r="AC47" i="68"/>
  <c r="U47" i="68"/>
  <c r="X47" i="68" s="1"/>
  <c r="T51" i="68"/>
  <c r="S47" i="68"/>
  <c r="S51" i="68" s="1"/>
  <c r="Q47" i="68"/>
  <c r="AK46" i="68"/>
  <c r="AE45" i="68"/>
  <c r="AB45" i="68"/>
  <c r="AA45" i="68"/>
  <c r="Y45" i="68"/>
  <c r="V45" i="68"/>
  <c r="T45" i="68"/>
  <c r="R45" i="68"/>
  <c r="P45" i="68"/>
  <c r="N45" i="68"/>
  <c r="M45" i="68"/>
  <c r="L45" i="68"/>
  <c r="K45" i="68"/>
  <c r="AC44" i="68"/>
  <c r="Z44" i="68"/>
  <c r="AD44" i="68" s="1"/>
  <c r="T44" i="68"/>
  <c r="S44" i="68"/>
  <c r="U44" i="68" s="1"/>
  <c r="X44" i="68" s="1"/>
  <c r="Q44" i="68"/>
  <c r="AC43" i="68"/>
  <c r="X43" i="68"/>
  <c r="U43" i="68"/>
  <c r="Q43" i="68"/>
  <c r="AC42" i="68"/>
  <c r="U42" i="68"/>
  <c r="X42" i="68" s="1"/>
  <c r="Q42" i="68"/>
  <c r="AC41" i="68"/>
  <c r="X41" i="68"/>
  <c r="U41" i="68"/>
  <c r="Q41" i="68"/>
  <c r="Z41" i="68" s="1"/>
  <c r="AD41" i="68" s="1"/>
  <c r="AC40" i="68"/>
  <c r="W40" i="68"/>
  <c r="W45" i="68" s="1"/>
  <c r="U40" i="68"/>
  <c r="X40" i="68" s="1"/>
  <c r="P40" i="68"/>
  <c r="Q40" i="68" s="1"/>
  <c r="AC39" i="68"/>
  <c r="U39" i="68"/>
  <c r="X39" i="68" s="1"/>
  <c r="S39" i="68"/>
  <c r="S45" i="68" s="1"/>
  <c r="O39" i="68"/>
  <c r="AU38" i="68"/>
  <c r="AS38" i="68"/>
  <c r="AC38" i="68"/>
  <c r="U38" i="68"/>
  <c r="AR38" i="68"/>
  <c r="Q38" i="68"/>
  <c r="AK37" i="68"/>
  <c r="AJ36" i="68"/>
  <c r="AE36" i="68"/>
  <c r="AB36" i="68"/>
  <c r="AA36" i="68"/>
  <c r="Y36" i="68"/>
  <c r="W36" i="68"/>
  <c r="V36" i="68"/>
  <c r="R36" i="68"/>
  <c r="P36" i="68"/>
  <c r="O36" i="68"/>
  <c r="N36" i="68"/>
  <c r="M36" i="68"/>
  <c r="L36" i="68"/>
  <c r="K36" i="68"/>
  <c r="AC35" i="68"/>
  <c r="Z35" i="68"/>
  <c r="AD35" i="68" s="1"/>
  <c r="AL35" i="68" s="1"/>
  <c r="U35" i="68"/>
  <c r="X35" i="68" s="1"/>
  <c r="T35" i="68"/>
  <c r="Q35" i="68"/>
  <c r="AC34" i="68"/>
  <c r="U34" i="68"/>
  <c r="X34" i="68" s="1"/>
  <c r="S34" i="68"/>
  <c r="Q34" i="68"/>
  <c r="AC33" i="68"/>
  <c r="U33" i="68"/>
  <c r="X33" i="68" s="1"/>
  <c r="Q33" i="68"/>
  <c r="AP32" i="68"/>
  <c r="AP4" i="68" s="1"/>
  <c r="AC32" i="68"/>
  <c r="T36" i="68"/>
  <c r="Q32" i="68"/>
  <c r="AC31" i="68"/>
  <c r="U31" i="68"/>
  <c r="X31" i="68" s="1"/>
  <c r="Q31" i="68"/>
  <c r="AP30" i="68"/>
  <c r="AC30" i="68"/>
  <c r="S30" i="68"/>
  <c r="S36" i="68" s="1"/>
  <c r="Q30" i="68"/>
  <c r="AC29" i="68"/>
  <c r="X29" i="68"/>
  <c r="Z29" i="68" s="1"/>
  <c r="AD29" i="68" s="1"/>
  <c r="Q29" i="68"/>
  <c r="AC28" i="68"/>
  <c r="X28" i="68"/>
  <c r="Q28" i="68"/>
  <c r="Z28" i="68" s="1"/>
  <c r="AD28" i="68" s="1"/>
  <c r="AC27" i="68"/>
  <c r="X27" i="68"/>
  <c r="Q27" i="68"/>
  <c r="AK26" i="68"/>
  <c r="AE25" i="68"/>
  <c r="AB25" i="68"/>
  <c r="AA25" i="68"/>
  <c r="AC25" i="68" s="1"/>
  <c r="Y25" i="68"/>
  <c r="W25" i="68"/>
  <c r="V25" i="68"/>
  <c r="U25" i="68"/>
  <c r="T25" i="68"/>
  <c r="S25" i="68"/>
  <c r="P25" i="68"/>
  <c r="O25" i="68"/>
  <c r="N25" i="68"/>
  <c r="M25" i="68"/>
  <c r="L25" i="68"/>
  <c r="K25" i="68"/>
  <c r="AC24" i="68"/>
  <c r="X24" i="68"/>
  <c r="Q24" i="68"/>
  <c r="AC23" i="68"/>
  <c r="Z23" i="68"/>
  <c r="X23" i="68"/>
  <c r="Q23" i="68"/>
  <c r="Q25" i="68" s="1"/>
  <c r="AE22" i="68"/>
  <c r="AB22" i="68"/>
  <c r="AA22" i="68"/>
  <c r="AA89" i="68" s="1"/>
  <c r="Y22" i="68"/>
  <c r="W22" i="68"/>
  <c r="W89" i="68" s="1"/>
  <c r="V22" i="68"/>
  <c r="V89" i="68" s="1"/>
  <c r="T22" i="68"/>
  <c r="S22" i="68"/>
  <c r="R22" i="68"/>
  <c r="R89" i="68" s="1"/>
  <c r="P22" i="68"/>
  <c r="O22" i="68"/>
  <c r="N22" i="68"/>
  <c r="N89" i="68" s="1"/>
  <c r="M22" i="68"/>
  <c r="L22" i="68"/>
  <c r="K22" i="68"/>
  <c r="AC21" i="68"/>
  <c r="U21" i="68"/>
  <c r="X21" i="68" s="1"/>
  <c r="T21" i="68"/>
  <c r="Q21" i="68"/>
  <c r="Z21" i="68" s="1"/>
  <c r="AD21" i="68" s="1"/>
  <c r="AC20" i="68"/>
  <c r="X20" i="68"/>
  <c r="U20" i="68"/>
  <c r="Q20" i="68"/>
  <c r="Z20" i="68" s="1"/>
  <c r="AD20" i="68" s="1"/>
  <c r="AC19" i="68"/>
  <c r="U19" i="68"/>
  <c r="X19" i="68" s="1"/>
  <c r="Q19" i="68"/>
  <c r="AC18" i="68"/>
  <c r="AC22" i="68" s="1"/>
  <c r="U18" i="68"/>
  <c r="U22" i="68" s="1"/>
  <c r="Q18" i="68"/>
  <c r="X17" i="68"/>
  <c r="AK14" i="68"/>
  <c r="AC14" i="68"/>
  <c r="X14" i="68"/>
  <c r="AC13" i="68"/>
  <c r="AC91" i="68" s="1"/>
  <c r="Y13" i="68"/>
  <c r="W13" i="68"/>
  <c r="V13" i="68"/>
  <c r="U13" i="68"/>
  <c r="T13" i="68"/>
  <c r="S13" i="68"/>
  <c r="R13" i="68"/>
  <c r="P13" i="68"/>
  <c r="O13" i="68"/>
  <c r="N13" i="68"/>
  <c r="X12" i="68"/>
  <c r="AL12" i="68" s="1"/>
  <c r="Q12" i="68"/>
  <c r="AK11" i="68"/>
  <c r="X11" i="68"/>
  <c r="Z11" i="68" s="1"/>
  <c r="AD11" i="68" s="1"/>
  <c r="Q11" i="68"/>
  <c r="X10" i="68"/>
  <c r="Q10" i="68"/>
  <c r="P10" i="68"/>
  <c r="Y9" i="68"/>
  <c r="V9" i="68"/>
  <c r="T9" i="68"/>
  <c r="P9" i="68"/>
  <c r="AE8" i="68"/>
  <c r="AB8" i="68"/>
  <c r="AB90" i="68" s="1"/>
  <c r="AA8" i="68"/>
  <c r="Y8" i="68"/>
  <c r="Y90" i="68" s="1"/>
  <c r="W8" i="68"/>
  <c r="V8" i="68"/>
  <c r="V90" i="68" s="1"/>
  <c r="U8" i="68"/>
  <c r="U90" i="68" s="1"/>
  <c r="T8" i="68"/>
  <c r="T90" i="68" s="1"/>
  <c r="P8" i="68"/>
  <c r="P90" i="68" s="1"/>
  <c r="P116" i="68" s="1"/>
  <c r="O8" i="68"/>
  <c r="O90" i="68" s="1"/>
  <c r="O116" i="68" s="1"/>
  <c r="N8" i="68"/>
  <c r="N90" i="68" s="1"/>
  <c r="AC7" i="68"/>
  <c r="AC8" i="68" s="1"/>
  <c r="AC90" i="68" s="1"/>
  <c r="X7" i="68"/>
  <c r="Q7" i="68"/>
  <c r="Z7" i="68" s="1"/>
  <c r="AD7" i="68" s="1"/>
  <c r="AL7" i="68" s="1"/>
  <c r="AC6" i="68"/>
  <c r="X6" i="68"/>
  <c r="X8" i="68" s="1"/>
  <c r="Q6" i="68"/>
  <c r="AQ4" i="68"/>
  <c r="N3" i="68"/>
  <c r="Z6" i="68" l="1"/>
  <c r="AD6" i="68" s="1"/>
  <c r="X18" i="68"/>
  <c r="X22" i="68" s="1"/>
  <c r="Q36" i="68"/>
  <c r="AL44" i="68"/>
  <c r="Z61" i="68"/>
  <c r="Z82" i="68"/>
  <c r="X110" i="68"/>
  <c r="AL43" i="68"/>
  <c r="AC9" i="68"/>
  <c r="X63" i="68"/>
  <c r="Z68" i="68"/>
  <c r="AD68" i="68" s="1"/>
  <c r="AL68" i="68" s="1"/>
  <c r="Z104" i="68"/>
  <c r="AD104" i="68" s="1"/>
  <c r="Z48" i="68"/>
  <c r="AD48" i="68" s="1"/>
  <c r="X25" i="68"/>
  <c r="AL29" i="68"/>
  <c r="Z43" i="68"/>
  <c r="AD43" i="68" s="1"/>
  <c r="Q70" i="68"/>
  <c r="Z67" i="68"/>
  <c r="AD67" i="68" s="1"/>
  <c r="AF67" i="68" s="1"/>
  <c r="AL83" i="68"/>
  <c r="Z109" i="68"/>
  <c r="AD109" i="68" s="1"/>
  <c r="Q122" i="68"/>
  <c r="U57" i="68"/>
  <c r="X51" i="68"/>
  <c r="AE89" i="68"/>
  <c r="AE96" i="68" s="1"/>
  <c r="AC45" i="68"/>
  <c r="AC110" i="68"/>
  <c r="AC116" i="68" s="1"/>
  <c r="Q123" i="68"/>
  <c r="N123" i="68"/>
  <c r="Z103" i="68"/>
  <c r="AD103" i="68" s="1"/>
  <c r="AL103" i="68" s="1"/>
  <c r="AD8" i="68"/>
  <c r="AK6" i="68"/>
  <c r="AF6" i="68"/>
  <c r="AF20" i="68"/>
  <c r="AH20" i="68" s="1"/>
  <c r="AK20" i="68"/>
  <c r="AK48" i="68"/>
  <c r="AF48" i="68"/>
  <c r="AH48" i="68" s="1"/>
  <c r="AL48" i="68"/>
  <c r="AR4" i="68"/>
  <c r="AK28" i="68"/>
  <c r="AF28" i="68"/>
  <c r="AH28" i="68" s="1"/>
  <c r="Z31" i="68"/>
  <c r="AD31" i="68" s="1"/>
  <c r="AL31" i="68" s="1"/>
  <c r="AK21" i="68"/>
  <c r="AL21" i="68"/>
  <c r="AF21" i="68"/>
  <c r="AH21" i="68" s="1"/>
  <c r="Z8" i="68"/>
  <c r="AL6" i="68"/>
  <c r="Q8" i="68"/>
  <c r="W90" i="68"/>
  <c r="W9" i="68"/>
  <c r="AE90" i="68"/>
  <c r="AE93" i="68"/>
  <c r="AE9" i="68"/>
  <c r="AF29" i="68"/>
  <c r="AH29" i="68" s="1"/>
  <c r="AK29" i="68"/>
  <c r="AA90" i="68"/>
  <c r="AA9" i="68"/>
  <c r="P91" i="68"/>
  <c r="X9" i="68"/>
  <c r="X90" i="68"/>
  <c r="AK7" i="68"/>
  <c r="AF7" i="68"/>
  <c r="Z10" i="68"/>
  <c r="Q13" i="68"/>
  <c r="AF11" i="68"/>
  <c r="AL11" i="68"/>
  <c r="AK12" i="68"/>
  <c r="T91" i="68"/>
  <c r="X13" i="68"/>
  <c r="Q22" i="68"/>
  <c r="Z18" i="68"/>
  <c r="N116" i="68"/>
  <c r="Q94" i="68"/>
  <c r="O9" i="68"/>
  <c r="AP96" i="68"/>
  <c r="AR96" i="68" s="1"/>
  <c r="U91" i="68"/>
  <c r="Y91" i="68"/>
  <c r="Z19" i="68"/>
  <c r="AD19" i="68" s="1"/>
  <c r="AL19" i="68" s="1"/>
  <c r="AL20" i="68"/>
  <c r="O89" i="68"/>
  <c r="S89" i="68"/>
  <c r="AA96" i="68"/>
  <c r="AA92" i="68"/>
  <c r="Z24" i="68"/>
  <c r="AD24" i="68" s="1"/>
  <c r="AL28" i="68"/>
  <c r="U32" i="68"/>
  <c r="X32" i="68" s="1"/>
  <c r="Z32" i="68" s="1"/>
  <c r="AD32" i="68" s="1"/>
  <c r="Z33" i="68"/>
  <c r="AD33" i="68" s="1"/>
  <c r="Z40" i="68"/>
  <c r="AD40" i="68" s="1"/>
  <c r="Z42" i="68"/>
  <c r="AD42" i="68" s="1"/>
  <c r="AF43" i="68"/>
  <c r="AH43" i="68" s="1"/>
  <c r="AK43" i="68"/>
  <c r="Z47" i="68"/>
  <c r="X57" i="68"/>
  <c r="P57" i="68"/>
  <c r="Q55" i="68"/>
  <c r="Q57" i="68" s="1"/>
  <c r="Q63" i="68"/>
  <c r="AL63" i="68" s="1"/>
  <c r="AL59" i="68"/>
  <c r="Z59" i="68"/>
  <c r="AL66" i="68"/>
  <c r="AH67" i="68"/>
  <c r="AC70" i="68"/>
  <c r="AD73" i="68"/>
  <c r="AD74" i="68" s="1"/>
  <c r="AK74" i="68" s="1"/>
  <c r="Z74" i="68"/>
  <c r="AK104" i="68"/>
  <c r="AF104" i="68"/>
  <c r="AH104" i="68" s="1"/>
  <c r="AL104" i="68"/>
  <c r="N117" i="68"/>
  <c r="AH72" i="68"/>
  <c r="N96" i="68"/>
  <c r="N91" i="68"/>
  <c r="N92" i="68" s="1"/>
  <c r="R96" i="68"/>
  <c r="V96" i="68"/>
  <c r="V91" i="68"/>
  <c r="V92" i="68" s="1"/>
  <c r="V93" i="68" s="1"/>
  <c r="P89" i="68"/>
  <c r="P96" i="68" s="1"/>
  <c r="T89" i="68"/>
  <c r="AB89" i="68"/>
  <c r="AD23" i="68"/>
  <c r="Z27" i="68"/>
  <c r="U30" i="68"/>
  <c r="U45" i="68"/>
  <c r="X38" i="68"/>
  <c r="X45" i="68" s="1"/>
  <c r="O45" i="68"/>
  <c r="Q39" i="68"/>
  <c r="AF41" i="68"/>
  <c r="AH41" i="68" s="1"/>
  <c r="AK41" i="68"/>
  <c r="AF50" i="68"/>
  <c r="AH50" i="68" s="1"/>
  <c r="AK50" i="68"/>
  <c r="U51" i="68"/>
  <c r="AK68" i="68"/>
  <c r="AL72" i="68"/>
  <c r="AK72" i="68"/>
  <c r="X79" i="68"/>
  <c r="Z79" i="68" s="1"/>
  <c r="AD79" i="68" s="1"/>
  <c r="U80" i="68"/>
  <c r="R91" i="68"/>
  <c r="Z34" i="68"/>
  <c r="AD34" i="68" s="1"/>
  <c r="AL34" i="68" s="1"/>
  <c r="AF35" i="68"/>
  <c r="AH35" i="68" s="1"/>
  <c r="AK35" i="68"/>
  <c r="AB9" i="68"/>
  <c r="O91" i="68"/>
  <c r="S96" i="68"/>
  <c r="S91" i="68"/>
  <c r="W96" i="68"/>
  <c r="W91" i="68"/>
  <c r="W92" i="68" s="1"/>
  <c r="Y89" i="68"/>
  <c r="Y92" i="68" s="1"/>
  <c r="AC36" i="68"/>
  <c r="AL41" i="68"/>
  <c r="AF44" i="68"/>
  <c r="AH44" i="68" s="1"/>
  <c r="AK44" i="68"/>
  <c r="AL50" i="68"/>
  <c r="Z53" i="68"/>
  <c r="O57" i="68"/>
  <c r="Q56" i="68"/>
  <c r="AC63" i="68"/>
  <c r="AL60" i="68"/>
  <c r="Z60" i="68"/>
  <c r="AF66" i="68"/>
  <c r="AH66" i="68" s="1"/>
  <c r="AK66" i="68"/>
  <c r="AK67" i="68"/>
  <c r="Z108" i="68"/>
  <c r="AD108" i="68" s="1"/>
  <c r="Q112" i="68"/>
  <c r="Z49" i="68"/>
  <c r="AD49" i="68" s="1"/>
  <c r="Q51" i="68"/>
  <c r="Z54" i="68"/>
  <c r="AD54" i="68" s="1"/>
  <c r="AL54" i="68" s="1"/>
  <c r="AD65" i="68"/>
  <c r="AL65" i="68" s="1"/>
  <c r="AL67" i="68"/>
  <c r="Z69" i="68"/>
  <c r="AD69" i="68" s="1"/>
  <c r="Q74" i="68"/>
  <c r="AK87" i="68"/>
  <c r="AD88" i="68"/>
  <c r="AF87" i="68"/>
  <c r="AF106" i="68"/>
  <c r="AH106" i="68" s="1"/>
  <c r="AK106" i="68"/>
  <c r="AC74" i="68"/>
  <c r="AL77" i="68"/>
  <c r="Z77" i="68"/>
  <c r="AF83" i="68"/>
  <c r="AH83" i="68" s="1"/>
  <c r="AK83" i="68"/>
  <c r="AL87" i="68"/>
  <c r="Q88" i="68"/>
  <c r="AL88" i="68" s="1"/>
  <c r="Z101" i="68"/>
  <c r="Q110" i="68"/>
  <c r="I99" i="68"/>
  <c r="AK105" i="68"/>
  <c r="T123" i="68"/>
  <c r="Z62" i="68"/>
  <c r="AH74" i="68"/>
  <c r="AL78" i="68"/>
  <c r="AL102" i="68"/>
  <c r="AK102" i="68"/>
  <c r="AL106" i="68"/>
  <c r="Z76" i="68"/>
  <c r="Z78" i="68"/>
  <c r="AD78" i="68" s="1"/>
  <c r="Q80" i="68"/>
  <c r="AD82" i="68"/>
  <c r="AL82" i="68"/>
  <c r="Z84" i="68"/>
  <c r="AD84" i="68" s="1"/>
  <c r="AL84" i="68" s="1"/>
  <c r="AL105" i="68"/>
  <c r="Z107" i="68"/>
  <c r="AD107" i="68" s="1"/>
  <c r="AL107" i="68" s="1"/>
  <c r="AL109" i="68"/>
  <c r="AB116" i="68"/>
  <c r="AF68" i="68" l="1"/>
  <c r="AH68" i="68" s="1"/>
  <c r="X80" i="68"/>
  <c r="AF109" i="68"/>
  <c r="AH109" i="68" s="1"/>
  <c r="AK109" i="68"/>
  <c r="Z38" i="68"/>
  <c r="AE92" i="68"/>
  <c r="AE115" i="68" s="1"/>
  <c r="AE117" i="68" s="1"/>
  <c r="AC89" i="68"/>
  <c r="AC92" i="68" s="1"/>
  <c r="AC115" i="68" s="1"/>
  <c r="AC117" i="68" s="1"/>
  <c r="AK103" i="68"/>
  <c r="AF103" i="68"/>
  <c r="AH103" i="68" s="1"/>
  <c r="AF79" i="68"/>
  <c r="AH79" i="68" s="1"/>
  <c r="AK79" i="68"/>
  <c r="AL79" i="68"/>
  <c r="AK69" i="68"/>
  <c r="AF69" i="68"/>
  <c r="AH69" i="68" s="1"/>
  <c r="AF23" i="68"/>
  <c r="AD25" i="68"/>
  <c r="AK23" i="68"/>
  <c r="AF73" i="68"/>
  <c r="AK73" i="68"/>
  <c r="AK40" i="68"/>
  <c r="AF40" i="68"/>
  <c r="AH40" i="68" s="1"/>
  <c r="AL40" i="68"/>
  <c r="AA115" i="68"/>
  <c r="AA117" i="68" s="1"/>
  <c r="AK107" i="68"/>
  <c r="AF107" i="68"/>
  <c r="AH107" i="68" s="1"/>
  <c r="AD85" i="68"/>
  <c r="AF82" i="68"/>
  <c r="AK82" i="68"/>
  <c r="AD53" i="68"/>
  <c r="AL32" i="68"/>
  <c r="AK32" i="68"/>
  <c r="AF32" i="68"/>
  <c r="AH32" i="68" s="1"/>
  <c r="AK34" i="68"/>
  <c r="AF34" i="68"/>
  <c r="AH34" i="68" s="1"/>
  <c r="U36" i="68"/>
  <c r="U89" i="68" s="1"/>
  <c r="X30" i="68"/>
  <c r="AB92" i="68"/>
  <c r="AB96" i="68"/>
  <c r="Z63" i="68"/>
  <c r="AK24" i="68"/>
  <c r="AF24" i="68"/>
  <c r="AH24" i="68" s="1"/>
  <c r="AL24" i="68"/>
  <c r="Q91" i="68"/>
  <c r="Z25" i="68"/>
  <c r="AH6" i="68"/>
  <c r="AF8" i="68"/>
  <c r="AK108" i="68"/>
  <c r="AF108" i="68"/>
  <c r="AH108" i="68" s="1"/>
  <c r="AL108" i="68"/>
  <c r="AD38" i="68"/>
  <c r="O92" i="68"/>
  <c r="P95" i="68" s="1"/>
  <c r="O117" i="68"/>
  <c r="O119" i="68" s="1"/>
  <c r="O125" i="68" s="1"/>
  <c r="Z22" i="68"/>
  <c r="AD18" i="68"/>
  <c r="Q90" i="68"/>
  <c r="Q9" i="68"/>
  <c r="AL8" i="68"/>
  <c r="Z110" i="68"/>
  <c r="Z119" i="68"/>
  <c r="AD101" i="68"/>
  <c r="AF88" i="68"/>
  <c r="AH87" i="68"/>
  <c r="Z85" i="68"/>
  <c r="AH85" i="68" s="1"/>
  <c r="AK49" i="68"/>
  <c r="AF49" i="68"/>
  <c r="AH49" i="68" s="1"/>
  <c r="AL73" i="68"/>
  <c r="Z56" i="68"/>
  <c r="AD56" i="68" s="1"/>
  <c r="AL56" i="68"/>
  <c r="O96" i="68"/>
  <c r="AL49" i="68"/>
  <c r="Z70" i="68"/>
  <c r="AH70" i="68" s="1"/>
  <c r="AD27" i="68"/>
  <c r="T92" i="68"/>
  <c r="Q93" i="68"/>
  <c r="AL69" i="68"/>
  <c r="AL33" i="68"/>
  <c r="AK33" i="68"/>
  <c r="AF33" i="68"/>
  <c r="AH33" i="68" s="1"/>
  <c r="AK19" i="68"/>
  <c r="AF19" i="68"/>
  <c r="AH19" i="68" s="1"/>
  <c r="X91" i="68"/>
  <c r="AD10" i="68"/>
  <c r="Z13" i="68"/>
  <c r="Z90" i="68"/>
  <c r="AD94" i="68" s="1"/>
  <c r="AK94" i="68" s="1"/>
  <c r="Z9" i="68"/>
  <c r="AF31" i="68"/>
  <c r="AH31" i="68" s="1"/>
  <c r="AK31" i="68"/>
  <c r="AD76" i="68"/>
  <c r="Z80" i="68"/>
  <c r="AH80" i="68" s="1"/>
  <c r="AK54" i="68"/>
  <c r="AF54" i="68"/>
  <c r="AH54" i="68" s="1"/>
  <c r="Z39" i="68"/>
  <c r="AD39" i="68" s="1"/>
  <c r="AL39" i="68" s="1"/>
  <c r="Q117" i="68"/>
  <c r="Z55" i="68"/>
  <c r="AD55" i="68" s="1"/>
  <c r="AK84" i="68"/>
  <c r="AF84" i="68"/>
  <c r="AH84" i="68" s="1"/>
  <c r="AK78" i="68"/>
  <c r="AF78" i="68"/>
  <c r="AH78" i="68" s="1"/>
  <c r="AL74" i="68"/>
  <c r="AD70" i="68"/>
  <c r="AF65" i="68"/>
  <c r="AK65" i="68"/>
  <c r="AL23" i="68"/>
  <c r="P117" i="68"/>
  <c r="P119" i="68" s="1"/>
  <c r="P125" i="68" s="1"/>
  <c r="O127" i="68" s="1"/>
  <c r="P92" i="68"/>
  <c r="Q95" i="68"/>
  <c r="Q45" i="68"/>
  <c r="Z51" i="68"/>
  <c r="AH51" i="68" s="1"/>
  <c r="AD47" i="68"/>
  <c r="AK42" i="68"/>
  <c r="AF42" i="68"/>
  <c r="AH42" i="68" s="1"/>
  <c r="AL42" i="68"/>
  <c r="S92" i="68"/>
  <c r="Y96" i="68"/>
  <c r="Q116" i="68"/>
  <c r="N119" i="68"/>
  <c r="T96" i="68"/>
  <c r="AD90" i="68"/>
  <c r="AK90" i="68" s="1"/>
  <c r="AK8" i="68"/>
  <c r="AD9" i="68"/>
  <c r="AK9" i="68" s="1"/>
  <c r="X5" i="67"/>
  <c r="X6" i="67"/>
  <c r="X7" i="67"/>
  <c r="X8" i="67"/>
  <c r="X9" i="67"/>
  <c r="X10" i="67"/>
  <c r="X11" i="67"/>
  <c r="X12" i="67"/>
  <c r="X13" i="67"/>
  <c r="X14" i="67"/>
  <c r="X15" i="67"/>
  <c r="X16" i="67"/>
  <c r="X17" i="67"/>
  <c r="X18" i="67"/>
  <c r="X19" i="67"/>
  <c r="X20" i="67"/>
  <c r="X21" i="67"/>
  <c r="X22" i="67"/>
  <c r="X23" i="67"/>
  <c r="X24" i="67"/>
  <c r="X25" i="67"/>
  <c r="X26" i="67"/>
  <c r="X27" i="67"/>
  <c r="X28" i="67"/>
  <c r="X29" i="67"/>
  <c r="X30" i="67"/>
  <c r="X31" i="67"/>
  <c r="X32" i="67"/>
  <c r="X33" i="67"/>
  <c r="X34" i="67"/>
  <c r="X35" i="67"/>
  <c r="X36" i="67"/>
  <c r="X37" i="67"/>
  <c r="X38" i="67"/>
  <c r="X39" i="67"/>
  <c r="X40" i="67"/>
  <c r="X41" i="67"/>
  <c r="X42" i="67"/>
  <c r="X43" i="67"/>
  <c r="X44" i="67"/>
  <c r="X45" i="67"/>
  <c r="X46" i="67"/>
  <c r="X47" i="67"/>
  <c r="X48" i="67"/>
  <c r="X49" i="67"/>
  <c r="X50" i="67"/>
  <c r="X51" i="67"/>
  <c r="X52" i="67"/>
  <c r="X53" i="67"/>
  <c r="X54" i="67"/>
  <c r="X55" i="67"/>
  <c r="X56" i="67"/>
  <c r="X57" i="67"/>
  <c r="X58" i="67"/>
  <c r="X59" i="67"/>
  <c r="X60" i="67"/>
  <c r="X61" i="67"/>
  <c r="X62" i="67"/>
  <c r="X63" i="67"/>
  <c r="X64" i="67"/>
  <c r="X65" i="67"/>
  <c r="X66" i="67"/>
  <c r="X67" i="67"/>
  <c r="X68" i="67"/>
  <c r="X69" i="67"/>
  <c r="X70" i="67"/>
  <c r="X71" i="67"/>
  <c r="X72" i="67"/>
  <c r="X73" i="67"/>
  <c r="X74" i="67"/>
  <c r="X75" i="67"/>
  <c r="X76" i="67"/>
  <c r="X77" i="67"/>
  <c r="X78" i="67"/>
  <c r="X79" i="67"/>
  <c r="X80" i="67"/>
  <c r="X81" i="67"/>
  <c r="X82" i="67"/>
  <c r="X83" i="67"/>
  <c r="X84" i="67"/>
  <c r="X85" i="67"/>
  <c r="X86" i="67"/>
  <c r="X87" i="67"/>
  <c r="X88" i="67"/>
  <c r="X89" i="67"/>
  <c r="X90" i="67"/>
  <c r="X91" i="67"/>
  <c r="X92" i="67"/>
  <c r="X93" i="67"/>
  <c r="X94" i="67"/>
  <c r="X95" i="67"/>
  <c r="X96" i="67"/>
  <c r="X97" i="67"/>
  <c r="X98" i="67"/>
  <c r="X99" i="67"/>
  <c r="X100" i="67"/>
  <c r="X101" i="67"/>
  <c r="X102" i="67"/>
  <c r="X103" i="67"/>
  <c r="X104" i="67"/>
  <c r="X105" i="67"/>
  <c r="X106" i="67"/>
  <c r="X107" i="67"/>
  <c r="X108" i="67"/>
  <c r="X109" i="67"/>
  <c r="X110" i="67"/>
  <c r="X111" i="67"/>
  <c r="X112" i="67"/>
  <c r="X113" i="67"/>
  <c r="X114" i="67"/>
  <c r="X115" i="67"/>
  <c r="X116" i="67"/>
  <c r="X117" i="67"/>
  <c r="X118" i="67"/>
  <c r="X119" i="67"/>
  <c r="X120" i="67"/>
  <c r="X121" i="67"/>
  <c r="X122" i="67"/>
  <c r="X123" i="67"/>
  <c r="X124" i="67"/>
  <c r="X125" i="67"/>
  <c r="X126" i="67"/>
  <c r="Z45" i="68" l="1"/>
  <c r="AH45" i="68" s="1"/>
  <c r="U93" i="68"/>
  <c r="AF90" i="68"/>
  <c r="AH90" i="68" s="1"/>
  <c r="AF9" i="68"/>
  <c r="AH9" i="68" s="1"/>
  <c r="AH8" i="68"/>
  <c r="U92" i="68"/>
  <c r="U96" i="68"/>
  <c r="AK85" i="68"/>
  <c r="AL85" i="68"/>
  <c r="AF25" i="68"/>
  <c r="AH23" i="68"/>
  <c r="AK47" i="68"/>
  <c r="AD51" i="68"/>
  <c r="AF47" i="68"/>
  <c r="AL47" i="68"/>
  <c r="AK56" i="68"/>
  <c r="AF56" i="68"/>
  <c r="AH56" i="68" s="1"/>
  <c r="AD110" i="68"/>
  <c r="AK101" i="68"/>
  <c r="AF101" i="68"/>
  <c r="AL101" i="68"/>
  <c r="AL9" i="68"/>
  <c r="Z95" i="68"/>
  <c r="AH73" i="68"/>
  <c r="AF74" i="68"/>
  <c r="AK10" i="68"/>
  <c r="AD13" i="68"/>
  <c r="AF10" i="68"/>
  <c r="AF13" i="68" s="1"/>
  <c r="AL10" i="68"/>
  <c r="N125" i="68"/>
  <c r="T125" i="68" s="1"/>
  <c r="T119" i="68"/>
  <c r="AH65" i="68"/>
  <c r="AF70" i="68"/>
  <c r="AK39" i="68"/>
  <c r="AF39" i="68"/>
  <c r="AH39" i="68" s="1"/>
  <c r="AD80" i="68"/>
  <c r="AK80" i="68" s="1"/>
  <c r="AK76" i="68"/>
  <c r="AF76" i="68"/>
  <c r="AL76" i="68"/>
  <c r="AL90" i="68"/>
  <c r="Z94" i="68"/>
  <c r="AB115" i="68"/>
  <c r="Z57" i="68"/>
  <c r="AH57" i="68" s="1"/>
  <c r="AF55" i="68"/>
  <c r="AH55" i="68" s="1"/>
  <c r="AK55" i="68"/>
  <c r="Q119" i="68"/>
  <c r="Q125" i="68" s="1"/>
  <c r="AK70" i="68"/>
  <c r="AL70" i="68"/>
  <c r="AL55" i="68"/>
  <c r="Z91" i="68"/>
  <c r="AK27" i="68"/>
  <c r="AF27" i="68"/>
  <c r="AL27" i="68"/>
  <c r="Z116" i="68"/>
  <c r="AD116" i="68" s="1"/>
  <c r="AF119" i="68" s="1"/>
  <c r="AD111" i="68"/>
  <c r="AC111" i="68"/>
  <c r="AD22" i="68"/>
  <c r="AF18" i="68"/>
  <c r="AK18" i="68"/>
  <c r="AL18" i="68"/>
  <c r="AK38" i="68"/>
  <c r="AD45" i="68"/>
  <c r="AK45" i="68" s="1"/>
  <c r="AF38" i="68"/>
  <c r="AL38" i="68"/>
  <c r="Q89" i="68"/>
  <c r="Z30" i="68"/>
  <c r="X36" i="68"/>
  <c r="X89" i="68" s="1"/>
  <c r="AF53" i="68"/>
  <c r="AK53" i="68"/>
  <c r="AD57" i="68"/>
  <c r="AL53" i="68"/>
  <c r="AH82" i="68"/>
  <c r="AF85" i="68"/>
  <c r="AC93" i="68"/>
  <c r="AK25" i="68"/>
  <c r="AL25" i="68"/>
  <c r="AD95" i="68" l="1"/>
  <c r="AE95" i="68"/>
  <c r="AH76" i="68"/>
  <c r="AF80" i="68"/>
  <c r="AH101" i="68"/>
  <c r="AF110" i="68"/>
  <c r="AH53" i="68"/>
  <c r="AF57" i="68"/>
  <c r="AH27" i="68"/>
  <c r="AL45" i="68"/>
  <c r="Z93" i="68"/>
  <c r="Q92" i="68"/>
  <c r="Q96" i="68"/>
  <c r="AF45" i="68"/>
  <c r="AH38" i="68"/>
  <c r="AF91" i="68"/>
  <c r="AH91" i="68" s="1"/>
  <c r="AF111" i="68"/>
  <c r="AK110" i="68"/>
  <c r="AL110" i="68"/>
  <c r="AL116" i="68" s="1"/>
  <c r="AF51" i="68"/>
  <c r="AH47" i="68"/>
  <c r="AK22" i="68"/>
  <c r="AL22" i="68"/>
  <c r="AB117" i="68"/>
  <c r="AC119" i="68" s="1"/>
  <c r="X92" i="68"/>
  <c r="X96" i="68"/>
  <c r="AK57" i="68"/>
  <c r="AL57" i="68"/>
  <c r="AD30" i="68"/>
  <c r="Z36" i="68"/>
  <c r="AH18" i="68"/>
  <c r="AF22" i="68"/>
  <c r="AD91" i="68"/>
  <c r="AK13" i="68"/>
  <c r="AL13" i="68"/>
  <c r="AK51" i="68"/>
  <c r="AL51" i="68"/>
  <c r="AH36" i="68" l="1"/>
  <c r="Z89" i="68"/>
  <c r="AF30" i="68"/>
  <c r="AL30" i="68"/>
  <c r="AK30" i="68"/>
  <c r="AD36" i="68"/>
  <c r="AF116" i="68"/>
  <c r="AH116" i="68" s="1"/>
  <c r="AH110" i="68"/>
  <c r="AK91" i="68"/>
  <c r="AL91" i="68"/>
  <c r="AH22" i="68"/>
  <c r="AK95" i="68"/>
  <c r="AH30" i="68" l="1"/>
  <c r="AF36" i="68"/>
  <c r="AF89" i="68" s="1"/>
  <c r="AK36" i="68"/>
  <c r="AL36" i="68"/>
  <c r="AD89" i="68"/>
  <c r="Z92" i="68"/>
  <c r="Z115" i="68" s="1"/>
  <c r="AD115" i="68" s="1"/>
  <c r="AF120" i="68" s="1"/>
  <c r="AD93" i="68"/>
  <c r="AK93" i="68" s="1"/>
  <c r="Z96" i="68"/>
  <c r="AD96" i="68" s="1"/>
  <c r="AK96" i="68" l="1"/>
  <c r="AL96" i="68"/>
  <c r="AL115" i="68" s="1"/>
  <c r="AL117" i="68" s="1"/>
  <c r="Z117" i="68"/>
  <c r="AH89" i="68"/>
  <c r="AF93" i="68"/>
  <c r="AF96" i="68"/>
  <c r="AH96" i="68" s="1"/>
  <c r="AD92" i="68"/>
  <c r="AF92" i="68" s="1"/>
  <c r="AK89" i="68"/>
  <c r="AL89" i="68"/>
  <c r="AK92" i="68" l="1"/>
  <c r="AL92" i="68"/>
  <c r="AD119" i="68"/>
  <c r="AD117" i="68"/>
  <c r="AF121" i="68" s="1"/>
  <c r="AF115" i="68" l="1"/>
  <c r="AH92" i="68"/>
  <c r="AF117" i="68" l="1"/>
  <c r="AE121" i="68" s="1"/>
  <c r="AH115" i="68"/>
  <c r="AH117" i="68" s="1"/>
  <c r="E4" i="45" l="1"/>
  <c r="B44" i="59" l="1"/>
  <c r="O43" i="58"/>
  <c r="N43" i="58"/>
  <c r="M43" i="58"/>
  <c r="P42" i="58"/>
  <c r="P43" i="58" s="1"/>
  <c r="O37" i="58"/>
  <c r="N37" i="58"/>
  <c r="M37" i="58"/>
  <c r="P36" i="58"/>
  <c r="Q36" i="58" s="1"/>
  <c r="R34" i="58"/>
  <c r="Q34" i="58"/>
  <c r="R33" i="58"/>
  <c r="Q33" i="58"/>
  <c r="O31" i="58"/>
  <c r="N31" i="58"/>
  <c r="M31" i="58"/>
  <c r="P29" i="58"/>
  <c r="R29" i="58" s="1"/>
  <c r="P27" i="58"/>
  <c r="O25" i="58"/>
  <c r="N25" i="58"/>
  <c r="M25" i="58"/>
  <c r="P24" i="58"/>
  <c r="R24" i="58" s="1"/>
  <c r="R20" i="58"/>
  <c r="Q20" i="58"/>
  <c r="P19" i="58"/>
  <c r="R19" i="58" s="1"/>
  <c r="P18" i="58"/>
  <c r="O16" i="58"/>
  <c r="N16" i="58"/>
  <c r="M16" i="58"/>
  <c r="P15" i="58"/>
  <c r="R15" i="58" s="1"/>
  <c r="P14" i="58"/>
  <c r="R14" i="58" s="1"/>
  <c r="P13" i="58"/>
  <c r="Q13" i="58" s="1"/>
  <c r="P12" i="58"/>
  <c r="R12" i="58" s="1"/>
  <c r="R11" i="58"/>
  <c r="Q11" i="58"/>
  <c r="P10" i="58"/>
  <c r="R10" i="58" s="1"/>
  <c r="O8" i="58"/>
  <c r="M8" i="58"/>
  <c r="P7" i="58"/>
  <c r="R7" i="58" s="1"/>
  <c r="R6" i="58"/>
  <c r="Q6" i="58"/>
  <c r="L24" i="56"/>
  <c r="K24" i="56"/>
  <c r="L20" i="56"/>
  <c r="K20" i="56"/>
  <c r="L15" i="56"/>
  <c r="K15" i="56"/>
  <c r="L8" i="56"/>
  <c r="L25" i="56" s="1"/>
  <c r="K8" i="56"/>
  <c r="K25" i="56" s="1"/>
  <c r="R43" i="58" l="1"/>
  <c r="Q10" i="58"/>
  <c r="Q12" i="58"/>
  <c r="O44" i="58"/>
  <c r="R13" i="58"/>
  <c r="R36" i="58"/>
  <c r="P37" i="58"/>
  <c r="R37" i="58" s="1"/>
  <c r="Q37" i="58"/>
  <c r="P25" i="58"/>
  <c r="R25" i="58" s="1"/>
  <c r="Q7" i="58"/>
  <c r="Q8" i="58" s="1"/>
  <c r="P8" i="58"/>
  <c r="R8" i="58" s="1"/>
  <c r="P31" i="58"/>
  <c r="R31" i="58" s="1"/>
  <c r="P16" i="58"/>
  <c r="R16" i="58" s="1"/>
  <c r="R27" i="58"/>
  <c r="Q42" i="58"/>
  <c r="Q43" i="58" s="1"/>
  <c r="M44" i="58"/>
  <c r="N44" i="58"/>
  <c r="Q15" i="58"/>
  <c r="Q19" i="58"/>
  <c r="R42" i="58"/>
  <c r="Q14" i="58"/>
  <c r="Q18" i="58"/>
  <c r="Q24" i="58"/>
  <c r="Q29" i="58"/>
  <c r="R18" i="58"/>
  <c r="Q27" i="58"/>
  <c r="N45" i="58" l="1"/>
  <c r="Q31" i="58"/>
  <c r="Q16" i="58"/>
  <c r="P44" i="58"/>
  <c r="R44" i="58" s="1"/>
  <c r="Q25" i="58"/>
  <c r="B5" i="45"/>
  <c r="Q44" i="58" l="1"/>
  <c r="P45" i="58" s="1"/>
  <c r="H357" i="53" l="1"/>
  <c r="G357" i="53"/>
  <c r="G356" i="53"/>
  <c r="I356" i="53"/>
  <c r="H356" i="53"/>
  <c r="H352" i="53"/>
  <c r="G352" i="53"/>
  <c r="G354" i="53" s="1"/>
  <c r="E361" i="53" s="1"/>
  <c r="I351" i="53"/>
  <c r="I350" i="53"/>
  <c r="I349" i="53"/>
  <c r="I348" i="53"/>
  <c r="I347" i="53"/>
  <c r="I346" i="53"/>
  <c r="I345" i="53"/>
  <c r="I344" i="53"/>
  <c r="I343" i="53"/>
  <c r="I342" i="53"/>
  <c r="I341" i="53"/>
  <c r="I340" i="53"/>
  <c r="I339" i="53"/>
  <c r="I338" i="53"/>
  <c r="I337" i="53"/>
  <c r="I336" i="53"/>
  <c r="I335" i="53"/>
  <c r="I334" i="53"/>
  <c r="I333" i="53"/>
  <c r="I332" i="53"/>
  <c r="I331" i="53"/>
  <c r="I330" i="53"/>
  <c r="I329" i="53"/>
  <c r="I328" i="53"/>
  <c r="I327" i="53"/>
  <c r="I326" i="53"/>
  <c r="I325" i="53"/>
  <c r="I324" i="53"/>
  <c r="I323" i="53"/>
  <c r="I322" i="53"/>
  <c r="I321" i="53"/>
  <c r="I320" i="53"/>
  <c r="I319" i="53"/>
  <c r="I318" i="53"/>
  <c r="I317" i="53"/>
  <c r="I316" i="53"/>
  <c r="I315" i="53"/>
  <c r="I314" i="53"/>
  <c r="I313" i="53"/>
  <c r="I312" i="53"/>
  <c r="I311" i="53"/>
  <c r="I310" i="53"/>
  <c r="I309" i="53"/>
  <c r="I308" i="53"/>
  <c r="I307" i="53"/>
  <c r="I306" i="53"/>
  <c r="I305" i="53"/>
  <c r="I304" i="53"/>
  <c r="I303" i="53"/>
  <c r="I302" i="53"/>
  <c r="I301" i="53"/>
  <c r="I300" i="53"/>
  <c r="I299" i="53"/>
  <c r="I298" i="53"/>
  <c r="I297" i="53"/>
  <c r="I296" i="53"/>
  <c r="I295" i="53"/>
  <c r="I294" i="53"/>
  <c r="I293" i="53"/>
  <c r="I292" i="53"/>
  <c r="I291" i="53"/>
  <c r="I290" i="53"/>
  <c r="I289" i="53"/>
  <c r="I288" i="53"/>
  <c r="I287" i="53"/>
  <c r="I286" i="53"/>
  <c r="I285" i="53"/>
  <c r="L284" i="53"/>
  <c r="I284" i="53"/>
  <c r="L283" i="53"/>
  <c r="I283" i="53"/>
  <c r="L282" i="53"/>
  <c r="I282" i="53"/>
  <c r="L281" i="53"/>
  <c r="I281" i="53"/>
  <c r="L280" i="53"/>
  <c r="I280" i="53"/>
  <c r="L279" i="53"/>
  <c r="I279" i="53"/>
  <c r="L278" i="53"/>
  <c r="I278" i="53"/>
  <c r="L277" i="53"/>
  <c r="I277" i="53"/>
  <c r="L276" i="53"/>
  <c r="I276" i="53"/>
  <c r="L275" i="53"/>
  <c r="I275" i="53"/>
  <c r="L274" i="53"/>
  <c r="I274" i="53"/>
  <c r="L273" i="53"/>
  <c r="I273" i="53"/>
  <c r="L272" i="53"/>
  <c r="I272" i="53"/>
  <c r="L271" i="53"/>
  <c r="I271" i="53"/>
  <c r="L270" i="53"/>
  <c r="I270" i="53"/>
  <c r="L269" i="53"/>
  <c r="I269" i="53"/>
  <c r="L268" i="53"/>
  <c r="I268" i="53"/>
  <c r="L267" i="53"/>
  <c r="I267" i="53"/>
  <c r="L266" i="53"/>
  <c r="I266" i="53"/>
  <c r="L265" i="53"/>
  <c r="I265" i="53"/>
  <c r="L264" i="53"/>
  <c r="I264" i="53"/>
  <c r="L263" i="53"/>
  <c r="I263" i="53"/>
  <c r="L262" i="53"/>
  <c r="I262" i="53"/>
  <c r="L261" i="53"/>
  <c r="I261" i="53"/>
  <c r="L260" i="53"/>
  <c r="I260" i="53"/>
  <c r="L259" i="53"/>
  <c r="I259" i="53"/>
  <c r="L258" i="53"/>
  <c r="I258" i="53"/>
  <c r="L257" i="53"/>
  <c r="I257" i="53"/>
  <c r="L256" i="53"/>
  <c r="I256" i="53"/>
  <c r="L255" i="53"/>
  <c r="I255" i="53"/>
  <c r="L254" i="53"/>
  <c r="I254" i="53"/>
  <c r="L253" i="53"/>
  <c r="I253" i="53"/>
  <c r="L252" i="53"/>
  <c r="I252" i="53"/>
  <c r="L251" i="53"/>
  <c r="I251" i="53"/>
  <c r="L250" i="53"/>
  <c r="I250" i="53"/>
  <c r="L249" i="53"/>
  <c r="I249" i="53"/>
  <c r="L248" i="53"/>
  <c r="I248" i="53"/>
  <c r="L247" i="53"/>
  <c r="I247" i="53"/>
  <c r="L246" i="53"/>
  <c r="I246" i="53"/>
  <c r="L245" i="53"/>
  <c r="I245" i="53"/>
  <c r="L244" i="53"/>
  <c r="I244" i="53"/>
  <c r="L243" i="53"/>
  <c r="I243" i="53"/>
  <c r="L242" i="53"/>
  <c r="I242" i="53"/>
  <c r="L241" i="53"/>
  <c r="I241" i="53"/>
  <c r="L240" i="53"/>
  <c r="I240" i="53"/>
  <c r="L239" i="53"/>
  <c r="I239" i="53"/>
  <c r="L238" i="53"/>
  <c r="I238" i="53"/>
  <c r="L237" i="53"/>
  <c r="I237" i="53"/>
  <c r="L236" i="53"/>
  <c r="I236" i="53"/>
  <c r="L235" i="53"/>
  <c r="I235" i="53"/>
  <c r="L234" i="53"/>
  <c r="I234" i="53"/>
  <c r="L233" i="53"/>
  <c r="I233" i="53"/>
  <c r="L232" i="53"/>
  <c r="I232" i="53"/>
  <c r="L231" i="53"/>
  <c r="I231" i="53"/>
  <c r="L230" i="53"/>
  <c r="I230" i="53"/>
  <c r="I229" i="53"/>
  <c r="L228" i="53"/>
  <c r="I228" i="53"/>
  <c r="L227" i="53"/>
  <c r="I227" i="53"/>
  <c r="L226" i="53"/>
  <c r="I226" i="53"/>
  <c r="L225" i="53"/>
  <c r="I225" i="53"/>
  <c r="L224" i="53"/>
  <c r="I224" i="53"/>
  <c r="L223" i="53"/>
  <c r="I223" i="53"/>
  <c r="L222" i="53"/>
  <c r="I222" i="53"/>
  <c r="L221" i="53"/>
  <c r="I221" i="53"/>
  <c r="L220" i="53"/>
  <c r="I220" i="53"/>
  <c r="L219" i="53"/>
  <c r="I219" i="53"/>
  <c r="L218" i="53"/>
  <c r="I218" i="53"/>
  <c r="L217" i="53"/>
  <c r="I217" i="53"/>
  <c r="L216" i="53"/>
  <c r="I216" i="53"/>
  <c r="L215" i="53"/>
  <c r="I215" i="53"/>
  <c r="L214" i="53"/>
  <c r="I214" i="53"/>
  <c r="L213" i="53"/>
  <c r="I213" i="53"/>
  <c r="L212" i="53"/>
  <c r="I212" i="53"/>
  <c r="L211" i="53"/>
  <c r="I211" i="53"/>
  <c r="L210" i="53"/>
  <c r="I210" i="53"/>
  <c r="L209" i="53"/>
  <c r="I209" i="53"/>
  <c r="L208" i="53"/>
  <c r="I208" i="53"/>
  <c r="L207" i="53"/>
  <c r="I207" i="53"/>
  <c r="L206" i="53"/>
  <c r="I206" i="53"/>
  <c r="L205" i="53"/>
  <c r="I205" i="53"/>
  <c r="L204" i="53"/>
  <c r="I204" i="53"/>
  <c r="L203" i="53"/>
  <c r="I203" i="53"/>
  <c r="L202" i="53"/>
  <c r="I202" i="53"/>
  <c r="L201" i="53"/>
  <c r="I201" i="53"/>
  <c r="L200" i="53"/>
  <c r="I200" i="53"/>
  <c r="L199" i="53"/>
  <c r="I199" i="53"/>
  <c r="L198" i="53"/>
  <c r="I198" i="53"/>
  <c r="L197" i="53"/>
  <c r="I197" i="53"/>
  <c r="L196" i="53"/>
  <c r="I196" i="53"/>
  <c r="L195" i="53"/>
  <c r="I195" i="53"/>
  <c r="L194" i="53"/>
  <c r="I194" i="53"/>
  <c r="L193" i="53"/>
  <c r="I193" i="53"/>
  <c r="L192" i="53"/>
  <c r="I192" i="53"/>
  <c r="L191" i="53"/>
  <c r="I191" i="53"/>
  <c r="L190" i="53"/>
  <c r="I190" i="53"/>
  <c r="L189" i="53"/>
  <c r="I189" i="53"/>
  <c r="L188" i="53"/>
  <c r="I188" i="53"/>
  <c r="L187" i="53"/>
  <c r="I187" i="53"/>
  <c r="L186" i="53"/>
  <c r="I186" i="53"/>
  <c r="L185" i="53"/>
  <c r="I185" i="53"/>
  <c r="L184" i="53"/>
  <c r="I184" i="53"/>
  <c r="L183" i="53"/>
  <c r="I183" i="53"/>
  <c r="L182" i="53"/>
  <c r="I182" i="53"/>
  <c r="L181" i="53"/>
  <c r="I181" i="53"/>
  <c r="L180" i="53"/>
  <c r="I180" i="53"/>
  <c r="L179" i="53"/>
  <c r="I179" i="53"/>
  <c r="L178" i="53"/>
  <c r="I178" i="53"/>
  <c r="L177" i="53"/>
  <c r="I177" i="53"/>
  <c r="L176" i="53"/>
  <c r="I176" i="53"/>
  <c r="I175" i="53"/>
  <c r="I174" i="53"/>
  <c r="I173" i="53"/>
  <c r="I172" i="53"/>
  <c r="I171" i="53"/>
  <c r="I170" i="53"/>
  <c r="I169" i="53"/>
  <c r="I168" i="53"/>
  <c r="I167" i="53"/>
  <c r="I166" i="53"/>
  <c r="I165" i="53"/>
  <c r="I164" i="53"/>
  <c r="I163" i="53"/>
  <c r="I162" i="53"/>
  <c r="I161" i="53"/>
  <c r="I160" i="53"/>
  <c r="I159" i="53"/>
  <c r="I158" i="53"/>
  <c r="I157" i="53"/>
  <c r="I156" i="53"/>
  <c r="I155" i="53"/>
  <c r="I154" i="53"/>
  <c r="I153" i="53"/>
  <c r="I152" i="53"/>
  <c r="I151" i="53"/>
  <c r="I150" i="53"/>
  <c r="I149" i="53"/>
  <c r="I148" i="53"/>
  <c r="I147" i="53"/>
  <c r="I146" i="53"/>
  <c r="I145" i="53"/>
  <c r="I144" i="53"/>
  <c r="I143" i="53"/>
  <c r="I142" i="53"/>
  <c r="I141" i="53"/>
  <c r="I140" i="53"/>
  <c r="I139" i="53"/>
  <c r="I138" i="53"/>
  <c r="I137" i="53"/>
  <c r="I136" i="53"/>
  <c r="I135" i="53"/>
  <c r="I134" i="53"/>
  <c r="I133" i="53"/>
  <c r="I132" i="53"/>
  <c r="I131" i="53"/>
  <c r="I130" i="53"/>
  <c r="I129" i="53"/>
  <c r="I128" i="53"/>
  <c r="I127" i="53"/>
  <c r="I126" i="53"/>
  <c r="I125" i="53"/>
  <c r="I124" i="53"/>
  <c r="I123" i="53"/>
  <c r="I122" i="53"/>
  <c r="I121" i="53"/>
  <c r="I120" i="53"/>
  <c r="I119" i="53"/>
  <c r="I118" i="53"/>
  <c r="I117" i="53"/>
  <c r="I116" i="53"/>
  <c r="I115" i="53"/>
  <c r="I114" i="53"/>
  <c r="I113" i="53"/>
  <c r="I112" i="53"/>
  <c r="I111" i="53"/>
  <c r="I110" i="53"/>
  <c r="I109" i="53"/>
  <c r="I108" i="53"/>
  <c r="I107" i="53"/>
  <c r="I106" i="53"/>
  <c r="I105" i="53"/>
  <c r="I104" i="53"/>
  <c r="I103" i="53"/>
  <c r="I102" i="53"/>
  <c r="I101" i="53"/>
  <c r="I100" i="53"/>
  <c r="I99" i="53"/>
  <c r="L98" i="53"/>
  <c r="I98" i="53"/>
  <c r="L97" i="53"/>
  <c r="I97" i="53"/>
  <c r="L96" i="53"/>
  <c r="I96" i="53"/>
  <c r="L95" i="53"/>
  <c r="I95" i="53"/>
  <c r="L94" i="53"/>
  <c r="I94" i="53"/>
  <c r="L93" i="53"/>
  <c r="I93" i="53"/>
  <c r="L92" i="53"/>
  <c r="I92" i="53"/>
  <c r="L91" i="53"/>
  <c r="I91" i="53"/>
  <c r="L90" i="53"/>
  <c r="I90" i="53"/>
  <c r="L89" i="53"/>
  <c r="I89" i="53"/>
  <c r="L88" i="53"/>
  <c r="I88" i="53"/>
  <c r="L87" i="53"/>
  <c r="I87" i="53"/>
  <c r="L86" i="53"/>
  <c r="I86" i="53"/>
  <c r="L85" i="53"/>
  <c r="I85" i="53"/>
  <c r="L84" i="53"/>
  <c r="I84" i="53"/>
  <c r="L83" i="53"/>
  <c r="I83" i="53"/>
  <c r="L82" i="53"/>
  <c r="I82" i="53"/>
  <c r="L81" i="53"/>
  <c r="I81" i="53"/>
  <c r="L80" i="53"/>
  <c r="I80" i="53"/>
  <c r="L79" i="53"/>
  <c r="I79" i="53"/>
  <c r="L78" i="53"/>
  <c r="I78" i="53"/>
  <c r="L77" i="53"/>
  <c r="I77" i="53"/>
  <c r="L76" i="53"/>
  <c r="I76" i="53"/>
  <c r="L75" i="53"/>
  <c r="I75" i="53"/>
  <c r="L74" i="53"/>
  <c r="I74" i="53"/>
  <c r="L73" i="53"/>
  <c r="I73" i="53"/>
  <c r="L72" i="53"/>
  <c r="I72" i="53"/>
  <c r="L71" i="53"/>
  <c r="I71" i="53"/>
  <c r="L70" i="53"/>
  <c r="I70" i="53"/>
  <c r="L69" i="53"/>
  <c r="I69" i="53"/>
  <c r="L68" i="53"/>
  <c r="I68" i="53"/>
  <c r="L67" i="53"/>
  <c r="I67" i="53"/>
  <c r="L66" i="53"/>
  <c r="I66" i="53"/>
  <c r="L65" i="53"/>
  <c r="I65" i="53"/>
  <c r="L64" i="53"/>
  <c r="I64" i="53"/>
  <c r="L63" i="53"/>
  <c r="I63" i="53"/>
  <c r="L62" i="53"/>
  <c r="I62" i="53"/>
  <c r="L61" i="53"/>
  <c r="I61" i="53"/>
  <c r="L60" i="53"/>
  <c r="I60" i="53"/>
  <c r="L59" i="53"/>
  <c r="I59" i="53"/>
  <c r="L58" i="53"/>
  <c r="I58" i="53"/>
  <c r="L57" i="53"/>
  <c r="I57" i="53"/>
  <c r="L56" i="53"/>
  <c r="I56" i="53"/>
  <c r="L55" i="53"/>
  <c r="I55" i="53"/>
  <c r="L54" i="53"/>
  <c r="I54" i="53"/>
  <c r="L53" i="53"/>
  <c r="I53" i="53"/>
  <c r="L52" i="53"/>
  <c r="I52" i="53"/>
  <c r="L51" i="53"/>
  <c r="I51" i="53"/>
  <c r="L50" i="53"/>
  <c r="I50" i="53"/>
  <c r="L49" i="53"/>
  <c r="I49" i="53"/>
  <c r="L48" i="53"/>
  <c r="I48" i="53"/>
  <c r="L47" i="53"/>
  <c r="I47" i="53"/>
  <c r="L46" i="53"/>
  <c r="I46" i="53"/>
  <c r="L45" i="53"/>
  <c r="I45" i="53"/>
  <c r="L44" i="53"/>
  <c r="I44" i="53"/>
  <c r="L43" i="53"/>
  <c r="I43" i="53"/>
  <c r="L42" i="53"/>
  <c r="I42" i="53"/>
  <c r="L41" i="53"/>
  <c r="I41" i="53"/>
  <c r="L40" i="53"/>
  <c r="I40" i="53"/>
  <c r="L39" i="53"/>
  <c r="I39" i="53"/>
  <c r="L38" i="53"/>
  <c r="I38" i="53"/>
  <c r="L37" i="53"/>
  <c r="I37" i="53"/>
  <c r="L36" i="53"/>
  <c r="I36" i="53"/>
  <c r="L35" i="53"/>
  <c r="I35" i="53"/>
  <c r="L34" i="53"/>
  <c r="I34" i="53"/>
  <c r="L33" i="53"/>
  <c r="I33" i="53"/>
  <c r="L32" i="53"/>
  <c r="I32" i="53"/>
  <c r="L31" i="53"/>
  <c r="I31" i="53"/>
  <c r="L30" i="53"/>
  <c r="I30" i="53"/>
  <c r="L29" i="53"/>
  <c r="I29" i="53"/>
  <c r="L28" i="53"/>
  <c r="I28" i="53"/>
  <c r="L27" i="53"/>
  <c r="I27" i="53"/>
  <c r="L26" i="53"/>
  <c r="I26" i="53"/>
  <c r="L25" i="53"/>
  <c r="I25" i="53"/>
  <c r="L24" i="53"/>
  <c r="I24" i="53"/>
  <c r="L23" i="53"/>
  <c r="I23" i="53"/>
  <c r="L22" i="53"/>
  <c r="I22" i="53"/>
  <c r="L21" i="53"/>
  <c r="I21" i="53"/>
  <c r="L20" i="53"/>
  <c r="I20" i="53"/>
  <c r="L19" i="53"/>
  <c r="I19" i="53"/>
  <c r="L18" i="53"/>
  <c r="I18" i="53"/>
  <c r="L17" i="53"/>
  <c r="I17" i="53"/>
  <c r="L16" i="53"/>
  <c r="I16" i="53"/>
  <c r="L15" i="53"/>
  <c r="I15" i="53"/>
  <c r="L14" i="53"/>
  <c r="I14" i="53"/>
  <c r="L13" i="53"/>
  <c r="I13" i="53"/>
  <c r="L12" i="53"/>
  <c r="I12" i="53"/>
  <c r="L11" i="53"/>
  <c r="I11" i="53"/>
  <c r="I10" i="53"/>
  <c r="I9" i="53"/>
  <c r="I8" i="53"/>
  <c r="I7" i="53"/>
  <c r="L6" i="53"/>
  <c r="I6" i="53"/>
  <c r="L5" i="53"/>
  <c r="I5" i="53"/>
  <c r="L4" i="53"/>
  <c r="I4" i="53"/>
  <c r="L3" i="53"/>
  <c r="I3" i="53"/>
  <c r="L2" i="53"/>
  <c r="I2" i="53"/>
  <c r="F361" i="53"/>
  <c r="I352" i="53" l="1"/>
  <c r="L352" i="53"/>
  <c r="Y15" i="32" l="1"/>
  <c r="V15" i="32"/>
  <c r="L29" i="32"/>
  <c r="M29" i="32"/>
  <c r="N29" i="32"/>
  <c r="X9" i="32"/>
  <c r="U15" i="32"/>
  <c r="AA13" i="32"/>
  <c r="AA14" i="32"/>
  <c r="AA9" i="32"/>
  <c r="X14" i="32"/>
  <c r="X10" i="32"/>
  <c r="X11" i="32"/>
  <c r="X12" i="32"/>
  <c r="X13" i="32"/>
  <c r="W14" i="32"/>
  <c r="W10" i="32"/>
  <c r="W11" i="32"/>
  <c r="W12" i="32"/>
  <c r="W13" i="32"/>
  <c r="W9" i="32"/>
  <c r="X15" i="32"/>
  <c r="W15" i="32"/>
  <c r="AA12" i="32"/>
  <c r="AA10" i="32"/>
  <c r="AA11" i="32"/>
  <c r="J24" i="32"/>
  <c r="AA15" i="32"/>
  <c r="J47" i="32"/>
  <c r="J38" i="32"/>
  <c r="J30" i="32"/>
  <c r="J16" i="32"/>
  <c r="L46" i="32"/>
  <c r="N46" i="32"/>
  <c r="Q46" i="32"/>
  <c r="Q45" i="32"/>
  <c r="N44" i="32"/>
  <c r="Q44" i="32"/>
  <c r="N43" i="32"/>
  <c r="Q43" i="32"/>
  <c r="L37" i="32"/>
  <c r="N37" i="32"/>
  <c r="Q37" i="32"/>
  <c r="N36" i="32"/>
  <c r="Q36" i="32"/>
  <c r="N35" i="32"/>
  <c r="Q35" i="32"/>
  <c r="H30" i="32"/>
  <c r="Q29" i="32"/>
  <c r="L23" i="32"/>
  <c r="N23" i="32"/>
  <c r="Q23" i="32"/>
  <c r="N22" i="32"/>
  <c r="Q22" i="32"/>
  <c r="N21" i="32"/>
  <c r="Q21" i="32"/>
  <c r="L15" i="32"/>
  <c r="N15" i="32"/>
  <c r="Q15" i="32"/>
  <c r="N14" i="32"/>
  <c r="Q14" i="32"/>
  <c r="N13" i="32"/>
  <c r="Q13" i="32"/>
  <c r="N12" i="32"/>
  <c r="Q12" i="32"/>
  <c r="N11" i="32"/>
  <c r="Q11" i="32"/>
  <c r="N10" i="32"/>
  <c r="Q10" i="32"/>
  <c r="C5" i="45" l="1"/>
  <c r="C4" i="45"/>
  <c r="C6" i="45" s="1"/>
  <c r="B6" i="45"/>
</calcChain>
</file>

<file path=xl/comments1.xml><?xml version="1.0" encoding="utf-8"?>
<comments xmlns="http://schemas.openxmlformats.org/spreadsheetml/2006/main">
  <authors>
    <author>Julian Mauricio Martínez</author>
  </authors>
  <commentList>
    <comment ref="AN79" authorId="0">
      <text>
        <r>
          <rPr>
            <b/>
            <sz val="9"/>
            <color indexed="81"/>
            <rFont val="Tahoma"/>
            <family val="2"/>
          </rPr>
          <t>RESTRICCIÓN POR HACIENDA EN $
3.000.000</t>
        </r>
        <r>
          <rPr>
            <sz val="9"/>
            <color indexed="81"/>
            <rFont val="Tahoma"/>
            <family val="2"/>
          </rPr>
          <t xml:space="preserve">
</t>
        </r>
      </text>
    </comment>
  </commentList>
</comments>
</file>

<file path=xl/sharedStrings.xml><?xml version="1.0" encoding="utf-8"?>
<sst xmlns="http://schemas.openxmlformats.org/spreadsheetml/2006/main" count="11851" uniqueCount="3011">
  <si>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</si>
  <si>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</si>
  <si>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</si>
  <si>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</si>
  <si>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</si>
  <si>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</si>
  <si>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</si>
  <si>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</si>
  <si>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</si>
  <si>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</si>
  <si>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</si>
  <si>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</si>
  <si>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</si>
  <si>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</si>
  <si>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</si>
  <si>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</si>
  <si>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</si>
  <si>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</si>
  <si>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</si>
  <si>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</si>
  <si>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</si>
  <si>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</si>
  <si>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</si>
  <si>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</si>
  <si>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</si>
  <si>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</si>
  <si>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</si>
  <si>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</si>
  <si>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</si>
  <si>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</si>
  <si>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</si>
  <si>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</si>
  <si>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</si>
  <si>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</si>
  <si>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</si>
  <si>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</si>
  <si>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</si>
  <si>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</si>
  <si>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</si>
  <si>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</si>
  <si>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</si>
  <si>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</si>
  <si>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</si>
  <si>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</si>
  <si>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</si>
  <si>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</si>
  <si>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</si>
  <si>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</si>
  <si>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</si>
  <si>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</si>
  <si>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</si>
  <si>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</si>
  <si>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</si>
  <si>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</si>
  <si>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</si>
  <si>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</si>
  <si>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</si>
  <si>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</si>
  <si>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</si>
  <si>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</si>
  <si>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</si>
  <si>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</si>
  <si>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</si>
  <si>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</si>
  <si>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</si>
  <si>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</si>
  <si>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</si>
  <si>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</si>
  <si>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</si>
  <si>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</si>
  <si>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</si>
  <si>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</si>
  <si>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Adquisición de elementos de Ferreteria para la entidad.</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</si>
  <si>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</si>
  <si>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</si>
  <si>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</si>
  <si>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</si>
  <si>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</si>
  <si>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</si>
  <si>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</si>
  <si>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</si>
  <si>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</si>
  <si>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</si>
  <si>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</si>
  <si>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</si>
  <si>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</si>
  <si>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</si>
  <si>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</si>
  <si>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</si>
  <si>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</si>
  <si>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</si>
  <si>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</si>
  <si>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</si>
  <si>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</si>
  <si>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</si>
  <si>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</si>
  <si>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</si>
  <si>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</si>
  <si>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</si>
  <si>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</si>
  <si>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</si>
  <si>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</si>
  <si>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</si>
  <si>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</si>
  <si>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</si>
  <si>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</si>
  <si>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</si>
  <si>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</si>
  <si>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</si>
  <si>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</si>
  <si>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</si>
  <si>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</si>
  <si>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</si>
  <si>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</si>
  <si>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</si>
  <si>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</si>
  <si>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</si>
  <si>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</si>
  <si>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</si>
  <si>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</si>
  <si>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</si>
  <si>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</si>
  <si>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</si>
  <si>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</si>
  <si>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</si>
  <si>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</si>
  <si>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</si>
  <si>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</si>
  <si>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</si>
  <si>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</si>
  <si>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</si>
  <si>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</si>
  <si>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</si>
  <si>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</si>
  <si>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</si>
  <si>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</si>
  <si>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</si>
  <si>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</si>
  <si>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</si>
  <si>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</si>
  <si>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</si>
  <si>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</si>
  <si>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</si>
  <si>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</si>
  <si>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</si>
  <si>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</si>
  <si>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</si>
  <si>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</si>
  <si>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</si>
  <si>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</si>
  <si>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</si>
  <si>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</si>
  <si>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</si>
  <si>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</si>
  <si>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</si>
  <si>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</si>
  <si>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</si>
  <si>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</si>
  <si>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</si>
  <si>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</si>
  <si>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</si>
  <si>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</si>
  <si>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</si>
  <si>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</si>
  <si>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</si>
  <si>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</si>
  <si>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</si>
  <si>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</si>
  <si>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</si>
  <si>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</si>
  <si>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</si>
  <si>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</si>
  <si>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</si>
  <si>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</si>
  <si>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</si>
  <si>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</si>
  <si>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</si>
  <si>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</si>
  <si>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</si>
  <si>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</si>
  <si>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</si>
  <si>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</si>
  <si>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</si>
  <si>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</si>
  <si>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</si>
  <si>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</si>
  <si>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</si>
  <si>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</si>
  <si>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SSF</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</si>
  <si>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</si>
  <si>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</si>
  <si>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</si>
  <si>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</si>
  <si>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</si>
  <si>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</si>
  <si>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</si>
  <si>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</si>
  <si>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</si>
  <si>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</si>
  <si>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</si>
  <si>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</si>
  <si>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</si>
  <si>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</si>
  <si>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</si>
  <si>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</si>
  <si>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</si>
  <si>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</si>
  <si>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</si>
  <si>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</si>
  <si>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</si>
  <si>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</si>
  <si>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</si>
  <si>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</si>
  <si>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</si>
  <si>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</si>
  <si>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</si>
  <si>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</si>
  <si>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</si>
  <si>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</si>
  <si>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</si>
  <si>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</si>
  <si>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</si>
  <si>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</si>
  <si>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</si>
  <si>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</si>
  <si>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</si>
  <si>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</si>
  <si>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</si>
  <si>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</si>
  <si>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</si>
  <si>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</si>
  <si>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</si>
  <si>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</si>
  <si>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</si>
  <si>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</si>
  <si>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</si>
  <si>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</si>
  <si>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</si>
  <si>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</si>
  <si>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</si>
  <si>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</si>
  <si>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</si>
  <si>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</si>
  <si>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</si>
  <si>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</si>
  <si>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</si>
  <si>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</si>
  <si>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</si>
  <si>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</si>
  <si>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</si>
  <si>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</si>
  <si>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</si>
  <si>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</si>
  <si>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</si>
  <si>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</si>
  <si>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</si>
  <si>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</si>
  <si>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</si>
  <si>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</si>
  <si>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</si>
  <si>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</si>
  <si>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</si>
  <si>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</si>
  <si>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</si>
  <si>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</si>
  <si>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</si>
  <si>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</si>
  <si>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</si>
  <si>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</si>
  <si>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</si>
  <si>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</si>
  <si>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</si>
  <si>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</si>
  <si>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</si>
  <si>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</si>
  <si>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</si>
  <si>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</si>
  <si>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</si>
  <si>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</si>
  <si>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</si>
  <si>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</si>
  <si>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</si>
  <si>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</si>
  <si>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</si>
  <si>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</si>
  <si>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</si>
  <si>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</si>
  <si>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</si>
  <si>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</si>
  <si>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</si>
  <si>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</si>
  <si>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</si>
  <si>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</si>
  <si>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</si>
  <si>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</si>
  <si>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</si>
  <si>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</si>
  <si>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</si>
  <si>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</si>
  <si>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</si>
  <si>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</si>
  <si>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</si>
  <si>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</si>
  <si>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</si>
  <si>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</si>
  <si>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</si>
  <si>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</si>
  <si>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</si>
  <si>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</si>
  <si>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</si>
  <si>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</si>
  <si>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</si>
  <si>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</si>
  <si>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</si>
  <si>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</si>
  <si>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</si>
  <si>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</si>
  <si>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</si>
  <si>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</si>
  <si>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</si>
  <si>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</si>
  <si>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</si>
  <si>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</si>
  <si>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</si>
  <si>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</si>
  <si>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</si>
  <si>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</si>
  <si>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</si>
  <si>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</si>
  <si>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</si>
  <si>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</si>
  <si>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</si>
  <si>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</si>
  <si>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</si>
  <si>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</si>
  <si>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</si>
  <si>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</si>
  <si>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</si>
  <si>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</si>
  <si>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</si>
  <si>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</si>
  <si>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</si>
  <si>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</si>
  <si>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</si>
  <si>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</si>
  <si>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</si>
  <si>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</si>
  <si>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</si>
  <si>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</si>
  <si>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</si>
  <si>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</si>
  <si>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</si>
  <si>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</si>
  <si>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</si>
  <si>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</si>
  <si>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</si>
  <si>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</si>
  <si>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</si>
  <si>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</si>
  <si>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</si>
  <si>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</si>
  <si>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</si>
  <si>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</si>
  <si>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</si>
  <si>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</si>
  <si>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</si>
  <si>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</si>
  <si>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</si>
  <si>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</si>
  <si>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</si>
  <si>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</si>
  <si>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</si>
  <si>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</si>
  <si>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</si>
  <si>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</si>
  <si>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</si>
  <si>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</si>
  <si>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</si>
  <si>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</si>
  <si>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</si>
  <si>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</si>
  <si>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</si>
  <si>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</si>
  <si>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</si>
  <si>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</si>
  <si>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</si>
  <si>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</si>
  <si>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</si>
  <si>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</si>
  <si>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</si>
  <si>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</si>
  <si>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</si>
  <si>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</si>
  <si>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</si>
  <si>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</si>
  <si>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</si>
  <si>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</si>
  <si>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</si>
  <si>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</si>
  <si>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</si>
  <si>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</si>
  <si>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</si>
  <si>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</si>
  <si>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</si>
  <si>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</si>
  <si>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</si>
  <si>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</si>
  <si>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</si>
  <si>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</si>
  <si>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</si>
  <si>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</si>
  <si>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</si>
  <si>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</si>
  <si>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</si>
  <si>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</si>
  <si>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</si>
  <si>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</si>
  <si>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</si>
  <si>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</si>
  <si>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</si>
  <si>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</si>
  <si>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</si>
  <si>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</si>
  <si>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</si>
  <si>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</si>
  <si>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</si>
  <si>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</si>
  <si>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</si>
  <si>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HONORARIOS</t>
  </si>
  <si>
    <t>FORTALECIMIENTO DE LOS SISTEMAS DE INFORMACIÓN DEL EMPLEO PÚBLICO EN COLOMBIA</t>
  </si>
  <si>
    <t>MEJORAMIENTO DE LA INFRAESTRUCTURA PROPIA DEL SECTOR</t>
  </si>
  <si>
    <t>TOTAL PRESUPUESTO</t>
  </si>
  <si>
    <t>Total Presupuesto de INVERSIÓN</t>
  </si>
  <si>
    <t>Inversión SSF</t>
  </si>
  <si>
    <t>Inversión CSF</t>
  </si>
  <si>
    <t>Transferencias Corrientes</t>
  </si>
  <si>
    <t>Gastos Generales</t>
  </si>
  <si>
    <t>RESUMEN</t>
  </si>
  <si>
    <t/>
  </si>
  <si>
    <t>DESARROLLO CAPACIDAD INSTITUCIONAL DE LAS ENTIDADES PÚBLICAS DEL ORDEN TERRITORIAL</t>
  </si>
  <si>
    <t>CSF</t>
  </si>
  <si>
    <t>10</t>
  </si>
  <si>
    <t>Nación</t>
  </si>
  <si>
    <t>1</t>
  </si>
  <si>
    <t>1403</t>
  </si>
  <si>
    <t>520</t>
  </si>
  <si>
    <t>C</t>
  </si>
  <si>
    <t>MEJORAMIENTO TECNOLÓGICO Y OPERATIVO DE LA GESTIÓN DOCUMENTAL DEL DEPARTAMENTO ADMINISTRATIVO DE LA FUNCIÓN PÚBLICA</t>
  </si>
  <si>
    <t>11</t>
  </si>
  <si>
    <t>1000</t>
  </si>
  <si>
    <t>5</t>
  </si>
  <si>
    <t>123</t>
  </si>
  <si>
    <t>MEJORAMIENTO FORTALECIMIENTO DE LA CAPACIDAD INSTITUCIONAL PARA EL DESARROLLO DE POLITICAS PUBLICAS. NACIONAL</t>
  </si>
  <si>
    <t>15</t>
  </si>
  <si>
    <t>4</t>
  </si>
  <si>
    <t>111</t>
  </si>
  <si>
    <t>OTRAS TRANSFERENCIAS - PREVIO CONCEPTO DGPPN</t>
  </si>
  <si>
    <t>20</t>
  </si>
  <si>
    <t>3</t>
  </si>
  <si>
    <t>6</t>
  </si>
  <si>
    <t>A</t>
  </si>
  <si>
    <t>2</t>
  </si>
  <si>
    <t>ADQUISICION DE BIENES Y SERVICIOS</t>
  </si>
  <si>
    <t>0</t>
  </si>
  <si>
    <t>9</t>
  </si>
  <si>
    <t>APR. VIGENTE</t>
  </si>
  <si>
    <t>APR. ADICIONADA</t>
  </si>
  <si>
    <t>APR. INICIAL</t>
  </si>
  <si>
    <t>DESCRIPCION</t>
  </si>
  <si>
    <t>SIT</t>
  </si>
  <si>
    <t>REC</t>
  </si>
  <si>
    <t>FUENTE</t>
  </si>
  <si>
    <t>SOR
ORD</t>
  </si>
  <si>
    <t>ORD</t>
  </si>
  <si>
    <t>OBJ</t>
  </si>
  <si>
    <t>SUB
CTA</t>
  </si>
  <si>
    <t>CTA</t>
  </si>
  <si>
    <t>TIPO</t>
  </si>
  <si>
    <t>DEPARTAMENTO ADMINISTRATIVO DE LA FUNCIÓN PÚBLICA</t>
  </si>
  <si>
    <t>SUBTOTAL GASTOS GENERALES</t>
  </si>
  <si>
    <t>SUBTOTALES  GASTOS DE PERSONAL</t>
  </si>
  <si>
    <t>REPORTE PRESUPUESTO - PLAN ANUAL DE ADQUSICIONES</t>
  </si>
  <si>
    <t>SUBTOTAL TRANSFERENCIAS CORRIENTES</t>
  </si>
  <si>
    <t>SUBTOTAL PROYECTOS DE INVERSIÓN</t>
  </si>
  <si>
    <t>OTROS SERVICIOS PERSONALES INDIRECTOS</t>
  </si>
  <si>
    <t>COMPRA DE EQUIPO</t>
  </si>
  <si>
    <t>SOFTWARE</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</si>
  <si>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</si>
  <si>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</si>
  <si>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</si>
  <si>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</si>
  <si>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</si>
  <si>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</si>
  <si>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</si>
  <si>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</si>
  <si>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</si>
  <si>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</si>
  <si>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</si>
  <si>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</si>
  <si>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SERVICIOS PUBLICOS</t>
  </si>
  <si>
    <t>ACUEDUCTO ALCANTARILLADO Y ASEO</t>
  </si>
  <si>
    <t>ENERGÍA</t>
  </si>
  <si>
    <t>TELEFONÍA MOVIL CELULAR</t>
  </si>
  <si>
    <t>SEGUROS</t>
  </si>
  <si>
    <t>COMUNICACIONES Y TRANSPORTES</t>
  </si>
  <si>
    <t>SEGURO DE INCENDIO</t>
  </si>
  <si>
    <t>OTROS SEGUROS</t>
  </si>
  <si>
    <t>ARRENDAMIENTOS</t>
  </si>
  <si>
    <t>ARRENDAMIENTOS DE BIENES INMUEBLES</t>
  </si>
  <si>
    <t>VIATICOS Y GASTOS DE VIAJE</t>
  </si>
  <si>
    <t>SERVICIOS DE BIENESTAR SOCIAL</t>
  </si>
  <si>
    <t>SERVICIOS PARA ESTIMULOS</t>
  </si>
  <si>
    <t>CAPACITACION, BIENESTAR SOCIAL Y ESTIMULOS</t>
  </si>
  <si>
    <t>OTROS COMPRA DE EQUIPO</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</si>
  <si>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</si>
  <si>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</si>
  <si>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</si>
  <si>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</si>
  <si>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</si>
  <si>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</si>
  <si>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</si>
  <si>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</si>
  <si>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</si>
  <si>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</si>
  <si>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</si>
  <si>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</si>
  <si>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</si>
  <si>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</si>
  <si>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SUBTOTAL SEGUROS</t>
  </si>
  <si>
    <t>SEGURO SUSTRACCION Y HURTO</t>
  </si>
  <si>
    <t>TELEFONÍA FIJA, FAX Y OTROS</t>
  </si>
  <si>
    <t>SUBTOTAL SERVICIOS PUBLICOS</t>
  </si>
  <si>
    <t>SUBTOTAL ARRENDAMIENTOS</t>
  </si>
  <si>
    <t>SUBTOTAL VIATICOS Y GASTOS DE VIAJE</t>
  </si>
  <si>
    <t>SUBTOTAL SERVICIOS PERSONALES INDIRECTOS</t>
  </si>
  <si>
    <t>MANTENIMIENTO DE BIENES INMUEBLES (ASCENSORES $8.074,767 + VENTANA$ 644,733)</t>
  </si>
  <si>
    <t>SUBTOTAL CAPACITACIÓN , BIENESTAR Y ESTÍMULOS</t>
  </si>
  <si>
    <t>OTROS GASTOS POR IMPRESOS Y PUBLICACIONES ( CNSC $800.000+BANCO EXITOS $800.000)</t>
  </si>
  <si>
    <t>DESCRIPCIÓN</t>
  </si>
  <si>
    <t>SUBTOTAL FUNCIONAMIENTO</t>
  </si>
  <si>
    <t>SUBTOTAL INVERSIÓN</t>
  </si>
  <si>
    <t>GRAN TOTAL</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</si>
  <si>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</si>
  <si>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</si>
  <si>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8</t>
  </si>
  <si>
    <t>25</t>
  </si>
  <si>
    <t>17</t>
  </si>
  <si>
    <t>18</t>
  </si>
  <si>
    <t>23</t>
  </si>
  <si>
    <t>12</t>
  </si>
  <si>
    <t>7</t>
  </si>
  <si>
    <t>13</t>
  </si>
  <si>
    <t>21</t>
  </si>
  <si>
    <t>NACIÓN</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</si>
  <si>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</si>
  <si>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</si>
  <si>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</si>
  <si>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</si>
  <si>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PAGOS NO ASOCIADOS A CONTRATOS</t>
  </si>
  <si>
    <t>EDICION DE LIBROS,REVISTAS,ESCRITOS Y TRABAJOS TIPOGRAFICOS</t>
  </si>
  <si>
    <t>ADQUISICION DE LIBROS Y REVISTAS</t>
  </si>
  <si>
    <t>EJECUCIÓN VIGENCIA 2013</t>
  </si>
  <si>
    <t>EJECUCIÓN VIGENCIA 2014</t>
  </si>
  <si>
    <t>EJECUCIÓN VIGENCIA 2015</t>
  </si>
  <si>
    <t>VIGENCIA 2016</t>
  </si>
  <si>
    <t>EQUIPO DE SISTEMAS</t>
  </si>
  <si>
    <t>MOBILIARIO Y ENSERES</t>
  </si>
  <si>
    <t>SUBTOTAL MUEBLES Y ENSERES</t>
  </si>
  <si>
    <t>UTENSILIOS DE CAFETERÍA</t>
  </si>
  <si>
    <t>ARRENDAMIENTOS DE BIENES MUEBLES</t>
  </si>
  <si>
    <t>14</t>
  </si>
  <si>
    <t>SUBTOTAL IMPRESOS Y PUBLICACIONES</t>
  </si>
  <si>
    <t>SERVICIOS DE CAPACITACIÓN</t>
  </si>
  <si>
    <t>EQUIPO DE COMUNICACIONES</t>
  </si>
  <si>
    <t>EQUIPO Y MAQUINARIA PARA OFICINA</t>
  </si>
  <si>
    <t>PAPELERÍA UTILES DE ESCRITORIO Y OFICINA (INCLUYE TONER )</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</si>
  <si>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</si>
  <si>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</si>
  <si>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</si>
  <si>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</si>
  <si>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</si>
  <si>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</si>
  <si>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</si>
  <si>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</si>
  <si>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</si>
  <si>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</si>
  <si>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</si>
  <si>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</si>
  <si>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</si>
  <si>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</si>
  <si>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</si>
  <si>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</si>
  <si>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</si>
  <si>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</si>
  <si>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</si>
  <si>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</si>
  <si>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</si>
  <si>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</si>
  <si>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</si>
  <si>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</si>
  <si>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</si>
  <si>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</si>
  <si>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</si>
  <si>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</si>
  <si>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</si>
  <si>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</si>
  <si>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</si>
  <si>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</si>
  <si>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</si>
  <si>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</si>
  <si>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</si>
  <si>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</si>
  <si>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</si>
  <si>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</si>
  <si>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</si>
  <si>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</si>
  <si>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</si>
  <si>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</si>
  <si>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</si>
  <si>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</si>
  <si>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</si>
  <si>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</si>
  <si>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</si>
  <si>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</si>
  <si>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</si>
  <si>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</si>
  <si>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</si>
  <si>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</si>
  <si>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</si>
  <si>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</si>
  <si>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</si>
  <si>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</si>
  <si>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</si>
  <si>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</si>
  <si>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</si>
  <si>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</si>
  <si>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</si>
  <si>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</si>
  <si>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</si>
  <si>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</si>
  <si>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</si>
  <si>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</si>
  <si>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</si>
  <si>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</si>
  <si>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</si>
  <si>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</si>
  <si>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</si>
  <si>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</si>
  <si>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</si>
  <si>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MANTENIMIENTO DE BIENES MUEBLES, EQUIPOS Y ENSERES (HIDROSANITARIOS $8.150.000)</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</si>
  <si>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</si>
  <si>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</si>
  <si>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</si>
  <si>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</si>
  <si>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</si>
  <si>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</si>
  <si>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</si>
  <si>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</si>
  <si>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</si>
  <si>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</si>
  <si>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</si>
  <si>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</si>
  <si>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</si>
  <si>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</si>
  <si>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</si>
  <si>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</si>
  <si>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</si>
  <si>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</si>
  <si>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</si>
  <si>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</si>
  <si>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</si>
  <si>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</si>
  <si>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</si>
  <si>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</si>
  <si>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</si>
  <si>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</si>
  <si>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</si>
  <si>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</si>
  <si>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</si>
  <si>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</si>
  <si>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</si>
  <si>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</si>
  <si>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</si>
  <si>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</si>
  <si>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</si>
  <si>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</si>
  <si>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</si>
  <si>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</si>
  <si>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</si>
  <si>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</si>
  <si>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</si>
  <si>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</si>
  <si>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</si>
  <si>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</si>
  <si>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</si>
  <si>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</si>
  <si>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</si>
  <si>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</si>
  <si>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</si>
  <si>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</si>
  <si>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</si>
  <si>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</si>
  <si>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</si>
  <si>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</si>
  <si>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</si>
  <si>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</si>
  <si>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</si>
  <si>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</si>
  <si>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</si>
  <si>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</si>
  <si>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</si>
  <si>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</si>
  <si>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</si>
  <si>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</si>
  <si>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</si>
  <si>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</si>
  <si>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</si>
  <si>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</si>
  <si>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</si>
  <si>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</si>
  <si>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</si>
  <si>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</si>
  <si>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</si>
  <si>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</si>
  <si>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</si>
  <si>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</si>
  <si>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</si>
  <si>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</si>
  <si>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</si>
  <si>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</si>
  <si>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</si>
  <si>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</si>
  <si>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</si>
  <si>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</si>
  <si>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</si>
  <si>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</si>
  <si>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</si>
  <si>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</si>
  <si>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</si>
  <si>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</si>
  <si>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</si>
  <si>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</si>
  <si>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</si>
  <si>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</si>
  <si>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</si>
  <si>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</si>
  <si>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</si>
  <si>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</si>
  <si>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</si>
  <si>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</si>
  <si>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</si>
  <si>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</si>
  <si>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</si>
  <si>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</si>
  <si>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</si>
  <si>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</si>
  <si>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</si>
  <si>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</si>
  <si>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</si>
  <si>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</si>
  <si>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</si>
  <si>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</si>
  <si>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</si>
  <si>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</si>
  <si>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</si>
  <si>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</si>
  <si>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</si>
  <si>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</si>
  <si>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</si>
  <si>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</si>
  <si>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</si>
  <si>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</si>
  <si>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</si>
  <si>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</si>
  <si>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</si>
  <si>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</si>
  <si>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</si>
  <si>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</si>
  <si>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</si>
  <si>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</si>
  <si>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</si>
  <si>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</si>
  <si>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</si>
  <si>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</si>
  <si>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</si>
  <si>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</si>
  <si>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</si>
  <si>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</si>
  <si>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</si>
  <si>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</si>
  <si>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</si>
  <si>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</si>
  <si>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</si>
  <si>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</si>
  <si>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</si>
  <si>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</si>
  <si>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</si>
  <si>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</si>
  <si>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</si>
  <si>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</si>
  <si>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</si>
  <si>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</si>
  <si>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IMPUESTOS Y MULTAS</t>
  </si>
  <si>
    <t>IMPUESTO PREDIAL</t>
  </si>
  <si>
    <t>SALDO PARA COMPROMETER</t>
  </si>
  <si>
    <t>IMPUESTO DE VEHÍCULOS</t>
  </si>
  <si>
    <t>SUBTOTAL IMPUESTOS Y MULTAS</t>
  </si>
  <si>
    <t>MENOS APR. REDUCIDA(AZUL APROPIAC BLOQUEADA)</t>
  </si>
  <si>
    <t>Gastos de Personal -Servicios personales indirectos</t>
  </si>
  <si>
    <t>PRUEBA VALORES</t>
  </si>
  <si>
    <t>Total Funcionamiento PAA</t>
  </si>
  <si>
    <t>PRUEBAS VALORES</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</si>
  <si>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</si>
  <si>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</si>
  <si>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</si>
  <si>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</si>
  <si>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</si>
  <si>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</si>
  <si>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</si>
  <si>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</si>
  <si>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</si>
  <si>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</si>
  <si>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</si>
  <si>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</si>
  <si>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</si>
  <si>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</si>
  <si>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</si>
  <si>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</si>
  <si>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OBSERVACIONES</t>
  </si>
  <si>
    <t>DIFERENCIA VALORES DE REGISTRO EN PAA</t>
  </si>
  <si>
    <t>2 0 4 4 18 PRODUCTOS DE CAFETERIA Y RESTAURANTE ($5.740.453)</t>
  </si>
  <si>
    <t>2 0 4 4 17 PRODUCTOS DE ASEO Y LIMPIEZA ($ 3.101.205)  Y VER SALDO POR 2 0 4 4 18 PRODUCTOS DE CAFETERIA Y RESTAURANTE</t>
  </si>
  <si>
    <t>2 0 4 6 5 SERVICIOS DE TRANSMISIÓN DE INFORMACIÓN</t>
  </si>
  <si>
    <t>VALORES CONTRATADOS  DEL PAA</t>
  </si>
  <si>
    <t>DIFERENCIA</t>
  </si>
  <si>
    <t>Luz mary Riaño Tel 3344080 Ext. 110</t>
  </si>
  <si>
    <t>VALOR INICIAL REGISTRO PAA</t>
  </si>
  <si>
    <r>
      <t>REPUESTOS (FERRETERIA $5.500.000) +</t>
    </r>
    <r>
      <rPr>
        <b/>
        <sz val="8"/>
        <color rgb="FFFF0000"/>
        <rFont val="Arial"/>
        <family val="2"/>
      </rPr>
      <t xml:space="preserve"> EXTINTORES $100.000+ FOTOCOPIADORAS $700.000</t>
    </r>
  </si>
  <si>
    <t>MANTENIMIENTO EQUIPO COMUNICACIÓN Y COMPUTACION ( CENTRAL $3,990,000+ TURBO WEB $702.746.</t>
  </si>
  <si>
    <t>OTROS COMUNICACIONES Y TRANSPORTE (MEDIOS MAGNETICOS $3.500.000)</t>
  </si>
  <si>
    <t>INCLUIR EN TRASLADO 
   $8 MILLONES. PORQUE EL VALOR PROMEDIO ES DE $76.000.000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</si>
  <si>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</si>
  <si>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</si>
  <si>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</si>
  <si>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</si>
  <si>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</si>
  <si>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</si>
  <si>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</si>
  <si>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</si>
  <si>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</si>
  <si>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</si>
  <si>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</si>
  <si>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</si>
  <si>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</si>
  <si>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</si>
  <si>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</si>
  <si>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</si>
  <si>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</si>
  <si>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</si>
  <si>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</si>
  <si>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</si>
  <si>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</si>
  <si>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</si>
  <si>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</si>
  <si>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</si>
  <si>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</si>
  <si>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</si>
  <si>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</si>
  <si>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</si>
  <si>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</si>
  <si>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RUBROS  PRESUPUESTALES</t>
  </si>
  <si>
    <t>DENOMNACIÓN</t>
  </si>
  <si>
    <t>OTROS MATERIALES Y SUMINISTROS ($20.000.000)</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</si>
  <si>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</si>
  <si>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</si>
  <si>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</si>
  <si>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</si>
  <si>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</si>
  <si>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</si>
  <si>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</si>
  <si>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</si>
  <si>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</si>
  <si>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</si>
  <si>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</si>
  <si>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</si>
  <si>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</si>
  <si>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</si>
  <si>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</si>
  <si>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</si>
  <si>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</si>
  <si>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</si>
  <si>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</si>
  <si>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</si>
  <si>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</si>
  <si>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</si>
  <si>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</si>
  <si>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</si>
  <si>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</si>
  <si>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</si>
  <si>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</si>
  <si>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</si>
  <si>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</si>
  <si>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</si>
  <si>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</si>
  <si>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</si>
  <si>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</si>
  <si>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</si>
  <si>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</si>
  <si>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</si>
  <si>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</si>
  <si>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</si>
  <si>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TOTALES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</si>
  <si>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</si>
  <si>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</si>
  <si>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</si>
  <si>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</si>
  <si>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</si>
  <si>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</si>
  <si>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</si>
  <si>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</si>
  <si>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</si>
  <si>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</si>
  <si>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</si>
  <si>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</si>
  <si>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</si>
  <si>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</si>
  <si>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</si>
  <si>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</si>
  <si>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</si>
  <si>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</si>
  <si>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</si>
  <si>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</si>
  <si>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</si>
  <si>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</si>
  <si>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</si>
  <si>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</si>
  <si>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</si>
  <si>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</si>
  <si>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</si>
  <si>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</si>
  <si>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</si>
  <si>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</si>
  <si>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</si>
  <si>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</si>
  <si>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</si>
  <si>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</si>
  <si>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</si>
  <si>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</si>
  <si>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</si>
  <si>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</si>
  <si>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</si>
  <si>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</si>
  <si>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</si>
  <si>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</si>
  <si>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</si>
  <si>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</si>
  <si>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</si>
  <si>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</si>
  <si>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</si>
  <si>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</si>
  <si>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</si>
  <si>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</si>
  <si>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</si>
  <si>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</si>
  <si>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ADQUISICIÓN BIENES Y SERVICIOS</t>
  </si>
  <si>
    <t>SERVICIOS PERSONALES INDIRECTOS (PARA PAA)</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</si>
  <si>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</si>
  <si>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</si>
  <si>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</si>
  <si>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</si>
  <si>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</si>
  <si>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</si>
  <si>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</si>
  <si>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</si>
  <si>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</si>
  <si>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</si>
  <si>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Adquisición de solución de Voz IP y servicios de colaboración según lo específicado en la ficha técnica</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</si>
  <si>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</si>
  <si>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</si>
  <si>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</si>
  <si>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</si>
  <si>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</si>
  <si>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</si>
  <si>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</si>
  <si>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</si>
  <si>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</si>
  <si>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</si>
  <si>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</si>
  <si>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</si>
  <si>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</si>
  <si>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</si>
  <si>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</si>
  <si>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</si>
  <si>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</si>
  <si>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</si>
  <si>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</si>
  <si>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</si>
  <si>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</si>
  <si>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</si>
  <si>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</si>
  <si>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</si>
  <si>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SALDO PARA GASTOS</t>
  </si>
  <si>
    <t xml:space="preserve">MENOS GASTOS CAJA MENOR 2016 </t>
  </si>
  <si>
    <t>TOTAL ASIGNADO POR RUBRO POR AÑO</t>
  </si>
  <si>
    <t xml:space="preserve">GRAN TOTAL </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</si>
  <si>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</si>
  <si>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</si>
  <si>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</si>
  <si>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</si>
  <si>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</si>
  <si>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</si>
  <si>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</si>
  <si>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</si>
  <si>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</si>
  <si>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</si>
  <si>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</si>
  <si>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</si>
  <si>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</si>
  <si>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</si>
  <si>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</si>
  <si>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</si>
  <si>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</si>
  <si>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</si>
  <si>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</si>
  <si>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</si>
  <si>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</si>
  <si>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</si>
  <si>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</si>
  <si>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</si>
  <si>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</si>
  <si>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</si>
  <si>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</si>
  <si>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</si>
  <si>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</si>
  <si>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</si>
  <si>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</si>
  <si>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</si>
  <si>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</si>
  <si>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</si>
  <si>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</si>
  <si>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</si>
  <si>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</si>
  <si>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</si>
  <si>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</si>
  <si>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</si>
  <si>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</si>
  <si>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</si>
  <si>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</si>
  <si>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</si>
  <si>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</si>
  <si>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</si>
  <si>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</si>
  <si>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</si>
  <si>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</si>
  <si>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</si>
  <si>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</si>
  <si>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</si>
  <si>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</si>
  <si>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</si>
  <si>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</si>
  <si>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</si>
  <si>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</si>
  <si>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</si>
  <si>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REPUESTOS (FERRETERIA $5.500.000) + EXTINTORES $100.000+ FOTOCOPIADORAS $700.000</t>
  </si>
  <si>
    <t>SEGURO RESPONSABILIDAD CIVIL (GENERAL+SOAT)</t>
  </si>
  <si>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</si>
  <si>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</si>
  <si>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</si>
  <si>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</si>
  <si>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</si>
  <si>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</si>
  <si>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</si>
  <si>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</si>
  <si>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</si>
  <si>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</si>
  <si>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</si>
  <si>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</si>
  <si>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</si>
  <si>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</si>
  <si>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</si>
  <si>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</si>
  <si>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</si>
  <si>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</si>
  <si>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</si>
  <si>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</si>
  <si>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</si>
  <si>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</si>
  <si>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</si>
  <si>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</si>
  <si>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</si>
  <si>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</si>
  <si>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MANTENIMIENTO DE BIENES INMUEBLES</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</si>
  <si>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</si>
  <si>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</si>
  <si>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</si>
  <si>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</si>
  <si>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</si>
  <si>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</si>
  <si>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</si>
  <si>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</si>
  <si>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</si>
  <si>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</si>
  <si>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</si>
  <si>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</si>
  <si>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</si>
  <si>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</si>
  <si>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</si>
  <si>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</si>
  <si>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</si>
  <si>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</si>
  <si>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</si>
  <si>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</si>
  <si>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</si>
  <si>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</si>
  <si>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</si>
  <si>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</si>
  <si>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</si>
  <si>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</si>
  <si>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</si>
  <si>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</si>
  <si>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</si>
  <si>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</si>
  <si>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</si>
  <si>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</si>
  <si>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</si>
  <si>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</si>
  <si>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</si>
  <si>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</si>
  <si>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</si>
  <si>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</si>
  <si>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</si>
  <si>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</si>
  <si>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</si>
  <si>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</si>
  <si>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</si>
  <si>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</si>
  <si>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</si>
  <si>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</si>
  <si>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</si>
  <si>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</si>
  <si>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</si>
  <si>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</si>
  <si>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</si>
  <si>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</si>
  <si>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</si>
  <si>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</si>
  <si>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</si>
  <si>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</si>
  <si>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</si>
  <si>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</si>
  <si>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</si>
  <si>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</si>
  <si>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</si>
  <si>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</si>
  <si>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</si>
  <si>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</si>
  <si>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</si>
  <si>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</si>
  <si>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</si>
  <si>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</si>
  <si>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</si>
  <si>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</si>
  <si>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</si>
  <si>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</si>
  <si>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</si>
  <si>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</si>
  <si>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</si>
  <si>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</si>
  <si>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</si>
  <si>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</si>
  <si>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</si>
  <si>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</si>
  <si>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</si>
  <si>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</si>
  <si>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</si>
  <si>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</si>
  <si>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</si>
  <si>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</si>
  <si>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</si>
  <si>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</si>
  <si>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</si>
  <si>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</si>
  <si>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</si>
  <si>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</si>
  <si>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</si>
  <si>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</si>
  <si>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</si>
  <si>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</si>
  <si>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</si>
  <si>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</si>
  <si>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</si>
  <si>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</si>
  <si>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</si>
  <si>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</si>
  <si>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</si>
  <si>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</si>
  <si>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</si>
  <si>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</si>
  <si>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</si>
  <si>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</si>
  <si>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</si>
  <si>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</si>
  <si>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</si>
  <si>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</si>
  <si>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</si>
  <si>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</si>
  <si>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</si>
  <si>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</si>
  <si>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</si>
  <si>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</si>
  <si>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</si>
  <si>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</si>
  <si>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</si>
  <si>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</si>
  <si>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</si>
  <si>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</si>
  <si>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</si>
  <si>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</si>
  <si>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</si>
  <si>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</si>
  <si>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</si>
  <si>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</si>
  <si>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</si>
  <si>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</si>
  <si>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</si>
  <si>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</si>
  <si>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</si>
  <si>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</si>
  <si>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</si>
  <si>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</si>
  <si>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</si>
  <si>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</si>
  <si>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</si>
  <si>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</si>
  <si>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</si>
  <si>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</si>
  <si>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</si>
  <si>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</si>
  <si>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</si>
  <si>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</si>
  <si>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</si>
  <si>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</si>
  <si>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</si>
  <si>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</si>
  <si>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</si>
  <si>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</si>
  <si>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</si>
  <si>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</si>
  <si>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</si>
  <si>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</si>
  <si>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</si>
  <si>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</si>
  <si>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</si>
  <si>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</si>
  <si>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</si>
  <si>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</si>
  <si>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</si>
  <si>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</si>
  <si>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</si>
  <si>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</si>
  <si>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TOTAL</t>
  </si>
  <si>
    <t xml:space="preserve">
2 0 4 4 20 REPUESTOS (100.000)</t>
  </si>
  <si>
    <t>consumos 1er trimestre 2016</t>
  </si>
  <si>
    <t xml:space="preserve">consumo 1er trimestre </t>
  </si>
  <si>
    <t>disponible resto vigencia</t>
  </si>
  <si>
    <t>Aprop. Inicial</t>
  </si>
  <si>
    <t>apropiacion despues de traslados</t>
  </si>
  <si>
    <t>traslados 21/01/2016</t>
  </si>
  <si>
    <t>Saldo 04/04/2016</t>
  </si>
  <si>
    <t>traslados 04/04/2016</t>
  </si>
  <si>
    <t>saldo</t>
  </si>
  <si>
    <t>CUENTA</t>
  </si>
  <si>
    <t>SUBCUENTA</t>
  </si>
  <si>
    <t>ORDINAL</t>
  </si>
  <si>
    <t>SUBORD</t>
  </si>
  <si>
    <t>RECURSO</t>
  </si>
  <si>
    <t xml:space="preserve">  </t>
  </si>
  <si>
    <t>COMUNICACIONES Y TRANSPORTE</t>
  </si>
  <si>
    <t>MANTENIMIENTO</t>
  </si>
  <si>
    <t>% ejecución</t>
  </si>
  <si>
    <t>valores asignados para el 2016</t>
  </si>
  <si>
    <t>RUBROS DE CAJA MENOR</t>
  </si>
  <si>
    <t>VIATICOS Y GASTOS DE VIAJE INTERIOR</t>
  </si>
  <si>
    <t>COMPRA DE QUIPO</t>
  </si>
  <si>
    <t>APROPIACION AÑO 2016</t>
  </si>
  <si>
    <t>SALDO POR EJECUTAR  AÑO 2016</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</si>
  <si>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</si>
  <si>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</si>
  <si>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</si>
  <si>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</si>
  <si>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</si>
  <si>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</si>
  <si>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</si>
  <si>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</si>
  <si>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</si>
  <si>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</si>
  <si>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</si>
  <si>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</si>
  <si>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</si>
  <si>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</si>
  <si>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</si>
  <si>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</si>
  <si>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</si>
  <si>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</si>
  <si>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</si>
  <si>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</si>
  <si>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</si>
  <si>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</si>
  <si>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</si>
  <si>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</si>
  <si>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</si>
  <si>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</si>
  <si>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</si>
  <si>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</si>
  <si>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</si>
  <si>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</si>
  <si>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</si>
  <si>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</si>
  <si>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</si>
  <si>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</si>
  <si>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</si>
  <si>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</si>
  <si>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%EJECUCIÓN PRIMER  TRIMETRE POR RUBRO</t>
  </si>
  <si>
    <t>%EJECUCIÓN PRIMER  TRIMETRE SOBRE TOTAL</t>
  </si>
  <si>
    <t>% MÁXIMO GASTO POR TRIMESTRE</t>
  </si>
  <si>
    <t>7,5 MESES</t>
  </si>
  <si>
    <t>Prestar los servicios profesionales en la Dirección de Empleo Público  para apoyar la gestión de la información</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</si>
  <si>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</si>
  <si>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</si>
  <si>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</si>
  <si>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</si>
  <si>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</si>
  <si>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</si>
  <si>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</si>
  <si>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</si>
  <si>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</si>
  <si>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</si>
  <si>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</si>
  <si>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</si>
  <si>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</si>
  <si>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</si>
  <si>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</si>
  <si>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</si>
  <si>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</si>
  <si>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</si>
  <si>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</si>
  <si>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</si>
  <si>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</si>
  <si>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</si>
  <si>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</si>
  <si>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</si>
  <si>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</si>
  <si>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</si>
  <si>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</si>
  <si>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</si>
  <si>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</si>
  <si>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</si>
  <si>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</si>
  <si>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</si>
  <si>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</si>
  <si>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</si>
  <si>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</si>
  <si>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</si>
  <si>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</si>
  <si>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</si>
  <si>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</si>
  <si>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</si>
  <si>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</si>
  <si>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</si>
  <si>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</si>
  <si>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</si>
  <si>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</si>
  <si>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</si>
  <si>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</si>
  <si>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</si>
  <si>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</si>
  <si>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</si>
  <si>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</si>
  <si>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</si>
  <si>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</si>
  <si>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</si>
  <si>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</si>
  <si>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</si>
  <si>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</si>
  <si>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</si>
  <si>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</si>
  <si>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</si>
  <si>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</si>
  <si>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</si>
  <si>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</si>
  <si>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</si>
  <si>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</si>
  <si>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</si>
  <si>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</si>
  <si>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</si>
  <si>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</si>
  <si>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proceso de Reingeniería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</si>
  <si>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</si>
  <si>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</si>
  <si>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</si>
  <si>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</si>
  <si>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</si>
  <si>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</si>
  <si>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</si>
  <si>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</si>
  <si>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</si>
  <si>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</si>
  <si>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</si>
  <si>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</si>
  <si>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</si>
  <si>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</si>
  <si>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</si>
  <si>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</si>
  <si>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</si>
  <si>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</si>
  <si>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GASTOS A 27 DE ABRIL</t>
  </si>
  <si>
    <t>VALOR MÁXIMO GASTO PREVISTO PARA EL PERIODO</t>
  </si>
  <si>
    <t>ASIGNADO CAJA MENOR POR SUBRUBROS POR EL AÑO 2016</t>
  </si>
  <si>
    <t>DEBITAR</t>
  </si>
  <si>
    <t>CONTRA ACREDITAR</t>
  </si>
  <si>
    <t>CDP INICIAL DE CAJA MENOR</t>
  </si>
  <si>
    <t>REINTEGROS CAJA MENOR (Manual)</t>
  </si>
  <si>
    <t>PRUEBAS</t>
  </si>
  <si>
    <t>TOPES PARA REINTEGRO  AÑO 2016</t>
  </si>
  <si>
    <t>ADICION A CONTRATOS Y CIRCULAR 01 2016 VIATICOS</t>
  </si>
  <si>
    <t>SALDO POR EJECUTAR</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</si>
  <si>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</si>
  <si>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</si>
  <si>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</si>
  <si>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</si>
  <si>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</si>
  <si>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</si>
  <si>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</si>
  <si>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</si>
  <si>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</si>
  <si>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</si>
  <si>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</si>
  <si>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</si>
  <si>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</si>
  <si>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</si>
  <si>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</si>
  <si>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</si>
  <si>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</si>
  <si>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</si>
  <si>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</si>
  <si>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</si>
  <si>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</si>
  <si>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</si>
  <si>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</si>
  <si>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</si>
  <si>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</si>
  <si>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</si>
  <si>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</si>
  <si>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</si>
  <si>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</si>
  <si>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</si>
  <si>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</si>
  <si>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</si>
  <si>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</si>
  <si>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</si>
  <si>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</si>
  <si>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</si>
  <si>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</si>
  <si>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</si>
  <si>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</si>
  <si>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</si>
  <si>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</si>
  <si>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</si>
  <si>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</si>
  <si>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</si>
  <si>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</si>
  <si>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</si>
  <si>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</si>
  <si>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</si>
  <si>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</si>
  <si>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</si>
  <si>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</si>
  <si>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</si>
  <si>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</si>
  <si>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</si>
  <si>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</si>
  <si>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</si>
  <si>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</si>
  <si>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</si>
  <si>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</si>
  <si>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</si>
  <si>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</si>
  <si>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</si>
  <si>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</si>
  <si>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</si>
  <si>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</si>
  <si>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</si>
  <si>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</si>
  <si>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</si>
  <si>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</si>
  <si>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</si>
  <si>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</si>
  <si>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</si>
  <si>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</si>
  <si>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</si>
  <si>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</si>
  <si>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</si>
  <si>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</si>
  <si>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</si>
  <si>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</si>
  <si>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</si>
  <si>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</si>
  <si>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</si>
  <si>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</si>
  <si>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</si>
  <si>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</si>
  <si>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</si>
  <si>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</si>
  <si>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</si>
  <si>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</si>
  <si>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</si>
  <si>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</si>
  <si>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</si>
  <si>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</si>
  <si>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</si>
  <si>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</si>
  <si>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</si>
  <si>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VALOR ESTIMADO EN PAA</t>
  </si>
  <si>
    <t>VALOR CONTRATADO DEL PAA</t>
  </si>
  <si>
    <t>% EJECUCIÓN POR RUBRO</t>
  </si>
  <si>
    <t>% PROMEDIO DE AVANCE EN LA EJECUCIÓN DEL PAA.</t>
  </si>
  <si>
    <t>PRESUPUESTO PAA</t>
  </si>
  <si>
    <t>SALDO TOTAL  DISPONIBLE DEL PROYECTO</t>
  </si>
  <si>
    <t>% EJECUCIÓN del PAA POR RUBRO</t>
  </si>
  <si>
    <t xml:space="preserve">Realizar el desarrollo del concepto gráfico para el diseño del la red social  de servidores públicosGestor Normativo en el Espacio Virtual de Asesoría – EVA. </t>
  </si>
  <si>
    <t>COORDINADOR GRUPO GESTIÓN ADMINISTRATIVA</t>
  </si>
  <si>
    <t>SUBTOTAL POR PROGRAMAR EN EL PAA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</si>
  <si>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</si>
  <si>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</si>
  <si>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</si>
  <si>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</si>
  <si>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</si>
  <si>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</si>
  <si>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</si>
  <si>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</si>
  <si>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</si>
  <si>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Año Fiscal:</t>
  </si>
  <si>
    <t>Vigencia:</t>
  </si>
  <si>
    <t>Actual</t>
  </si>
  <si>
    <t>Periodo:</t>
  </si>
  <si>
    <t>UEJ</t>
  </si>
  <si>
    <t>NOMBRE UEJ</t>
  </si>
  <si>
    <t>ITEM</t>
  </si>
  <si>
    <t>SUB
ITEM</t>
  </si>
  <si>
    <t>APR. REDUCIDA</t>
  </si>
  <si>
    <t>APR BLOQUEADA</t>
  </si>
  <si>
    <t>CDP</t>
  </si>
  <si>
    <t>APR. DISPONIBLE</t>
  </si>
  <si>
    <t>COMPROMISO</t>
  </si>
  <si>
    <t>OBLIGACION</t>
  </si>
  <si>
    <t>ORDEN PAGO</t>
  </si>
  <si>
    <t>PAGOS</t>
  </si>
  <si>
    <t>05-01-01</t>
  </si>
  <si>
    <t>DEPARTAMENTO FUNCION PUBLICA - GESTION GENERAL</t>
  </si>
  <si>
    <t>A-1-0-1-1-1</t>
  </si>
  <si>
    <t>SUELDOS</t>
  </si>
  <si>
    <t>A-1-0-1-1-2</t>
  </si>
  <si>
    <t>SUELDOS DE VACACIONES</t>
  </si>
  <si>
    <t>A-1-0-1-1-4</t>
  </si>
  <si>
    <t>INCAPACIDADES Y LICENCIA DE MATERNIDAD</t>
  </si>
  <si>
    <t>A-1-0-1-4-1</t>
  </si>
  <si>
    <t>PRIMA TECNICA SALARIAL</t>
  </si>
  <si>
    <t>A-1-0-1-4-2</t>
  </si>
  <si>
    <t>PRIMA TECNICA NO SALARIAL</t>
  </si>
  <si>
    <t>A-1-0-1-5-1</t>
  </si>
  <si>
    <t>GASTOS DE REPRESENTACION</t>
  </si>
  <si>
    <t>A-1-0-1-5-2</t>
  </si>
  <si>
    <t>BONIFICACION POR SERVICIOS PRESTADOS</t>
  </si>
  <si>
    <t>A-1-0-1-5-5</t>
  </si>
  <si>
    <t>BONIFICACION ESPECIAL DE RECREACION</t>
  </si>
  <si>
    <t>A-1-0-1-5-12</t>
  </si>
  <si>
    <t>SUBSIDIO DE ALIMENTACION</t>
  </si>
  <si>
    <t>A-1-0-1-5-13</t>
  </si>
  <si>
    <t>AUXILIO DE TRANSPORTE</t>
  </si>
  <si>
    <t>A-1-0-1-5-14</t>
  </si>
  <si>
    <t>PRIMA DE SERVICIO</t>
  </si>
  <si>
    <t>A-1-0-1-5-15</t>
  </si>
  <si>
    <t>PRIMA DE VACACIONES</t>
  </si>
  <si>
    <t>A-1-0-1-5-16</t>
  </si>
  <si>
    <t>16</t>
  </si>
  <si>
    <t>PRIMA DE NAVIDAD</t>
  </si>
  <si>
    <t>A-1-0-1-5-19</t>
  </si>
  <si>
    <t>19</t>
  </si>
  <si>
    <t>PRIMA DE RIESGO</t>
  </si>
  <si>
    <t>A-1-0-1-5-47</t>
  </si>
  <si>
    <t>47</t>
  </si>
  <si>
    <t>PRIMA DE COORDINACION</t>
  </si>
  <si>
    <t>A-1-0-1-5-92</t>
  </si>
  <si>
    <t>92</t>
  </si>
  <si>
    <t>BONIFICACION DE DIRECCION</t>
  </si>
  <si>
    <t>A-1-0-1-9-1</t>
  </si>
  <si>
    <t>HORAS EXTRAS</t>
  </si>
  <si>
    <t>A-1-0-1-9-3</t>
  </si>
  <si>
    <t>INDEMNIZACION POR VACACIONES</t>
  </si>
  <si>
    <t>A-1-0-2-12</t>
  </si>
  <si>
    <t>A-1-0-2-100</t>
  </si>
  <si>
    <t>100</t>
  </si>
  <si>
    <t>A-1-0-5-1-1</t>
  </si>
  <si>
    <t>CAJAS DE COMPENSACION PRIVADAS</t>
  </si>
  <si>
    <t>A-1-0-5-1-3</t>
  </si>
  <si>
    <t>FONDOS ADMINISTRADORES DE PENSIONES PRIVADOS</t>
  </si>
  <si>
    <t>A-1-0-5-1-4</t>
  </si>
  <si>
    <t>EMPRESAS PRIVADAS PROMOTORAS DE SALUD</t>
  </si>
  <si>
    <t>A-1-0-5-2-2</t>
  </si>
  <si>
    <t>FONDO NACIONAL DEL AHORRO</t>
  </si>
  <si>
    <t>A-1-0-5-2-3</t>
  </si>
  <si>
    <t>FONDOS ADMINISTRADORES DE PENSIONES PUBLICOS</t>
  </si>
  <si>
    <t>A-1-0-5-2-6</t>
  </si>
  <si>
    <t>EMPRESAS PUBLICAS PROMOTORAS DE SALUD</t>
  </si>
  <si>
    <t>A-1-0-5-2-7</t>
  </si>
  <si>
    <t>ADMINISTRADORAS PUBLICAS DE APORTES PARA ACCIDENTES DE TRABAJO Y ENFERMEDADES PROFESIONALES</t>
  </si>
  <si>
    <t>A-1-0-5-6</t>
  </si>
  <si>
    <t>APORTES AL ICBF</t>
  </si>
  <si>
    <t>A-1-0-5-7</t>
  </si>
  <si>
    <t>APORTES AL SENA</t>
  </si>
  <si>
    <t>A-1-0-5-8</t>
  </si>
  <si>
    <t>APORTES A LA ESAP</t>
  </si>
  <si>
    <t>A-1-0-5-9</t>
  </si>
  <si>
    <t>APORTES A ESCUELAS INDUSTRIALES E INSTITUTOS TECNICOS</t>
  </si>
  <si>
    <t>A-2-0-3-50-2</t>
  </si>
  <si>
    <t>50</t>
  </si>
  <si>
    <t>IMPUESTO DE VEHICULO</t>
  </si>
  <si>
    <t>A-2-0-3-50-3</t>
  </si>
  <si>
    <t>A-2-0-4-1-8</t>
  </si>
  <si>
    <t>A-2-0-4-1-25</t>
  </si>
  <si>
    <t>OTRAS COMPRAS DE EQUIPOS</t>
  </si>
  <si>
    <t>A-2-0-4-1-26</t>
  </si>
  <si>
    <t>26</t>
  </si>
  <si>
    <t>A-2-0-4-4-1</t>
  </si>
  <si>
    <t>A-2-0-4-4-2</t>
  </si>
  <si>
    <t>DOTACION</t>
  </si>
  <si>
    <t>A-2-0-4-4-6</t>
  </si>
  <si>
    <t>A-2-0-4-4-15</t>
  </si>
  <si>
    <t>PAPELERIA, UTILES DE ESCRITORIO Y OFICINA</t>
  </si>
  <si>
    <t>A-2-0-4-4-17</t>
  </si>
  <si>
    <t>A-2-0-4-4-18</t>
  </si>
  <si>
    <t>PRODUCTOS DE CAFETERIA Y RESTAURANTE</t>
  </si>
  <si>
    <t>A-2-0-4-4-20</t>
  </si>
  <si>
    <t>REPUESTOS</t>
  </si>
  <si>
    <t>A-2-0-4-4-21</t>
  </si>
  <si>
    <t>UTENSILIOS DE CAFETERIA</t>
  </si>
  <si>
    <t>A-2-0-4-4-23</t>
  </si>
  <si>
    <t>A-2-0-4-5-1</t>
  </si>
  <si>
    <t>A-2-0-4-5-2</t>
  </si>
  <si>
    <t>MANTENIMIENTO DE BIENES MUEBLES, EQUIPOS Y ENSERES</t>
  </si>
  <si>
    <t>A-2-0-4-5-5</t>
  </si>
  <si>
    <t>MANTENIMIENTO EQUIPO COMUNICACIONES Y COMPUTACION</t>
  </si>
  <si>
    <t>A-2-0-4-5-6</t>
  </si>
  <si>
    <t>MANTENIMIENTO EQUIPO DE NAVEGACION Y TRANSPORTE</t>
  </si>
  <si>
    <t>A-2-0-4-5-8</t>
  </si>
  <si>
    <t>A-2-0-4-5-10</t>
  </si>
  <si>
    <t>A-2-0-4-5-12</t>
  </si>
  <si>
    <t>A-2-0-4-6-2</t>
  </si>
  <si>
    <t>A-2-0-4-6-5</t>
  </si>
  <si>
    <t>A-2-0-4-6-7</t>
  </si>
  <si>
    <t>A-2-0-4-6-8</t>
  </si>
  <si>
    <t>OTROS COMUNICACIONES Y TRANSPORTE</t>
  </si>
  <si>
    <t>A-2-0-4-7-1</t>
  </si>
  <si>
    <t>A-2-0-4-7-3</t>
  </si>
  <si>
    <t>A-2-0-4-7-5</t>
  </si>
  <si>
    <t>A-2-0-4-7-6</t>
  </si>
  <si>
    <t>OTROS GASTOS POR IMPRESOS Y PUBLICACIONES</t>
  </si>
  <si>
    <t>A-2-0-4-8-1</t>
  </si>
  <si>
    <t>A-2-0-4-8-2</t>
  </si>
  <si>
    <t>ENERGIA</t>
  </si>
  <si>
    <t>A-2-0-4-8-5</t>
  </si>
  <si>
    <t>TELEFONIA MOVIL CELULAR</t>
  </si>
  <si>
    <t>A-2-0-4-8-6</t>
  </si>
  <si>
    <t>TELEFONO,FAX Y OTROS</t>
  </si>
  <si>
    <t>A-2-0-4-9-4</t>
  </si>
  <si>
    <t>SEGUROS DE INCENDIOS</t>
  </si>
  <si>
    <t>A-2-0-4-9-7</t>
  </si>
  <si>
    <t>SEGURO EQUIPOS ELECTRICOS</t>
  </si>
  <si>
    <t>A-2-0-4-9-8</t>
  </si>
  <si>
    <t>SEGURO RESPONSABILIDAD CIVIL</t>
  </si>
  <si>
    <t>A-2-0-4-9-9</t>
  </si>
  <si>
    <t>A-2-0-4-9-13</t>
  </si>
  <si>
    <t>A-2-0-4-10-2</t>
  </si>
  <si>
    <t>ARRENDAMIENTOS BIENES INMUEBLES</t>
  </si>
  <si>
    <t>A-2-0-4-11-1</t>
  </si>
  <si>
    <t>VIATICOS Y GASTOS DE VIAJE AL EXTERIOR</t>
  </si>
  <si>
    <t>A-2-0-4-11-2</t>
  </si>
  <si>
    <t>VIATICOS Y GASTOS DE VIAJE AL INTERIOR</t>
  </si>
  <si>
    <t>A-2-0-4-21-4</t>
  </si>
  <si>
    <t>A-2-0-4-21-8</t>
  </si>
  <si>
    <t>A-2-0-4-41-13</t>
  </si>
  <si>
    <t>41</t>
  </si>
  <si>
    <t>OTROS GASTOS POR ADQUISICION DE SERVICIOS</t>
  </si>
  <si>
    <t>A-3-5-1-1-0-2</t>
  </si>
  <si>
    <t>MESADAS PENSIONALES A CARGO DE LA ENTIDAD</t>
  </si>
  <si>
    <t>A-3-6-1-1-2</t>
  </si>
  <si>
    <t>SENTENCIAS</t>
  </si>
  <si>
    <t>C-123-1000-4-0-1010101</t>
  </si>
  <si>
    <t>1010101</t>
  </si>
  <si>
    <t>C-123-1000-4-0-1010104</t>
  </si>
  <si>
    <t>1010104</t>
  </si>
  <si>
    <t>INCAPACIDADES Y LICENCIAS DE MATERNIDAD</t>
  </si>
  <si>
    <t>C-123-1000-4-0-1010903</t>
  </si>
  <si>
    <t>1010903</t>
  </si>
  <si>
    <t>C-123-1000-4-0-1010102</t>
  </si>
  <si>
    <t>1010102</t>
  </si>
  <si>
    <t>C-123-1000-4-0-1050207</t>
  </si>
  <si>
    <t>1050207</t>
  </si>
  <si>
    <t>C-123-1000-4-0-1050600</t>
  </si>
  <si>
    <t>1050600</t>
  </si>
  <si>
    <t>C-123-1000-4-0-1050900</t>
  </si>
  <si>
    <t>1050900</t>
  </si>
  <si>
    <t>C-123-1000-4-0-1050700</t>
  </si>
  <si>
    <t>1050700</t>
  </si>
  <si>
    <t>C-123-1000-4-0-1050202</t>
  </si>
  <si>
    <t>1050202</t>
  </si>
  <si>
    <t>C-123-1000-4-0-0000000</t>
  </si>
  <si>
    <t>0000000</t>
  </si>
  <si>
    <t>MEJORAMIENTO FORTALECIMIENTO DE LA CAPACIDAD INSTITUCIONAL PARA EL DESARROLLO DE LAS POLITICAS PUBLICAS NACIONAL</t>
  </si>
  <si>
    <t>C-123-1000-4-0-1010516</t>
  </si>
  <si>
    <t>1010516</t>
  </si>
  <si>
    <t>C-123-1000-4-0-1010514</t>
  </si>
  <si>
    <t>1010514</t>
  </si>
  <si>
    <t>C-123-1000-4-0-1010515</t>
  </si>
  <si>
    <t>1010515</t>
  </si>
  <si>
    <t>C-123-1000-4-0-1050101</t>
  </si>
  <si>
    <t>1050101</t>
  </si>
  <si>
    <t>C-123-1000-4-0-1050203</t>
  </si>
  <si>
    <t>1050203</t>
  </si>
  <si>
    <t>C-123-1000-4-0-1010502</t>
  </si>
  <si>
    <t>1010502</t>
  </si>
  <si>
    <t>C-123-1000-4-0-1050104</t>
  </si>
  <si>
    <t>1050104</t>
  </si>
  <si>
    <t>C-123-1000-4-0-1050103</t>
  </si>
  <si>
    <t>1050103</t>
  </si>
  <si>
    <t>C-123-1000-4-0-1010505</t>
  </si>
  <si>
    <t>1010505</t>
  </si>
  <si>
    <t>C-123-1000-4-0-1050800</t>
  </si>
  <si>
    <t>1050800</t>
  </si>
  <si>
    <t>C-520-1000-10-0-1010102</t>
  </si>
  <si>
    <t>C-520-1000-10-0-1050900</t>
  </si>
  <si>
    <t>C-520-1000-10-0-1010514</t>
  </si>
  <si>
    <t>C-520-1000-10-0-1010101</t>
  </si>
  <si>
    <t>C-520-1000-10-0-1010505</t>
  </si>
  <si>
    <t>C-520-1000-10-0-1050103</t>
  </si>
  <si>
    <t>C-520-1000-10-0-1010502</t>
  </si>
  <si>
    <t>C-520-1000-10-0-0000000</t>
  </si>
  <si>
    <t>C-520-1000-10-0-1050800</t>
  </si>
  <si>
    <t>C-520-1000-10-0-1050207</t>
  </si>
  <si>
    <t>C-520-1000-10-0-1010903</t>
  </si>
  <si>
    <t>C-520-1000-10-0-1050101</t>
  </si>
  <si>
    <t>C-520-1000-10-0-1010547</t>
  </si>
  <si>
    <t>1010547</t>
  </si>
  <si>
    <t>C-520-1000-10-0-1050600</t>
  </si>
  <si>
    <t>C-520-1000-10-0-1010516</t>
  </si>
  <si>
    <t>C-520-1000-10-0-1050700</t>
  </si>
  <si>
    <t>C-520-1000-10-0-1050202</t>
  </si>
  <si>
    <t>C-520-1000-10-0-1050203</t>
  </si>
  <si>
    <t>C-520-1000-10-0-1010104</t>
  </si>
  <si>
    <t>C-520-1000-10-0-1010515</t>
  </si>
  <si>
    <t>C-520-1000-10-0-1050104</t>
  </si>
  <si>
    <t>C-123-1000-5</t>
  </si>
  <si>
    <t>C-520-1000-11</t>
  </si>
  <si>
    <t>C-520-1403-1</t>
  </si>
  <si>
    <t>MENOS VIGENCIAS FUTURAS 2016</t>
  </si>
  <si>
    <t>% EJECUCIÓN  POR RUBRO</t>
  </si>
  <si>
    <t>OTROS SUBRUBROS PENDIENTES DE EJECUTAR</t>
  </si>
  <si>
    <t>OTROS GASTOS POR ADQUISICIÓN DE SERVICIOS</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</si>
  <si>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</si>
  <si>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</si>
  <si>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</si>
  <si>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11 MESES</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</si>
  <si>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</si>
  <si>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</si>
  <si>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</si>
  <si>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</si>
  <si>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</si>
  <si>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</si>
  <si>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</si>
  <si>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</si>
  <si>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</si>
  <si>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</si>
  <si>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</si>
  <si>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</si>
  <si>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</si>
  <si>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VALOR REGISTRADO EN PAA PENDIENTE DE CONTRATAR</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</si>
  <si>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</si>
  <si>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</si>
  <si>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</si>
  <si>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</si>
  <si>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N. CDP</t>
  </si>
  <si>
    <t>FECHA</t>
  </si>
  <si>
    <t>TIPO DE GASTO</t>
  </si>
  <si>
    <t>SALDO POR COMPROMETER</t>
  </si>
  <si>
    <t>OBSERVACION</t>
  </si>
  <si>
    <t>N. CONTRATO</t>
  </si>
  <si>
    <t>116 A-2-0-4-5-10</t>
  </si>
  <si>
    <t>2016-01-06</t>
  </si>
  <si>
    <t>GASTOS GENERALES</t>
  </si>
  <si>
    <t>Contrato de vigilancia 036</t>
  </si>
  <si>
    <t>036</t>
  </si>
  <si>
    <t>216 A-2-0-4-5-8</t>
  </si>
  <si>
    <t>Prestar el servicio de aseo y cafetería en las instalaciones del DAFP</t>
  </si>
  <si>
    <t>108-2014</t>
  </si>
  <si>
    <t>316 A-2-0-4-6-2</t>
  </si>
  <si>
    <t>Contrato 107 de 2014, Servicios Postales Nacionales.</t>
  </si>
  <si>
    <t>104-2014</t>
  </si>
  <si>
    <t>416 A-2-0-4-5-1</t>
  </si>
  <si>
    <t>Prestar el servicio de mantenimiento preventivo y correctivo, incluido el suministro e instalación de repuestos de los dos ascensores.</t>
  </si>
  <si>
    <t>218-2015</t>
  </si>
  <si>
    <t>516 A-2-0-4-5-5</t>
  </si>
  <si>
    <t>Contratar la suscripcion al soporte y mantenimiento para el Sistema de Turnos Web de conformidad con las especificaciones.</t>
  </si>
  <si>
    <t>148-2015</t>
  </si>
  <si>
    <t>616 A-2-0-4-6-5</t>
  </si>
  <si>
    <t>Contrato 109 de 2014-Prestación de los servicios de canal de acceso dedicado a Internet, servicio de colocación y canal dedicado para el DAFP</t>
  </si>
  <si>
    <t>109 de 2014</t>
  </si>
  <si>
    <t>716 A-2-0-4-1-8</t>
  </si>
  <si>
    <t>Adquisición del Licenciamiento y soporte de la Herramienta de Antivirus AVIRA, de conformidad con las condiciones descritas en el Anexo de Especificaciones Técnicas.</t>
  </si>
  <si>
    <t>150-2015</t>
  </si>
  <si>
    <t>816 A-2-0-4-6-5</t>
  </si>
  <si>
    <t>Adquisición centro de datos-nube privada a través Colombia Compra Eficiente</t>
  </si>
  <si>
    <t>113-2014</t>
  </si>
  <si>
    <t>916 A-2-0-4-5-5</t>
  </si>
  <si>
    <t>Soporte y mantenimiento de software y hardware del DAFP</t>
  </si>
  <si>
    <t>114 de 2014</t>
  </si>
  <si>
    <t>1016 A-2-0-4-4-20</t>
  </si>
  <si>
    <t>Adquirir el servicio de mantenimiento preventivo y correctivo, suministro e instalación de repuestos y mano de obra, para los vehículos del DAFP.</t>
  </si>
  <si>
    <t>122</t>
  </si>
  <si>
    <t>1016 A-2-0-4-5-6</t>
  </si>
  <si>
    <t>1116 A-2-0-4-4-1</t>
  </si>
  <si>
    <t>Sumistrar en estaciones de servicio gasolina corriente para el funcionamiento de los Vehiculos por los cuales sea legalmente responsable la Funcion Publica.</t>
  </si>
  <si>
    <t>01-2016</t>
  </si>
  <si>
    <t>1216 C-123-1000-4-0-0000000</t>
  </si>
  <si>
    <t>INVERSION</t>
  </si>
  <si>
    <t>Prestar Servicios Profesionales para apoyar la definicion de planes y actividades a adelantar por la Funcion Publica para la implementacion de la estrategia de Enlace Estado-Ciudadano en los temas relacionados con Transparencia durante el 2016.</t>
  </si>
  <si>
    <t>002-2016</t>
  </si>
  <si>
    <t>1316 C-123-1000-4-0-0000000</t>
  </si>
  <si>
    <t>Prestar los Servicios Profesionales para fortalecer la Presencia de la Funcion Publica en las Redes Sociales en el Marco del Proyecto de Inversion</t>
  </si>
  <si>
    <t>013-2016</t>
  </si>
  <si>
    <t>1416 C-123-1000-4-0-0000000</t>
  </si>
  <si>
    <t>Prestar los Servicios Profesionales para apoyar el diseño y la implementación de la segunda fase de la estrategia de pedagogía y construcción de paz en la Administración Publica en el Marco del Proyecto de Inversión</t>
  </si>
  <si>
    <t>006-2016</t>
  </si>
  <si>
    <t>1516 C-123-1000-4-0-0000000</t>
  </si>
  <si>
    <t>Prestar los Servicios Profesionales para apoyar el diseño y validacion de una metodologia de asistencia tecnica a entidades nacionales y territoriales para la implementación de la estrategia de Enlace Estado-Ciudadano del Departamento Administrativo</t>
  </si>
  <si>
    <t>029-2016</t>
  </si>
  <si>
    <t>1616 C-123-1000-4-0-0000000</t>
  </si>
  <si>
    <t>Prestar los Servicios Profesionales en el Grupo de Gestión Contractual, para apoyar jurídicamente los procesos de contratación en el marco del proyecto de Inversión.</t>
  </si>
  <si>
    <t>004-2016</t>
  </si>
  <si>
    <t>1616 C-520-1403-1</t>
  </si>
  <si>
    <t>1816 C-123-1000-4-0-0000000</t>
  </si>
  <si>
    <t>007-2016</t>
  </si>
  <si>
    <t>1916 C-123-1000-4-0-0000000</t>
  </si>
  <si>
    <t>003-2016</t>
  </si>
  <si>
    <t>1916 C-520-1403-1</t>
  </si>
  <si>
    <t>2016 C-123-1000-4-0-0000000</t>
  </si>
  <si>
    <t>Prestar los Servicios Profesionales para apoyar el proceso de elaboración del Plan de Acción Institucional 2016 en los temas relacionados con: Participación y Servicio al Ciudadano.</t>
  </si>
  <si>
    <t>014-2016</t>
  </si>
  <si>
    <t>2316 C-520-1403-1</t>
  </si>
  <si>
    <t>Prestar los Servicios Profesionales para apoyar la implementación de la estrategia de comunicaciones externa y territorial del DAFP en el marco del Proyecto de Inversion</t>
  </si>
  <si>
    <t>008-2016</t>
  </si>
  <si>
    <t>2516 C-123-1000-4-0-0000000</t>
  </si>
  <si>
    <t>Prestar los Servicios Profesionales para apoyar la estrategia de comunicaciones con los Servidores publicos a traves de Comunicaciones directas entre el DAFP y las Entidades Estatales, en el marco del Proyecto de Inversion.</t>
  </si>
  <si>
    <t>009-2016</t>
  </si>
  <si>
    <t>2716 C-123-1000-4-0-0000000</t>
  </si>
  <si>
    <t>Servicios Profesionales para aplicar una estrategia de Comunicaciones a Servidores Públicos, en el marco del proyecto de Inversión.</t>
  </si>
  <si>
    <t>005-2016</t>
  </si>
  <si>
    <t>2816 A-2-0-4-1-25</t>
  </si>
  <si>
    <t>2016-01-07</t>
  </si>
  <si>
    <t>Compromiso Caja Menor 01 de 2016, según resolución 16 de 07-01-2015</t>
  </si>
  <si>
    <t>2816 A-2-0-4-11-2</t>
  </si>
  <si>
    <t>2816 A-2-0-4-4-23</t>
  </si>
  <si>
    <t>2816 A-2-0-4-5-12</t>
  </si>
  <si>
    <t>2816 A-2-0-4-6-8</t>
  </si>
  <si>
    <t>2816 A-2-0-4-7-6</t>
  </si>
  <si>
    <t>2916 A-2-0-4-8-1</t>
  </si>
  <si>
    <t>Pago servicio de acueducto y alcantarillado, periodo facturado 26 de noviembre de 2015 a 22 de enero de 2016.</t>
  </si>
  <si>
    <t>4231222615</t>
  </si>
  <si>
    <t>3016 A-2-0-4-8-2</t>
  </si>
  <si>
    <t>Servicio de energía por el período del 01 Dic. 2015 a 05 Enero 2016.</t>
  </si>
  <si>
    <t>417088679-5</t>
  </si>
  <si>
    <t>3116 A-2-0-4-8-5</t>
  </si>
  <si>
    <t>Servicio telefonía móvil del 01 enero 2016 a 31 enero 2016</t>
  </si>
  <si>
    <t>FCM3075206</t>
  </si>
  <si>
    <t>3216 A-2-0-4-8-6</t>
  </si>
  <si>
    <t>Pago servicio telefónico, periodo facturado diciembre de 2015.</t>
  </si>
  <si>
    <t>55808-00000016877245</t>
  </si>
  <si>
    <t>3316 A-2-0-4-4-20</t>
  </si>
  <si>
    <t>Prestar el servicio de mantenimiento preventivo y correctivo a los equipos y sistemas hidrosanitarios y complementarios del Edificio sede, de la Función Publica de acuerdo con las condiciones técnicas establecidas en el contrato</t>
  </si>
  <si>
    <t>075-2016</t>
  </si>
  <si>
    <t>3316 A-2-0-4-5-2</t>
  </si>
  <si>
    <t>3516 A-2-0-4-4-17</t>
  </si>
  <si>
    <t>Adquirir los elementos de aseo y cafetería necesarios para el normal funcionamiento de la entidad, según las especificaciones mínimas establecidas en el anexo técnico.</t>
  </si>
  <si>
    <t>Cto. 043 del 28 Enero 2016</t>
  </si>
  <si>
    <t>3516 A-2-0-4-4-18</t>
  </si>
  <si>
    <t>3616 C-123-1000-4-0-0000000</t>
  </si>
  <si>
    <t>Prestar los Servicios Profesionales para apoyar la planeación y formulación de los Proyectos planes y programas que estén a cargo de la Subdirección y de la Direcciones Técnicas en el marco del Proyecto de Inversión.</t>
  </si>
  <si>
    <t>010-2016</t>
  </si>
  <si>
    <t>3716 C-123-1000-4-0-0000000</t>
  </si>
  <si>
    <t>Prestar los Servicios Profesionales para apoyar la planeación y puesta en marcha de los objetivos y estrategias esbozadas en el capitulo de Buen Gobierno del Plan Nacional de Desarrollo en el marco del Proyecto de Inversión.</t>
  </si>
  <si>
    <t>012-2016</t>
  </si>
  <si>
    <t>3816 C-123-1000-4-0-0000000</t>
  </si>
  <si>
    <t>2016-01-08</t>
  </si>
  <si>
    <t>Prestar los servicios profesionales en la Direc. Gral. del DAFP, para apoyar el desarrollo del modelo de Invest. de la Función Pública e implementación del modelo Gestión del Conoc. en el marco del proyecto 123 1000 4.</t>
  </si>
  <si>
    <t>Cto. 015 del 15 Enero 2016</t>
  </si>
  <si>
    <t>3916 C-520-1000-10-0-0000000</t>
  </si>
  <si>
    <t>Prestar los servicios profesionales para apoyar la ejecución de las actividades y tareas tendientes a la adquisición de bienes y contratación de servicios de Tecnologías de la Información para la Entidad en el marco del Proyecto de Inversión</t>
  </si>
  <si>
    <t>022-2016</t>
  </si>
  <si>
    <t>4016 C-520-1000-10-0-0000000</t>
  </si>
  <si>
    <t>Prestar los servicios profesionales para apoyar el proceso de Administracion de la Tecnologia Informática, en el desarrollo, optimización, mejoramiento, actualización , monitoreo y mantenimiento de los Sistemas en el marco del Proyecto de Inversión</t>
  </si>
  <si>
    <t>025-2016</t>
  </si>
  <si>
    <t>4116 C-520-1000-10-0-0000000</t>
  </si>
  <si>
    <t>Serv. Profes. para apoyar el Proceso de la Admon.de la Tec. Informática , desarrollo, Optimiz., actualiz., monitoreo y Mantto. de los Sistemas de Inform., y Portales del DAFP en el marco del proyecto de Inversión.</t>
  </si>
  <si>
    <t>Cto. 026 del 18 Enero 2016</t>
  </si>
  <si>
    <t>4216 C-520-1000-10-0-0000000</t>
  </si>
  <si>
    <t>Prestar los servicios profesionales para para apoyar el proceso de la Tecnología Información, en el desarrollo, optimización, mejoramiento, actualización de herramientas, que permitan la visualización en el marco del Proyecto de Inversión</t>
  </si>
  <si>
    <t>021-2016</t>
  </si>
  <si>
    <t>4316 C-520-1000-10-0-0000000</t>
  </si>
  <si>
    <t>Serv Profes para apoyar el Proceso de Admón de la Tecnol Informática en el desarrollo, Optimiz, Mejoram, Actuliz, Monitoreo y Mantto de los Sistemas de Inform y Gestión teniendo en cuenta los lineam de Gobierno en Línea en el marco del proyecto Inver</t>
  </si>
  <si>
    <t>Cto. 027 del 18 Enero 2016</t>
  </si>
  <si>
    <t>4416 C-520-1000-10-0-0000000</t>
  </si>
  <si>
    <t>Prestar los servicios profesionales para realizar los ajustes y actualizaciones en el diseño de Gestor Normativo y del Micrositio denominado EVA del DAFP con cargo al Proyecto de Inversión</t>
  </si>
  <si>
    <t>040-2016</t>
  </si>
  <si>
    <t>4516 C-520-1000-10-0-0000000</t>
  </si>
  <si>
    <t>Prestar los servicios profesionales para la actualizacion, soporte y monitoreo del procedimiento de construccion y mantenimiento del Micrositio Web, denominado EVA del DAFP en el marco del Proyecto de Inversión</t>
  </si>
  <si>
    <t>023-2016</t>
  </si>
  <si>
    <t>4616 C-520-1000-10-0-0000000</t>
  </si>
  <si>
    <t>Prestar los servicios profesionales para el mantenimiento, actualizacion, soporte y monitoreo del Micrositio Web, denominado EVA del DAFP teniendo en cuenta los Lineamientos de Gobierno en Linea con cargo al Proyecto de Inversión</t>
  </si>
  <si>
    <t>024-2016</t>
  </si>
  <si>
    <t>4716 A-2-0-4-10-2</t>
  </si>
  <si>
    <t>2016-01-13</t>
  </si>
  <si>
    <t>Servicio de parqueadero correspondiente a los meses de Febrero y Marzo de 2016.</t>
  </si>
  <si>
    <t>29 del 14 Enero 2016</t>
  </si>
  <si>
    <t>4816 C-123-1000-4-0-0000000</t>
  </si>
  <si>
    <t>Servic. Profes. en la Dirección para apoyar la gestión de actividades relacionadas con los componentes de visibilidad, Coop. Técnica y Financ. , contemplados en la Estrategia Gestion Intern. en el marco del proyecto 123 1000 4</t>
  </si>
  <si>
    <t>Cto. 016 del 15 Enero 2016</t>
  </si>
  <si>
    <t>4916 C-123-1000-4-0-0000000</t>
  </si>
  <si>
    <t>. Profes. en la Subdirección para apoyar la planeación, producción de reportes e informes, sobre la propuesta del Modelo Serv. al Ciudadano, Estrategia Rac. de Trámites y Espacio Virtual en el marco del proyecto 123 1000 4.</t>
  </si>
  <si>
    <t>Cto. 017 del 15 Enero 2016</t>
  </si>
  <si>
    <t>5016 C-520-1403-1</t>
  </si>
  <si>
    <t>Prestar Servicios profesionales en la Subdirección, para apoyar la elaboración del plan de acción para la implementación de la Estrategia de Gestión Territorial, en el marco del proyecto de Inversión 520 1403 1.</t>
  </si>
  <si>
    <t>Cto. 035 del 25 Enero 2016</t>
  </si>
  <si>
    <t>5116 C-123-1000-4-0-0000000</t>
  </si>
  <si>
    <t>Prestar los servicios profesionales en la Dirección, para apoyar la ejecución del Proyecto "Diversidad i Inclusión en el Empleo Público, en el marco del Proyecto de Inversión 123 1000 4.</t>
  </si>
  <si>
    <t>Cto. 034 del 25 Enero 2016</t>
  </si>
  <si>
    <t>5216 C-123-1000-4-0-0000000</t>
  </si>
  <si>
    <t>Servicios de Apoyo a la Gestión en el DAFP, en la articulación de las actividades encaminadas a fortalecer las políticas públicas del sector, en el marco del proyecto 123 1000 4.</t>
  </si>
  <si>
    <t>Cto. 018 del 15 Enero 2016</t>
  </si>
  <si>
    <t>5316 C-123-1000-4-0-0000000</t>
  </si>
  <si>
    <t>Servicios Profesionales en la Función Pública, para apoyar la ejecución del Proyecto Estrategia de Cambio Cultural en el marco del proyecto 123 1000 4.</t>
  </si>
  <si>
    <t>Cto. 019 del 15 de Enero 2016</t>
  </si>
  <si>
    <t>5416 A-1-0-2-12</t>
  </si>
  <si>
    <t>2016-01-14</t>
  </si>
  <si>
    <t>GASTOS DE PERSONAL</t>
  </si>
  <si>
    <t>Servicios de vigilancia, seguimiento y control de los procesos adelantados en los diferentes despachos judiciales a nivel Nal. diferentes a la ciudad de Bogotá D.C., en los que es parte la Función Pública y lo que inicien durante la ejec. del Cto.</t>
  </si>
  <si>
    <t>Cto. 042 del 28 Enero 2016</t>
  </si>
  <si>
    <t>5516 C-520-1000-10-0-1010101</t>
  </si>
  <si>
    <t>CON EL FIN DE DAR CUMPLIMIENTO A LOS COMPROMISOS DE GASTO DE PERSONAL, CORRESPONDIENTES A LA NOMINA DE LA PLANTA TEMPORAL PROGRAMA 520 SUBPROGRAMA 1000 PROYECTO 10 TICS DEL MES DE ENERO DE 2016</t>
  </si>
  <si>
    <t>5516 C-520-1000-10-0-1010102</t>
  </si>
  <si>
    <t>5516 C-520-1000-10-0-1010104</t>
  </si>
  <si>
    <t>5516 C-520-1000-10-0-1010502</t>
  </si>
  <si>
    <t>5516 C-520-1000-10-0-1010505</t>
  </si>
  <si>
    <t>5516 C-520-1000-10-0-1010514</t>
  </si>
  <si>
    <t>Reconocer y ordenar el pago de Gastos de Personal de la ex servidora del Departamento Administrativo de la Función Pública, ANGELA PILAR PAREJA GARZON</t>
  </si>
  <si>
    <t>239-2016</t>
  </si>
  <si>
    <t>5516 C-520-1000-10-0-1010515</t>
  </si>
  <si>
    <t>5516 C-520-1000-10-0-1010516</t>
  </si>
  <si>
    <t>5516 C-520-1000-10-0-1010547</t>
  </si>
  <si>
    <t>5516 C-520-1000-10-0-1010903</t>
  </si>
  <si>
    <t>5516 C-520-1000-10-0-1050101</t>
  </si>
  <si>
    <t>Aportes de Ley y Parafiscales para nómina de la Planta Temporal del mes de ENERO de 2016.</t>
  </si>
  <si>
    <t>5516 C-520-1000-10-0-1050103</t>
  </si>
  <si>
    <t>5516 C-520-1000-10-0-1050104</t>
  </si>
  <si>
    <t>5516 C-520-1000-10-0-1050202</t>
  </si>
  <si>
    <t>5516 C-520-1000-10-0-1050203</t>
  </si>
  <si>
    <t>5516 C-520-1000-10-0-1050207</t>
  </si>
  <si>
    <t>5516 C-520-1000-10-0-1050600</t>
  </si>
  <si>
    <t>5516 C-520-1000-10-0-1050700</t>
  </si>
  <si>
    <t>5516 C-520-1000-10-0-1050800</t>
  </si>
  <si>
    <t>5516 C-520-1000-10-0-1050900</t>
  </si>
  <si>
    <t>5616 C-123-1000-4-0-1010101</t>
  </si>
  <si>
    <t>CON EL FIN DE DAR CUMPLIMIENTO A LOS COMPROMISOS DE GASTO DE PERSONAL, CORRESPONDIENTES A LA NOMINA DE LA PLANTA TEMPORAL PROGRAMA 123 SUBPROGRAMA 1000 PROYECTO 4 POLITICAS DEL MES DE ENERO DE 2016</t>
  </si>
  <si>
    <t>5616 C-123-1000-4-0-1010102</t>
  </si>
  <si>
    <t>CON EL FIN DE DAR CUMPLIMIENTO A LOS COMPROMISOS DE GASTO DE PERSONAL, CORRESPONDIENTES A LA NOMINA DE LA PLANTA TEMPORAL PROGRAMA 123 SUBPROGRAMA 1000 PROYECTO 4 POLITICAS DEL MES DE FEBRERO DE 2016</t>
  </si>
  <si>
    <t>02-2016</t>
  </si>
  <si>
    <t>5616 C-123-1000-4-0-1010104</t>
  </si>
  <si>
    <t>5616 C-123-1000-4-0-1010502</t>
  </si>
  <si>
    <t>5616 C-123-1000-4-0-1010505</t>
  </si>
  <si>
    <t>Reconocer y ordenar el pago de GASTOS DE PERSONAL de la ex servidora del Departamento de la Función Pública, BETHY LIZETH BARRERA CHAPARRO</t>
  </si>
  <si>
    <t>34 de 2016</t>
  </si>
  <si>
    <t>5616 C-123-1000-4-0-1010514</t>
  </si>
  <si>
    <t>5616 C-123-1000-4-0-1010515</t>
  </si>
  <si>
    <t>5616 C-123-1000-4-0-1010516</t>
  </si>
  <si>
    <t>5616 C-123-1000-4-0-1010903</t>
  </si>
  <si>
    <t>5616 C-123-1000-4-0-1050101</t>
  </si>
  <si>
    <t>5616 C-123-1000-4-0-1050103</t>
  </si>
  <si>
    <t>5616 C-123-1000-4-0-1050104</t>
  </si>
  <si>
    <t>5616 C-123-1000-4-0-1050202</t>
  </si>
  <si>
    <t>Aportes de Ley y Parafiscales para nómina de la Planta Temporal del mes de FEBRERO de 2016.</t>
  </si>
  <si>
    <t>5616 C-123-1000-4-0-1050203</t>
  </si>
  <si>
    <t>5616 C-123-1000-4-0-1050207</t>
  </si>
  <si>
    <t>5616 C-123-1000-4-0-1050600</t>
  </si>
  <si>
    <t>5616 C-123-1000-4-0-1050700</t>
  </si>
  <si>
    <t>5616 C-123-1000-4-0-1050800</t>
  </si>
  <si>
    <t>5616 C-123-1000-4-0-1050900</t>
  </si>
  <si>
    <t>5716 C-123-1000-4-0-0000000</t>
  </si>
  <si>
    <t>Prestar los Servicios Profesionales en la Subdirección, para el seguimiento y control en los aspectos técnico, administrativo y financiero, derivados del Proyecto de Inversión Mejoramiento de la Capacidad Institucional</t>
  </si>
  <si>
    <t>030-2016</t>
  </si>
  <si>
    <t>5816 C-520-1403-1</t>
  </si>
  <si>
    <t>Prestar los Servicios Profesionales en la Subdirección, para apoyar la Gestión Territorial y el desarrollo de actividades de alistamiento para la puesta en marcha al interior de la Entidad, en el Marco del Proyecto de Inversión</t>
  </si>
  <si>
    <t>028-2016</t>
  </si>
  <si>
    <t>5916 C-123-1000-4-0-0000000</t>
  </si>
  <si>
    <t>Prestar los Servicios Profesionales en la Dirección de Empleo Publico para apoyar en la actualización e implementación de la Política de Empleo Publico, en el marco del Proyecto de Inversión Mejoramiento de la Capacidad Institucional</t>
  </si>
  <si>
    <t>031-2016</t>
  </si>
  <si>
    <t>6016 C-123-1000-4-0-0000000</t>
  </si>
  <si>
    <t>Prestar los servicios profesionales en la Dirección de Empleo Público, para apoyar la planificación específica del Proyecto de Servidores Públicos Innovadores y Competentes y el Plan Operativo Anual de la Dirección en el marco del proyecto 123 1000 4</t>
  </si>
  <si>
    <t>Cto. 047 del 01 Feb 2016</t>
  </si>
  <si>
    <t>6216 A-1-0-2-12</t>
  </si>
  <si>
    <t>2016-01-15</t>
  </si>
  <si>
    <t>Prestar los Servicios Profesionales en la Dirección General para el diseño y/o edición del material grafico de los documentos y piezas visuales generadas por la Dirección del DAFP para el posicionamiento externo de la Entidad y sus proyectos</t>
  </si>
  <si>
    <t>048-2016</t>
  </si>
  <si>
    <t>6316 C-123-1000-4-0-0000000</t>
  </si>
  <si>
    <t>Prestar los Servicios Profesionales en la Oficina Asesora de Planeacion para la apropiacion y mejoramiento funcional y documental del Sistema de Gestion Integrado de la Funcion Publica en el Marco del Proyecto de Inversion</t>
  </si>
  <si>
    <t>037-2016</t>
  </si>
  <si>
    <t>6416 C-123-1000-4-0-0000000</t>
  </si>
  <si>
    <t>038-2016</t>
  </si>
  <si>
    <t>6516 C-123-1000-4-0-0000000</t>
  </si>
  <si>
    <t>Serv Profes en la Ofic Asesora de Planeación, apoyar la formul de los proyec de gestión y planes operativos, como la implemen de esquemas de seguim y medición Proy de gestión y de los indicad Sinergia, en el marco del Proy de Inversión 123 1000 4.</t>
  </si>
  <si>
    <t>Cto. 036 del 25 Enero 2016</t>
  </si>
  <si>
    <t>6616 C-123-1000-4-0-0000000</t>
  </si>
  <si>
    <t>Prestar los Servicios Profesionales para la diagramacion del Informe de Ley de Cuotas y documento de Politica de datos personales, en el Marco del Proyecto de Inversion</t>
  </si>
  <si>
    <t>039-2016</t>
  </si>
  <si>
    <t>6716 A-1-0-2-12</t>
  </si>
  <si>
    <t>Prestar los servicios profesionales para apoyar los procesos de Selección Meritocraticos que adelanta la Función Publica para la provisión de vacantes de Entidades Publicas.</t>
  </si>
  <si>
    <t>054-2016</t>
  </si>
  <si>
    <t>6916 C-520-1403-1</t>
  </si>
  <si>
    <t>Prestar los Servicios Profesionales en la Subdirección, para apoyar la gestión, dar orientaciones y lineamientos para la puesta en marcha de la Estrategia de Gestión Territorial al Interior de la Entidad, en el Marco del Proyecto de Inversión</t>
  </si>
  <si>
    <t>020-2016</t>
  </si>
  <si>
    <t>7016 A-1-0-1-1-1</t>
  </si>
  <si>
    <t>2016-01-18</t>
  </si>
  <si>
    <t>Nomina adicional Gina Victoria Triana Acevedo de enero de 2016</t>
  </si>
  <si>
    <t>7016 A-1-0-1-1-2</t>
  </si>
  <si>
    <t>Nomina mes de enero planta global cargue masivo</t>
  </si>
  <si>
    <t>7016 A-1-0-1-1-4</t>
  </si>
  <si>
    <t>7016 A-1-0-1-4-1</t>
  </si>
  <si>
    <t>7016 A-1-0-1-4-2</t>
  </si>
  <si>
    <t>7016 A-1-0-1-5-1</t>
  </si>
  <si>
    <t>7016 A-1-0-1-5-12</t>
  </si>
  <si>
    <t>7016 A-1-0-1-5-13</t>
  </si>
  <si>
    <t>7016 A-1-0-1-5-14</t>
  </si>
  <si>
    <t>Reconocer y ordenar el pago de GASTOS DE PERSONAL de la ex servidora del Departamento de la Función Pública, BRIGGETTE ALEXANDRA BAUTISTA SALGADO</t>
  </si>
  <si>
    <t>045 de 25-01-2016</t>
  </si>
  <si>
    <t>7016 A-1-0-1-5-15</t>
  </si>
  <si>
    <t>7016 A-1-0-1-5-16</t>
  </si>
  <si>
    <t>7016 A-1-0-1-5-19</t>
  </si>
  <si>
    <t>7016 A-1-0-1-5-2</t>
  </si>
  <si>
    <t>7016 A-1-0-1-5-47</t>
  </si>
  <si>
    <t>7016 A-1-0-1-5-5</t>
  </si>
  <si>
    <t>7016 A-1-0-1-5-92</t>
  </si>
  <si>
    <t>PENDIENTE POR COMPROMETER</t>
  </si>
  <si>
    <t>7016 A-1-0-1-9-1</t>
  </si>
  <si>
    <t>7016 A-1-0-1-9-3</t>
  </si>
  <si>
    <t>7116 A-1-0-5-1-1</t>
  </si>
  <si>
    <t>PAGO SEGURIDAD SOCIAL DEL MES DE ENERO DEL 2016.</t>
  </si>
  <si>
    <t>7116 A-1-0-5-1-3</t>
  </si>
  <si>
    <t>7116 A-1-0-5-1-4</t>
  </si>
  <si>
    <t>7116 A-1-0-5-2-2</t>
  </si>
  <si>
    <t>7116 A-1-0-5-2-3</t>
  </si>
  <si>
    <t>7116 A-1-0-5-2-6</t>
  </si>
  <si>
    <t>7116 A-1-0-5-2-7</t>
  </si>
  <si>
    <t>7116 A-1-0-5-6</t>
  </si>
  <si>
    <t>7116 A-1-0-5-7</t>
  </si>
  <si>
    <t>7116 A-1-0-5-8</t>
  </si>
  <si>
    <t>7116 A-1-0-5-9</t>
  </si>
  <si>
    <t>7216 A-3-5-1-1-0-2</t>
  </si>
  <si>
    <t>TRANSFERENCIAS</t>
  </si>
  <si>
    <t>Pago Pension Sancion del mes de Enero de 2016</t>
  </si>
  <si>
    <t>001-2016</t>
  </si>
  <si>
    <t>7316 A-1-0-2-100</t>
  </si>
  <si>
    <t>CON EL FIN DE DAR CUMPLIMIENTO A LOS COMPROMISOS DE CANCELACIÓN DE TRANSFERENCIAS DE APORTES DE LEY DEL MES DE ENERO DE 2016 PAGO ARL PASANTES, SEGÚN PRESUPUESTO DE FUNCIONAMIENTO DE 2016.</t>
  </si>
  <si>
    <t>7416 A-2-0-4-9-8</t>
  </si>
  <si>
    <t>2016-01-19</t>
  </si>
  <si>
    <t>Soat para los vehículos del DAFP que tienen su fecha de vencimiento el 2 de febrero de 2016.</t>
  </si>
  <si>
    <t>044-2016</t>
  </si>
  <si>
    <t>7516 C-123-1000-4-0-0000000</t>
  </si>
  <si>
    <t>Prestar los Servicios Profesionales en la Dirección Jurídica para apoyar en la selección actualización y relatoría de los conceptos Jurídicos y técnicos que ha emitido la Función Publica con el fin de ser incorporados en el Gestor Normativo del DAFP</t>
  </si>
  <si>
    <t>032-2016</t>
  </si>
  <si>
    <t>7616 C-123-1000-4-0-0000000</t>
  </si>
  <si>
    <t>Prestar los Servicios de Apoyo a la Gestion en la Dirección Juridica para realizar labores de digitacion e ingreso de la Informacion requerida para la actualizacion del Gestor Normativo, en temas relacionados con Politicas Publicas</t>
  </si>
  <si>
    <t>033-2016</t>
  </si>
  <si>
    <t>7716 C-520-1000-10-0-0000000</t>
  </si>
  <si>
    <t>Prestar los servicios profesionales para realizar la actualizacion y transferencia del conocimiento de los Lineamientos a seguir para la operacion de Gestor Normativo en el marco del Proyecto de Inversión</t>
  </si>
  <si>
    <t>041-2016</t>
  </si>
  <si>
    <t>7816 C-520-1000-10-0-0000000</t>
  </si>
  <si>
    <t>Prestar los servicios profesionales para apoyar y brindar el soporte técnico en el mantenimiento, ajuste, integración y actualización de la aplicación denominada "Gestor Normativo" del DAFP en el marco del Proyecto de Inversión</t>
  </si>
  <si>
    <t>046-2016</t>
  </si>
  <si>
    <t>7916 C-123-1000-4-0-0000000</t>
  </si>
  <si>
    <t>2016-01-22</t>
  </si>
  <si>
    <t>Prestar servicios de Apoyo en el grupo Contractual para la organización de la documentación generada, en el marco del proyecto de Inversión.</t>
  </si>
  <si>
    <t>050-2016</t>
  </si>
  <si>
    <t>7916 C-520-1403-1</t>
  </si>
  <si>
    <t>8016 A-2-0-4-6-8</t>
  </si>
  <si>
    <t>2016-01-25</t>
  </si>
  <si>
    <t>Prestar el servicio de custodia transporte y almacenamiento externo de los medios magnéticos, que contienen las copias de respaldo de la información de la Función Publica, de acuerdo con las condiciones establecidas en la Ficha Técnica</t>
  </si>
  <si>
    <t>063-2016</t>
  </si>
  <si>
    <t>8116 C-123-1000-4-0-0000000</t>
  </si>
  <si>
    <t>Prestar los Servicios Profesionales en la Dirección General para apoyar la caracterización y cronograma anual para el desarrollo de la estrategia de Gestión Internacional del DAFP en el marco del Proyecto de Inversión</t>
  </si>
  <si>
    <t>045-2016</t>
  </si>
  <si>
    <t>8216 A-2-0-4-4-17</t>
  </si>
  <si>
    <t>2016-01-28</t>
  </si>
  <si>
    <t>Legalización y Reembolso Caja Menor de los gastos realizados durante el mes de Enero de 2016.</t>
  </si>
  <si>
    <t>Res. 52 del 28 Enero 2016</t>
  </si>
  <si>
    <t>8216 A-2-0-4-4-18</t>
  </si>
  <si>
    <t>8216 A-2-0-4-4-21</t>
  </si>
  <si>
    <t>8216 A-2-0-4-4-23</t>
  </si>
  <si>
    <t>8216 A-2-0-4-5-1</t>
  </si>
  <si>
    <t>8216 A-2-0-4-5-12</t>
  </si>
  <si>
    <t>8216 A-2-0-4-5-2</t>
  </si>
  <si>
    <t>8216 A-2-0-4-6-2</t>
  </si>
  <si>
    <t>8216 A-2-0-4-6-7</t>
  </si>
  <si>
    <t>8216 A-2-0-4-7-6</t>
  </si>
  <si>
    <t>8316 C-123-1000-5</t>
  </si>
  <si>
    <t>Prestar los servicios profesionales para apoyar técnicamente la etapa precontractual y contractual del contrato que resulte del Concurso de Méritos cuyo objeto lo constituye, " la adquisición y puesta en marcha de dos ascensores para el DAFP"</t>
  </si>
  <si>
    <t>053-2016</t>
  </si>
  <si>
    <t>8416 C-123-1000-5</t>
  </si>
  <si>
    <t>8516 A-2-0-4-5-1</t>
  </si>
  <si>
    <t>Adquirir e instalar una ventana corrediza en aluminio para el puente del piso No 9 del edificio sede de la Función Publica de acuerdo con las condiciones establecidas en el Anexo Técnico No 2</t>
  </si>
  <si>
    <t>064-2016</t>
  </si>
  <si>
    <t>8616 A-2-0-4-5-5</t>
  </si>
  <si>
    <t>2016-02-02</t>
  </si>
  <si>
    <t>Prestar el servicio de mantenimiento preventivo y correctivo de la Central Telefónica Digital (DBS) y del Sistema de procesamiento de voz a guía de voz en los equipos de la Función Publica</t>
  </si>
  <si>
    <t>073-2016</t>
  </si>
  <si>
    <t>8716 C-520-1000-10-0-0000000</t>
  </si>
  <si>
    <t>2016-02-03</t>
  </si>
  <si>
    <t>Suscripción al servicio de soporte Linux Red Hat Enterprise última versión.</t>
  </si>
  <si>
    <t>Cto. 085 del 22 Marzo 2016</t>
  </si>
  <si>
    <t>8816 C-520-1000-10-0-0000000</t>
  </si>
  <si>
    <t>Prestar los Servicios de soporte, derechos de actualización de versiones y adquisición del Licenciamiento para la herramienta ProactivaNET.</t>
  </si>
  <si>
    <t>051-2016</t>
  </si>
  <si>
    <t>8916 A-1-0-2-12</t>
  </si>
  <si>
    <t>Prestar servicios de apoyo en el Grupo de Gestión Administrativa y Documental para la organización de las historias laborales y actualización del inventario documental correspondiente a los ex servidores del DAFP en la revisión de las transferencias</t>
  </si>
  <si>
    <t>059-2016</t>
  </si>
  <si>
    <t>9016 A-1-0-2-12</t>
  </si>
  <si>
    <t>Prestar servicios de apoyo en el Grupo de Gestión Administrativa y Documental en la revisión, clasificación y actualización de los archivos de gestión de las áreas del DAFP de conformidad con los seguimientos realizados por parte del grupo enlace</t>
  </si>
  <si>
    <t>060-2016</t>
  </si>
  <si>
    <t>9116 A-1-0-2-12</t>
  </si>
  <si>
    <t>Prestar servicios de apoyo en el Grupo de Gestión Administrativa y Documental en la organización y depuración de los archivos de gestión de las áreas misionales del DAFP que se le asignen y en la revisión de las transferencias documentales primarias</t>
  </si>
  <si>
    <t>055-2016</t>
  </si>
  <si>
    <t>9216 A-1-0-2-12</t>
  </si>
  <si>
    <t>Prestar los servicios de apoyo a la gestión en el Grupo de Gestión Administrativa y Documental para apoyar el levantamiento de las Tablas de Valoración Documental del archivo Central, así como en la Organización de los archivos electrónicos del DAFP</t>
  </si>
  <si>
    <t>058-2016</t>
  </si>
  <si>
    <t>9316 C-123-1000-4-0-0000000</t>
  </si>
  <si>
    <t>2016-02-04</t>
  </si>
  <si>
    <t>Prestar los Servicios Profesionales en la Función Publica, para articular las actividades tendientes al posicionamiento del Espacio Virtual de Asesoría - EVA de la Entidad, con cargo al proyecto de Inversión.</t>
  </si>
  <si>
    <t>052-2016</t>
  </si>
  <si>
    <t>9416 C-123-1000-4-0-0000000</t>
  </si>
  <si>
    <t>2016-02-08</t>
  </si>
  <si>
    <t>Prestar los Servicios de Apoyo a la Gestion Juridica para realizar labores de digitacion e ingreso de la informacion requerida para la actualizacion del Gestor Normativo relacionados con las politicas publicas incluyendo conceptos de jurisprudencia</t>
  </si>
  <si>
    <t>061-2016</t>
  </si>
  <si>
    <t>9516 C-123-1000-4-0-0000000</t>
  </si>
  <si>
    <t>056-2016</t>
  </si>
  <si>
    <t>9616 C-123-1000-4-0-0000000</t>
  </si>
  <si>
    <t>Prestar Servicios Profesionales en la Direcc Jurídica para apoyar en la revisión de los conceptos jurídicos y técnicos que ha emitido la Función, así como de la Normativa, jurisp y doctrina relevante del Sector para Incorporarlos al Gestor Normativo</t>
  </si>
  <si>
    <t>065-2016</t>
  </si>
  <si>
    <t>9716 C-123-1000-4-0-0000000</t>
  </si>
  <si>
    <t>066-2016</t>
  </si>
  <si>
    <t>9816 C-123-1000-4-0-0000000</t>
  </si>
  <si>
    <t>Prestar servicios Profesiónales a la Direccion Juridica para apoyar la actualizacion de normas y documentos juridicos, extractos y reseñas de jurisprudencia, del sector Funcion Publica y el cargue de enlaces y concordancias en el Gestor Normativo</t>
  </si>
  <si>
    <t>062-2016</t>
  </si>
  <si>
    <t>9916 C-123-1000-4-0-0000000</t>
  </si>
  <si>
    <t>057-2016</t>
  </si>
  <si>
    <t>10016 A-2-0-4-21-4</t>
  </si>
  <si>
    <t>2016-02-10</t>
  </si>
  <si>
    <t>Contratar la prestación para la realización de valoraciones ocupacionales y exámenes médicos de ingreso, retiro, periódicos y otras complementarias, que sean necesarias realizar a los servidores del Departamento Administrativo de la Función Publica</t>
  </si>
  <si>
    <t>081-2016</t>
  </si>
  <si>
    <t>10116 C-123-1000-4-0-0000000</t>
  </si>
  <si>
    <t>2016-02-11</t>
  </si>
  <si>
    <t>Prestar Servicios Profesionales en la Oficina A de Planeación para apoyar la implementación de la II fase del Modelo de Gestión de la Información de la Función P y el modelo de seguimiento y evaluación integrados al modelo de operación institucional</t>
  </si>
  <si>
    <t>067-2016</t>
  </si>
  <si>
    <t>10216 C-520-1403-1</t>
  </si>
  <si>
    <t>Servic Profes en la Direc Control Interno y Racionaliz.de Trámites del DAFP para apoyar la revisión de las Experien. Regist. en el Bco. de Exitos y en la elaborac. de la Estrategia de difusión de las experien. de ser replicadas en la Admón. Pública.</t>
  </si>
  <si>
    <t>Cto. 070 del 26 Feb. 2016</t>
  </si>
  <si>
    <t>10316 C-520-1000-10-0-0000000</t>
  </si>
  <si>
    <t>2016-02-12</t>
  </si>
  <si>
    <t>Suscripción y soporte técnico para el licenciamiento Liferay Portal Enterprise Edition.</t>
  </si>
  <si>
    <t>Cto. 094 del 01 Abril 2016</t>
  </si>
  <si>
    <t>10416 A-2-0-4-11-1</t>
  </si>
  <si>
    <t>2016-02-16</t>
  </si>
  <si>
    <t>Suministro de Tiquetes Aéreos rutas Nacionales e Internacionales</t>
  </si>
  <si>
    <t>084-2016</t>
  </si>
  <si>
    <t>10416 A-2-0-4-11-2</t>
  </si>
  <si>
    <t>10516 C-123-1000-4-0-0000000</t>
  </si>
  <si>
    <t>2016-02-17</t>
  </si>
  <si>
    <t>Prestar Servicios Profesionales en la Subdirección para apoyar y hacer seguimiento al cumplimiento de los compromisos estratégicos y misionales, para la ejecución del Proyecto de Inversión Mejoramiento, Fortalecimiento para el desarrollo de Políticas</t>
  </si>
  <si>
    <t>069-2016</t>
  </si>
  <si>
    <t>10616 A-2-0-4-4-15</t>
  </si>
  <si>
    <t>2016-02-19</t>
  </si>
  <si>
    <t>Elementos de Papelería, para incluir en el stock de la Entidad, con el fin de garantizar el buen funcionamiento de la misma y no generar un cese en la operación, cubriendo las necesidades de las diferentes áreas que componen la Entidad</t>
  </si>
  <si>
    <t>072-2016</t>
  </si>
  <si>
    <t>10716 C-520-1403-1</t>
  </si>
  <si>
    <t>Viáticos y gastos de viaje en el marco del proyecto de inversión "Desarrollo de la Capacidad Institucional de las Entidades Publicas del Orden Territorial" - Cali-Valle del Cauca, del 22 al 23 de febrero de 2016</t>
  </si>
  <si>
    <t>96-2016</t>
  </si>
  <si>
    <t>10816 C-520-1403-1</t>
  </si>
  <si>
    <t>Prestar Servicios P en la Dir de C Interno para apoyar en la revisión de las Experiencias registradas en el Banco de Éxitos y en la elaboración de la estrategia de difusión de las experiencias que sean pertinentes de ser replicadas en las Entidades P</t>
  </si>
  <si>
    <t>074-2016</t>
  </si>
  <si>
    <t>10916 C-123-1000-4-0-0000000</t>
  </si>
  <si>
    <t>2016-02-22</t>
  </si>
  <si>
    <t>Prestar Serv Profesionales en DDO para apoyar en la implementación y mejoramiento del Índice Sintético de desempeño Institucional de las Entidades del orden nacional y en la elaboración e implementación de un Índice Sintético de desempeño territorial</t>
  </si>
  <si>
    <t>068-2016</t>
  </si>
  <si>
    <t>10916 C-520-1403-1</t>
  </si>
  <si>
    <t>11016 A-2-0-4-4-15</t>
  </si>
  <si>
    <t>11116 A-2-0-4-4-15</t>
  </si>
  <si>
    <t>Adquirir las pruebas Test de Wartegg, para la evaluación de las competencias laborales de los aspirantes a cargos en los distintos niveles de la Administración Publica, de acuerdo con lo establecido en las condiciones técnicas</t>
  </si>
  <si>
    <t>076-2016</t>
  </si>
  <si>
    <t>11216 A-2-0-4-4-15</t>
  </si>
  <si>
    <t>Adquirir los códigos de acceso (PIN) Requeridos por Función P para la realización de las pruebas psicotécnicas KOMPE ESTATAL así como asistencia técnica de la empresa PSIGMA CORPORATION S.A.S de acuerdo con lo establecido en las condiciones técnicas</t>
  </si>
  <si>
    <t>082-2016</t>
  </si>
  <si>
    <t>11316 C-520-1403-1</t>
  </si>
  <si>
    <t>2016-02-24</t>
  </si>
  <si>
    <t>Prestar los servicios profesionales en la Dirección General, para apoyar la ejecución de la estrategia de pedagogía y construcción de paz en el territorio, en el marco del Proyecto de Inversión 520 1403 1.</t>
  </si>
  <si>
    <t>Cto. 071 del 26 Febrero 2016</t>
  </si>
  <si>
    <t>11416 C-520-1000-10-0-0000000</t>
  </si>
  <si>
    <t>2016-02-25</t>
  </si>
  <si>
    <t>Prestar el Servicio de Soporte Técnico Especializado en la Función Pública, para el Sistema de Información de Gestión de Empleo Público - SIGEP.</t>
  </si>
  <si>
    <t>Cto. 101 del 04 Abril 2016</t>
  </si>
  <si>
    <t>11516 C-520-1000-10-0-0000000</t>
  </si>
  <si>
    <t>Suscripción al licenciamiento de una Herramienta Chat para el Espacio Virtual de Asesoría - EVA del Portal Institucional, con el respectivo soporte conforme con las condiciones técnicas establecidas en el documento.</t>
  </si>
  <si>
    <t>Cto. 134 del 18 Abril 2016</t>
  </si>
  <si>
    <t>11616 A-2-0-4-4-15</t>
  </si>
  <si>
    <t>2016-02-29</t>
  </si>
  <si>
    <t>Legalización gastos de caja menor No 01 del mes de febrero de 2016, con sus respectivos comprobantes del Departamento Administrativo de la Función Publica.</t>
  </si>
  <si>
    <t>120-2016</t>
  </si>
  <si>
    <t>11616 A-2-0-4-4-18</t>
  </si>
  <si>
    <t>11616 A-2-0-4-4-21</t>
  </si>
  <si>
    <t>11616 A-2-0-4-4-23</t>
  </si>
  <si>
    <t>11616 A-2-0-4-5-1</t>
  </si>
  <si>
    <t>11616 A-2-0-4-5-2</t>
  </si>
  <si>
    <t>11616 A-2-0-4-6-2</t>
  </si>
  <si>
    <t>11616 A-2-0-4-6-7</t>
  </si>
  <si>
    <t>11616 A-2-0-4-7-6</t>
  </si>
  <si>
    <t>11716 A-2-0-3-50-2</t>
  </si>
  <si>
    <t>2016-03-04</t>
  </si>
  <si>
    <t>Pago Impuesto de Vehículos 2016 del Dafp. Placas No OBG002-OBG000-OBI914-OBI913-OBI370</t>
  </si>
  <si>
    <t>15162/345/804/947-16146</t>
  </si>
  <si>
    <t>11816 A-2-0-3-50-3</t>
  </si>
  <si>
    <t>Pago Impuesto predial 2016, Edificio CRA 6 No 12-64, PISO 2, 3, 4, 5, 6, 7, 9. Formulario 113482,114860,116763,118279,119879,127007 y 125870.</t>
  </si>
  <si>
    <t>113482,4860,6763,8279,9879</t>
  </si>
  <si>
    <t>11916 C-123-1000-4-0-0000000</t>
  </si>
  <si>
    <t>2016-03-10</t>
  </si>
  <si>
    <t>Prestar los servicios profesionales en la Función Pública para apoyar la implementación de la segunda fase de la estrategia de pedagogía y construcción de paz en la Admón. Pública en el marco de los proyectos 123 100 4 y 520 1403 1.</t>
  </si>
  <si>
    <t>Cto. 080 del 14 Marzo 2016</t>
  </si>
  <si>
    <t>11916 C-520-1403-1</t>
  </si>
  <si>
    <t>12016 C-123-1000-4-0-0000000</t>
  </si>
  <si>
    <t>Cto. 079 del 14 Marzo 2016</t>
  </si>
  <si>
    <t>12016 C-520-1403-1</t>
  </si>
  <si>
    <t>12116 C-123-1000-4-0-0000000</t>
  </si>
  <si>
    <t>Servicios profesionales en la Subdirección para apoyar la ejecución y seguimiento al cumplimiento de las metas institucionales, establecidas para cada una de las Direcciones Técnicas en el marco del proyecto 123 1000 4.</t>
  </si>
  <si>
    <t>Cto. 078 del 14 Marzo 2016</t>
  </si>
  <si>
    <t>12216 A-1-0-2-12</t>
  </si>
  <si>
    <t>2016-03-11</t>
  </si>
  <si>
    <t>Prestar los Servicios de apoyo a la Gestión en el Grupo de Gestión Administrativa y Documental, para realizar labores de mantenimiento y reparaciones locativas que se requieran para la conservación del edificio sede y de los bienes muebles del DAFP.</t>
  </si>
  <si>
    <t>Cto. 114 del 11 Abril 2016</t>
  </si>
  <si>
    <t>12316 C-123-1000-4-0-0000000</t>
  </si>
  <si>
    <t>2016-03-15</t>
  </si>
  <si>
    <t>Prestar los Servicios Profesionales en el Grupo de Comunicaciones Estratégicas con el fin de apoyar la actualización de la estrategia de comunicaciones de la Función Publica en el marco del proyecto de Inversión Mejoramiento Capacidad Institucional</t>
  </si>
  <si>
    <t>083-2016</t>
  </si>
  <si>
    <t>12416 A-2-0-4-6-5</t>
  </si>
  <si>
    <t>Adición 1 al Contrato 137 del 27 de agosto de 2015.</t>
  </si>
  <si>
    <t>Adic. 1 Cto. 137 de 2015</t>
  </si>
  <si>
    <t>12516 C-520-1000-10-0-0000000</t>
  </si>
  <si>
    <t>Prestar los servicios profesionales para apoyar jurídicamente los procesos de contratación para la adquisición de bienes y servicios de Tecnologías de la Información para la Entidad, con cargo al proyecto de inversión 520 1000 10.</t>
  </si>
  <si>
    <t>Cto. 090 del 28 Marzo 2016</t>
  </si>
  <si>
    <t>12616 C-123-1000-4-0-0000000</t>
  </si>
  <si>
    <t>2016-03-16</t>
  </si>
  <si>
    <t>Prestar los Servicios Profesionales en la Dirección de Empleo Público para apoyar la elaboración de un (1) documento que contenga aspectos constitucionales y jurisprudenciales en relación con la CNSC, en el marco del Proy. 123 1000 4.</t>
  </si>
  <si>
    <t>Cto. 113 del 11 Abril 2016</t>
  </si>
  <si>
    <t>12716 A-1-0-2-12</t>
  </si>
  <si>
    <t>Servic. Prof. para actualizar y determ valor del Pasivo Pens. con entrega del cálculo actuarial 31 Dcbre 2015, de las obligaciones sobre pensión sanción del liquid FNBS-CEO a cargo del DAFP incluy conting del pasivo y demas de Proc Judic en curso.</t>
  </si>
  <si>
    <t>Cto. 136 del 18 Abril 2016</t>
  </si>
  <si>
    <t>12816 C-520-1403-1</t>
  </si>
  <si>
    <t>2016-03-18</t>
  </si>
  <si>
    <t>Servicios Profesionales en el Grupo de Comunicaciones Estratégicas, para apoyar la difusión de los medios de comunicación tanto nacionales como territoriales, la información que produce la Función Pública en el marco del proyecto 520 1403 1,</t>
  </si>
  <si>
    <t>Cto. 086 del 23 Marzo 2016</t>
  </si>
  <si>
    <t>12916 C-123-1000-4-0-0000000</t>
  </si>
  <si>
    <t>2016-03-22</t>
  </si>
  <si>
    <t>Prestar los servicios profesionales para apoyar el seguimiento al cumplimiento de los compromisos estratégicos y misionales en los temas relacionados con Participación, Transparencia y Servicio al Ciudadano, en marco del Proy. de Inversión 123 1000 4</t>
  </si>
  <si>
    <t>Cto. 088 del 23 Marzo 2016</t>
  </si>
  <si>
    <t>13016 C-123-1000-4-0-0000000</t>
  </si>
  <si>
    <t>Prestar los servicios profesionales para apoyar a la Dirección General en el seguimiento de las actividades y compromisos, encaminados za fortalecer las políticas públicas del Sector, en marco del Proyectro de Inversión 123 1000 4.</t>
  </si>
  <si>
    <t>Cto. 089 del 23 Marzo 2016</t>
  </si>
  <si>
    <t>13116 C-123-1000-4-0-0000000</t>
  </si>
  <si>
    <t>Prestar los servicios profesionales en la Función Pública para apoyar la ejecución del proyecto "Estrategia de Cambio Cultural" en el marco del proyecto de Inversión 123 1000 4</t>
  </si>
  <si>
    <t>Cto.. 087 del 23 Marzo 2016</t>
  </si>
  <si>
    <t>13216 C-123-1000-4-0-0000000</t>
  </si>
  <si>
    <t>2016-03-23</t>
  </si>
  <si>
    <t>Prestar los servicios profesionales en el Grupo de Comunicaciones Estratégicas, con el fin de apoyar la estrategia de Comunicación insterinstitucional, dirigida a los servidores públicos y entidades estatales, en elmarco del Proy. Inver. 123 1000 4.</t>
  </si>
  <si>
    <t>Cto. 103 del 04 Abril 2016</t>
  </si>
  <si>
    <t>13316 C-123-1000-4-0-0000000</t>
  </si>
  <si>
    <t>2016-03-28</t>
  </si>
  <si>
    <t>Prestar los Servicios Profesionales en el Grupo de Comunicaciones Estratégicas para apoyar la implementación de la estrategia de comunicaciones en las redes sociales institucionales del DAFP, en el marco del Proyecto de Inversión 123 1000 4</t>
  </si>
  <si>
    <t>Cto. 093 del 30 Marzo 2016</t>
  </si>
  <si>
    <t>13416 C-123-1000-4-0-0000000</t>
  </si>
  <si>
    <t>Prestar los Servicios Profesionales en el Grupo de Gestión Contractual para apoyar en la ejecución de los procesos de Contratación requeridos, en el marco de los proyectos de Inversión 123 1000 4 y 520 1403 1.</t>
  </si>
  <si>
    <t>092 del 30 Marzo 2016</t>
  </si>
  <si>
    <t>13416 C-520-1403-1</t>
  </si>
  <si>
    <t>13516 C-123-1000-4-0-0000000</t>
  </si>
  <si>
    <t>Cto. 091 del 30 Marzo 2016</t>
  </si>
  <si>
    <t>13516 C-520-1403-1</t>
  </si>
  <si>
    <t>13616 A-2-0-4-5-8</t>
  </si>
  <si>
    <t>Prestacion del Servicio de aseo y cafeteria en el edificio sede de la Funcion Publica, para proveer a los servidores y visitantes de los elementos de consumo para el buen desarrollo de sus funciones y garantizar un buen ambiente e Higiene y limpieza</t>
  </si>
  <si>
    <t>142-2016</t>
  </si>
  <si>
    <t>13716 C-123-1000-4-0-0000000</t>
  </si>
  <si>
    <t>Suministro de pasajes aéreos en rutas nacionales, así como la prestación del servicio de agencia de viajes.</t>
  </si>
  <si>
    <t>Cto. 121 del 12 Abril 2016</t>
  </si>
  <si>
    <t>13816 C-123-1000-4-0-0000000</t>
  </si>
  <si>
    <t>2016-03-30</t>
  </si>
  <si>
    <t>Prestar los servicios profesionales en el Grupo de Comunicaciones Estratégicas , con el fin de efectuar la diagramación de las publicaciones técnicas y de los documentos institucionales de la entidad, en el marco del Proy. de Invers. 123 1000 4.</t>
  </si>
  <si>
    <t>Cto. 109 del 06 Abril 2016</t>
  </si>
  <si>
    <t>13916 C-123-1000-4-0-0000000</t>
  </si>
  <si>
    <t>Servicios Profesionales en la Direc. de Particip., Transp. y Serv. al Ciudadano , para apoyar la implemen. del modelo de serv. al ciudadano en el DAFP y la articulación con EVA, así como con las demás Direcciones Técnicas del DAFP. Proy. 123 1000 4.</t>
  </si>
  <si>
    <t>Cto. 095 del 01 Abril 2016</t>
  </si>
  <si>
    <t>14016 C-123-1000-4-0-0000000</t>
  </si>
  <si>
    <t>Prestar los Serv. Profes. apoyar la elabor. de los lineamientos, para promover la particip. ciudadana en la gestión pública, Rendicición de Ctas. y Control Social reg. en el proc. democratiz. de la Admón. Púb. al DAFP. Proy. de Invers. 123 1000 4.</t>
  </si>
  <si>
    <t>Cto. 105 del 05 Abril 2016</t>
  </si>
  <si>
    <t>14116 C-123-1000-4-0-0000000</t>
  </si>
  <si>
    <t>2016-03-31</t>
  </si>
  <si>
    <t>Prestar los Serv. Profes. en la Dirección de Gestión del Conocimiento de la Función Pública para apoyar el desarrollo del Sistema de Gestión de Conocimiento y Grupos de Valor de la Función Pública, en el marco del Proyecto de Inversión 123 1000 4</t>
  </si>
  <si>
    <t>Cto. 098 del 01 Abril 2016</t>
  </si>
  <si>
    <t>14216 C-520-1403-1</t>
  </si>
  <si>
    <t>Prestar los servicios profesionales en la Dirección de Desarrollo Organizacional para apoyar la implementación de la Estrategia de Gestión Territorial al interior de la Entidad, en el marco del proyecto de inversión 520 1403 1.</t>
  </si>
  <si>
    <t>Cto. 102 del 04 Abril 2016</t>
  </si>
  <si>
    <t>14316 C-520-1403-1</t>
  </si>
  <si>
    <t>Prestar los Servicios Profes. para apoyar las actividades relacionadas con la ejcución de la Estrategia de Gestión Territorial, en el marco del proyecto de inversión Desarrollo Capacidad Institucional de las Entidades Públicas del Orden Territorial.</t>
  </si>
  <si>
    <t>Cto. 099 del 01 Abril de 2016</t>
  </si>
  <si>
    <t>14416 C-520-1403-1</t>
  </si>
  <si>
    <t>Prestar los servicios profesionales en la Dirección de Desarrollo Organizacional para apoyar la implementación de la Estrategia de Gestión Territorial al interior de la Función Pública, en el marco del proyecto de inversión 520 1403 1.</t>
  </si>
  <si>
    <t>Cto. 100 del 01 Abril 2016</t>
  </si>
  <si>
    <t>14516 A-1-0-2-12</t>
  </si>
  <si>
    <t>14616 C-123-1000-4-0-0000000</t>
  </si>
  <si>
    <t>Servicios Profes. en la Dirección del DAFP, para apoyar la gestión de las activid. relacionadas con los componen. de visibilidad, Coop. Técnica y Financiera y de formación contempladas en la Estrategia de Gestión Internacional al interior del DAFP.</t>
  </si>
  <si>
    <t>Cto. 096 del 01 Abril 2016</t>
  </si>
  <si>
    <t>14716 C-123-1000-4-0-0000000</t>
  </si>
  <si>
    <t>Prestar los Serv. Profes. en la Oficina Asesora de Planeación para la apropiación, mejoramiento funcional y documental, monitoreo y evaluación del Sistema de Gestión Integrado de la Función Pública , en el marco del Proyecto de Inversión 123 1000 4</t>
  </si>
  <si>
    <t>107 del 06 Abril 2016</t>
  </si>
  <si>
    <t>14816 C-123-1000-4-0-0000000</t>
  </si>
  <si>
    <t>Prestar los Serv. Profes. en la Oficina Asesora de Planeación para la apropiación, mejoramiento funcional y documental, monitoreo y evaluación del Sistema de Gestión Integrado de la Función Pública , en el marco del Proyecto de Inversión 123 1000 4.</t>
  </si>
  <si>
    <t>106 del 06 Abril 2016</t>
  </si>
  <si>
    <t>14916 C-123-1000-4-0-0000000</t>
  </si>
  <si>
    <t>Prestar los Servicios Profesionales en la Dirección General, para apoyar el desarrollo de la Estrategia de Gestión Internacional de la FunciónPública, en el marco del Proyecto de Inversión 123 1000 4</t>
  </si>
  <si>
    <t>Cto. 097 del 01 Abril 2016</t>
  </si>
  <si>
    <t>15016 C-123-1000-4-0-0000000</t>
  </si>
  <si>
    <t>Prestar los servicios profesionales en la Oficina Asesora de Planeación, para apoyar el seguimiento a los proyectos de gestión, planes operativos y a los indicadores Sinergia, en el marco del Proyecto de Inversión 123 1000 4.</t>
  </si>
  <si>
    <t>Cto. 104 del 05 Abril 2016</t>
  </si>
  <si>
    <t>15116 C-123-1000-4-0-0000000</t>
  </si>
  <si>
    <t>Prestar los servicios profesionales en la Función Pública, para articular con las diferentes dependencias la ejecución de las actividades orientadas a la adecuada operación y funcionamiento de EVA con cargo al Proyecto de Inversión 123 1000 4.</t>
  </si>
  <si>
    <t>Cto. 111 del 08 Abril 2016</t>
  </si>
  <si>
    <t>15216 A-2-0-4-5-1</t>
  </si>
  <si>
    <t>2016-04-01</t>
  </si>
  <si>
    <t>Adición y Prorroga al contrato de servicios No 218 de 2015</t>
  </si>
  <si>
    <t>Adicion y Prorroga No 01</t>
  </si>
  <si>
    <t>15316 C-123-1000-4-0-0000000</t>
  </si>
  <si>
    <t>Prestar los servicios profesionales en la Dirección de Empleo Publico para adelantar la recopilación y análisis de los datos nacionales, territoriales e internacionales sobre empleo publico en el marco del proyecto de Inversión</t>
  </si>
  <si>
    <t>141-2016</t>
  </si>
  <si>
    <t>15416 C-123-1000-4-0-0000000</t>
  </si>
  <si>
    <t>Prestar los Serv. Profes. en la Direc. Empleo Púb., para apoyar en la elabor. e implemen. de propuesta de índice Estrat. del talento humano, como el desarrollo del Proy. de Servid. Púb. e innovadores y competentes en el marco del Proy. 123 1000 4.</t>
  </si>
  <si>
    <t>Cto. 108 del 06 abril 2016</t>
  </si>
  <si>
    <t>15516 C-123-1000-4-0-0000000</t>
  </si>
  <si>
    <t>Prestar los servicios profesionales en la Dirección de Empleo Publico para apoyar las etapas de ajustes, tramite de aprobación y socialización del documento de política de empleo Publico con las entidades de la Rama Ejecutiva del orden nacional</t>
  </si>
  <si>
    <t>133-2016</t>
  </si>
  <si>
    <t>15616 C-123-1000-4-0-0000000</t>
  </si>
  <si>
    <t>Prestar Servicios Profesionales en la Dirección de Empleo Publico para apoyar en la elaboración de la propuesta del nuevo modelo de Gerencia Publica de Colombia en el marco del proyecto de inversión Mejoramiento F para el Desarrollo de las políticas</t>
  </si>
  <si>
    <t>151-2016</t>
  </si>
  <si>
    <t>15716 C-123-1000-4-0-0000000</t>
  </si>
  <si>
    <t>2016-04-04</t>
  </si>
  <si>
    <t>Prestar los servicios profesionales en la Dirección, para apoyar la ejecución del Proyecto "Diversidad e Inclusión en el Empleo Público", en el marco del Proyecto de Inversión123 1000 4.</t>
  </si>
  <si>
    <t>Cto. 110 del 08 Abril 2016</t>
  </si>
  <si>
    <t>15816 C-520-1403-1</t>
  </si>
  <si>
    <t>Comisión de servicios a Cali los días 05 y 06 de abril 2016, Resolución 181 del 05 abril 2016. Fortalecimiento Territorial Alcaldía de Cali.</t>
  </si>
  <si>
    <t>181 del 05 Aabril 2016</t>
  </si>
  <si>
    <t>15916 A-2-0-4-11-2</t>
  </si>
  <si>
    <t>2016-04-06</t>
  </si>
  <si>
    <t>Legalizacion y reembolso gastos realizados durante el mes de marzo de 2016 con cargo a la Caja Menor del DAFP.</t>
  </si>
  <si>
    <t>193 del 06 Abril 2016</t>
  </si>
  <si>
    <t>15916 A-2-0-4-4-15</t>
  </si>
  <si>
    <t>15916 A-2-0-4-4-18</t>
  </si>
  <si>
    <t>15916 A-2-0-4-4-23</t>
  </si>
  <si>
    <t>15916 A-2-0-4-5-1</t>
  </si>
  <si>
    <t>15916 A-2-0-4-5-2</t>
  </si>
  <si>
    <t>15916 A-2-0-4-6-2</t>
  </si>
  <si>
    <t>15916 A-2-0-4-6-7</t>
  </si>
  <si>
    <t>15916 A-2-0-4-7-6</t>
  </si>
  <si>
    <t>16016 A-2-0-4-4-20</t>
  </si>
  <si>
    <t>2016-04-07</t>
  </si>
  <si>
    <t>16016 A-2-0-4-5-2</t>
  </si>
  <si>
    <t>16116 A-2-0-4-9-8</t>
  </si>
  <si>
    <t>Seguro obligatorio de Accidente de Tránsito- SOAT, para un vehículo automotor, identificado con la placa OJY294 del parque automotor de la Función Pública.</t>
  </si>
  <si>
    <t>Cto. 138 del 19 Abril 2016</t>
  </si>
  <si>
    <t>16216 C-123-1000-4-0-0000000</t>
  </si>
  <si>
    <t>Serv. Profes. en la Direc. Juríd para apoyar activid de relatoría Gestor Normat. en la selec. y actualiz.de concep. Juríd y Técnicos emitid por Func. Púb. así como la normativ., jurispr. y doct. del Sect Func Públ para incorporar en el Gestor Normat.</t>
  </si>
  <si>
    <t>Cto. 119 del 12 Abril 2017</t>
  </si>
  <si>
    <t>16316 C-123-1000-4-0-0000000</t>
  </si>
  <si>
    <t>Serv. Profes. en la Direc. Jurídica para apoyar en la selec. de los concep. jurídicos y técnicos emitidos por Función Pública,como de la normativ., jurisprud. y doctrina del sector Función Pública que deban ser incorp. en le Gestor Normativo. Inver.</t>
  </si>
  <si>
    <t>Cto. 118 del 12 Abril 2017</t>
  </si>
  <si>
    <t>16416 C-123-1000-4-0-0000000</t>
  </si>
  <si>
    <t>Cto. 120 del 12 Abril 2017</t>
  </si>
  <si>
    <t>16516 C-123-1000-4-0-0000000</t>
  </si>
  <si>
    <t>Serv. Profes. en la Direc. Juríd para apoyar incorp y actualiz en el Gestor Norm de la Func Púb tanto de normas como de documen jurídicos, extractos y reseñas de Jurisp del sector Func Pub como el cargue de enlaces y concordancias. Proy 123 1000 4.</t>
  </si>
  <si>
    <t>Cto. 127 del 12 Abril 2016</t>
  </si>
  <si>
    <t>16616 C-123-1000-4-0-0000000</t>
  </si>
  <si>
    <t>Cto. 123 del 12 Abril 2016</t>
  </si>
  <si>
    <t>16716 C-123-1000-4-0-0000000</t>
  </si>
  <si>
    <t>Serv de apoyo a la Gestión en la Direc Jurídica para labores de digitación e ingreso de la inform requerida para actualiz del Gestor Normat en temas relacionad con Politicas Púb incluyen concep., Jurisp, doctrina y normativa legal, Proy. 123 1000 4.</t>
  </si>
  <si>
    <t>Cto. 122 del 12 Abril 2016</t>
  </si>
  <si>
    <t>16816 C-123-1000-4-0-0000000</t>
  </si>
  <si>
    <t>Cto. 125 del 12 Abril 2016</t>
  </si>
  <si>
    <t>16916 C-123-1000-4-0-0000000</t>
  </si>
  <si>
    <t>Cto. 126 del 12 Abril 2016</t>
  </si>
  <si>
    <t>17016 C-123-1000-4-0-0000000</t>
  </si>
  <si>
    <t>Suministro de pasajes aereos en rutas nacionales e internacionales, asi como el servicio de agencia de viajes de acuerdo al plan anual de adquisiciones de la Entidad</t>
  </si>
  <si>
    <t>143-2016</t>
  </si>
  <si>
    <t>17016 C-520-1403-1</t>
  </si>
  <si>
    <t>17116 C-123-1000-4-0-0000000</t>
  </si>
  <si>
    <t>Prestar los servicios profesionales en la Subdirección para apoyar el seguimiento y control de las metas institucionales respecto de los aspectos técnicos, administrativo y financiero, derivados de los Proyectos de Inversión 123 1000 4 y 520 1403 1.</t>
  </si>
  <si>
    <t>Cto. 115 del 11 Abril 2016</t>
  </si>
  <si>
    <t>17116 C-520-1403-1</t>
  </si>
  <si>
    <t>17216 C-123-1000-4-0-0000000</t>
  </si>
  <si>
    <t>Prestar los Servicios de apoyo a la Gestión en el Grupo de Gestión Contractual, para la organización y disposición final de la documentación generada en el marco de los Proyectos de Inversión 123 1000 4 y 520 1403 1.</t>
  </si>
  <si>
    <t>Cto. 117 del 12 Abril 2017</t>
  </si>
  <si>
    <t>17216 C-520-1403-1</t>
  </si>
  <si>
    <t>17316 C-123-1000-4-0-0000000</t>
  </si>
  <si>
    <t>2016-04-11</t>
  </si>
  <si>
    <t>Cto. 124 del 12 Abril 2016</t>
  </si>
  <si>
    <t>17416 C-123-1000-4-0-0000000</t>
  </si>
  <si>
    <t>Prestar Servicios Profesionales en la Dirección de Desarrollo Organizacional para apoyar la implementación, desarrollo y seguimiento técnico, administrativo y operativo de la iniciativa Fortalecimiento de la Gestión territorial</t>
  </si>
  <si>
    <t>130-2016</t>
  </si>
  <si>
    <t>17516 C-123-1000-4-0-0000000</t>
  </si>
  <si>
    <t>Prestar Ser Profesionales en la Direcc de Desarrollo Organizacional para apoyar en la revisión y el análisis de información cualitativa, cuantitativa y la producción de documentos técnicos de la iniciativa Fortalecimiento de la Gestión territorial</t>
  </si>
  <si>
    <t>131-2016</t>
  </si>
  <si>
    <t>17616 C-123-1000-4-0-0000000</t>
  </si>
  <si>
    <t>Prestar Ser Profesionales en la Direcc de Desa Organizacional para apoyar en el estudio de los datos obtenidos de fuentes primarias y secundarias y el seguimiento a las acciones derivadas del desarrollo de la iniciativa Fort de la Gestión territorial</t>
  </si>
  <si>
    <t>128-2016</t>
  </si>
  <si>
    <t>17716 C-123-1000-4-0-0000000</t>
  </si>
  <si>
    <t>Serv Profes en la DDO para apoyar las actividades de recolec de informac Territorial y de contexto en la iniciativa "Fortalec de la gestión territorial a partir de la articulac institucional con énfasis Serv al Ciudadano y Cosnstruc de Paz Rec AECID</t>
  </si>
  <si>
    <t>Cto. 140 del 19 Abril 2016</t>
  </si>
  <si>
    <t>17816 C-123-1000-4-0-0000000</t>
  </si>
  <si>
    <t>Prestar Servicios Profesionales en la Dirección de Desarrollo Organizacional para apoyar en las actividades de recolección de información territorial y de contexto, en el desarrollo de la iniciativa Fortalecimiento de la Gestión territorial</t>
  </si>
  <si>
    <t>129-2016</t>
  </si>
  <si>
    <t>17916 C-520-1000-10-0-0000000</t>
  </si>
  <si>
    <t>2016-04-13</t>
  </si>
  <si>
    <t>Adquisición de Discos duros externos, conforme con las condiciones técnicas establecidas en el presente documento</t>
  </si>
  <si>
    <t>148-2016</t>
  </si>
  <si>
    <t>18016 A-2-0-4-5-1</t>
  </si>
  <si>
    <t>2016-04-14</t>
  </si>
  <si>
    <t>18216 C-123-1000-4-0-0000000</t>
  </si>
  <si>
    <t>Prestar los servicios profesionales para apoyar la elaboración de herramientas y metodologías de la comunicación en las Tecnologías de la Información y las comunicaciones Tics de la estrategia de cambio cultural en el marco del Proyecto de Inversión</t>
  </si>
  <si>
    <t>132-2016</t>
  </si>
  <si>
    <t>18316 A-2-0-4-9-13</t>
  </si>
  <si>
    <t>Adición y Prorroga 1 al Contrato de seguros No 041 de 2015, celebrado entre el Departamento Administrativo de la Función Publica y Mapfre seguros Generales de Colombia</t>
  </si>
  <si>
    <t>Adicion 2 al Contrato 041-15</t>
  </si>
  <si>
    <t>18316 A-2-0-4-9-4</t>
  </si>
  <si>
    <t>18316 A-2-0-4-9-7</t>
  </si>
  <si>
    <t>18316 A-2-0-4-9-8</t>
  </si>
  <si>
    <t>18316 A-2-0-4-9-9</t>
  </si>
  <si>
    <t>18416 A-2-0-4-7-6</t>
  </si>
  <si>
    <t>2016-04-15</t>
  </si>
  <si>
    <t>Publicación de cuatro avisos de prensa en un periódico de amplia circulación nacional, por muerte de dos servidores públicos que prestaron sus servicios al Departamento Administrativo de la Función Publica</t>
  </si>
  <si>
    <t>147-2016</t>
  </si>
  <si>
    <t>18516 C-123-1000-4-0-0000000</t>
  </si>
  <si>
    <t>2016-04-18</t>
  </si>
  <si>
    <t>Servicios Profesionales en la Función Pública para apoyar el seguimiento y el cumplimiento de las metas de cada Área Misional de Función Pública planteadas en el Capítulo del Buen Gobierno del Plan Nal de Desarrollo en el marco del Proy. 123 1000 4.</t>
  </si>
  <si>
    <t>Cto. 135 del 18 Abril 2016</t>
  </si>
  <si>
    <t>18616 C-520-1000-10-0-0000000</t>
  </si>
  <si>
    <t>Adquisición de 6 computadores portátiles, según especificaciones tecnicas</t>
  </si>
  <si>
    <t>137-2016</t>
  </si>
  <si>
    <t>18716 C-123-1000-4-0-0000000</t>
  </si>
  <si>
    <t>Prestar los servicios profesionales en la Dirección de Gestión del Conocimiento de la Función Pública, para apoyar el desarrollo del Sistema de Gestión de Conocimiento y Grupos de Valor de la Función Pública, en el marco del Proy de Inver. 123 1000 4</t>
  </si>
  <si>
    <t>Cto. 139 del 19 Abril 2016</t>
  </si>
  <si>
    <t>18816 A-2-0-4-11-2</t>
  </si>
  <si>
    <t>2016-04-19</t>
  </si>
  <si>
    <t>19016 C-520-1000-10-0-0000000</t>
  </si>
  <si>
    <t>2016-04-20</t>
  </si>
  <si>
    <t>19116 A-2-0-4-4-2</t>
  </si>
  <si>
    <t>Adquisición de Dotaciones de labor para los servidores que tienen derecho a ella durante la vigencia 2016, así como los elementos de trabajo para las personas que se encuentran ejerciendo su labor en el Grupo de Servicios Administrativos</t>
  </si>
  <si>
    <t>154-2016</t>
  </si>
  <si>
    <t>19216 C-123-1000-4-0-0000000</t>
  </si>
  <si>
    <t>2016-04-21</t>
  </si>
  <si>
    <t>Prestar los Servicios Profesionales en la Dirección de Empleo Publico para apoyar en la estandarización de la información de la base de datos del SIGEP y demás bases que se requieran para la generación de reportes en materia de empleo Publico</t>
  </si>
  <si>
    <t>152-2016</t>
  </si>
  <si>
    <t>19316 A-2-0-4-41-13</t>
  </si>
  <si>
    <t>2016-04-25</t>
  </si>
  <si>
    <t>Efectuar la matricula ante los organismos de transito del vehículo Renault Sandero Steepway adjudicado por la Dian mediante resolución 001139 del 19 de febrero de 2016 al Departamento Administrativo de la función Publica</t>
  </si>
  <si>
    <t>249-2016</t>
  </si>
  <si>
    <t>19416 C-520-1000-11</t>
  </si>
  <si>
    <t>19516 C-123-1000-4-0-0000000</t>
  </si>
  <si>
    <t>Prestar los Servicios Profesionales en la Dirección de Gestión y Desempeño Institucional de la Función Publica, para apoyar en la estructuración de una Guía de Auditoria, que contenga lineamientos generales con enfoque Financiero para no financieros</t>
  </si>
  <si>
    <t>145-2016</t>
  </si>
  <si>
    <t>19616 C-123-1000-4-0-0000000</t>
  </si>
  <si>
    <t>2016-04-26</t>
  </si>
  <si>
    <t>Prestar los servicios profesionales en la dirección General, para el diseño del material grafico, los documentos y piezas visuales generadas por la dirección General de la función, para el posicionamiento externo de la Entidad y sus proyectos</t>
  </si>
  <si>
    <t>146-2016</t>
  </si>
  <si>
    <t>19716 C-123-1000-4-0-0000000</t>
  </si>
  <si>
    <t>2016-04-27</t>
  </si>
  <si>
    <t>Prestar los Servicios Profesionales en el Grupo de Comunicaciones estratégicas con el fin de apoyar la actualización de la estrategia de comunicaciones de la función Publica en el marco del proyecto de inversión Mejoramiento Capacidad Institucional</t>
  </si>
  <si>
    <t>144-2016</t>
  </si>
  <si>
    <t>19816 A-2-0-4-4-6</t>
  </si>
  <si>
    <t>Adquisición de llantas para los vehículos del Departamento Administrativo de la Función Publica</t>
  </si>
  <si>
    <t>170-2016</t>
  </si>
  <si>
    <t>19916 C-520-1000-10-0-0000000</t>
  </si>
  <si>
    <t>20016 C-520-1000-10-0-0000000</t>
  </si>
  <si>
    <t>Suscripción al Licenciamiento Suite Adobe Crative Cloud para la Función Publica, según las especificaciones técnicas mínimas establecidas en el contrato</t>
  </si>
  <si>
    <t>164-2016</t>
  </si>
  <si>
    <t>20116 C-520-1403-1</t>
  </si>
  <si>
    <t>2016-04-28</t>
  </si>
  <si>
    <t>Prestar S Profesionales en la Dir de Gest y Desemp Institucional de la Función P para apoyar la implementación de la Estrategia de posicionamiento de experiencias exitosas a Nivel Nal e internacional y el otorgamiento del Premio Nal de Alta Gerencia</t>
  </si>
  <si>
    <t>150-2016</t>
  </si>
  <si>
    <t>20216 C-520-1403-1</t>
  </si>
  <si>
    <t>149-2016</t>
  </si>
  <si>
    <t>20316 C-123-1000-4-0-0000000</t>
  </si>
  <si>
    <t>Prestar los Servicios Profesionales en la Funcion Publica, para apoyar la elaboración de herramientas y metodologías de investigación, participación y difusión de la "Estrategia de Cambio Cultural" en el marco del Proyecto de inversión</t>
  </si>
  <si>
    <t>160-2016</t>
  </si>
  <si>
    <t>20416 C-123-1000-4-0-0000000</t>
  </si>
  <si>
    <t>2016-05-02</t>
  </si>
  <si>
    <t>Prestar los servicios profesionales en la Direccion de Desarrollo Organizacional para asesorar técnicamente las actividades que permitirán lograr los resultados previstos para el desarrollo de la Iniciativa Fortalecimiento de la gestión territorial</t>
  </si>
  <si>
    <t>163-2016</t>
  </si>
  <si>
    <t>20516 C-520-1403-1</t>
  </si>
  <si>
    <t>Prestar los servicios profesionales en el Grupo de Gestión Humana, para apoyar los tramites administrativos requeridos, para el otorgamiento de comisiones de servicio al interior del país y actividades necesarias, para el desplazamiento de servidores</t>
  </si>
  <si>
    <t>162-2016</t>
  </si>
  <si>
    <t>20616 C-123-1000-4-0-0000000</t>
  </si>
  <si>
    <t>2016-05-03</t>
  </si>
  <si>
    <t>Prestar los Servicios Profesionales en la subdirección para apoyar el cumplimiento de las metas propuestas, encaminadas al fortalecimiento de las políticas publicas a cargo de la Entidad y apoyar el desarrollo de los equipos transversales</t>
  </si>
  <si>
    <t>159-2016</t>
  </si>
  <si>
    <t>20716 C-123-1000-4-0-0000000</t>
  </si>
  <si>
    <t>Prestar S Profesionales en la Dir de Gest y Desemp Institucional de la Función P para apoyar en la estructuración de un Modelo de Gestión que Integre los Sistemas de Desarrollo Administrativo y de Gestión de la Calidad y se articule con los Sistemas</t>
  </si>
  <si>
    <t>158-2016</t>
  </si>
  <si>
    <t>20816 A-2-0-4-1-26</t>
  </si>
  <si>
    <t>2016-05-04</t>
  </si>
  <si>
    <t>Reembolso de Caja menor 01 de mayo de 2016, según resolución No 280 de mayo 04 de 2016</t>
  </si>
  <si>
    <t>280-2016</t>
  </si>
  <si>
    <t>20816 A-2-0-4-11-2</t>
  </si>
  <si>
    <t>20816 A-2-0-4-4-15</t>
  </si>
  <si>
    <t>20816 A-2-0-4-4-18</t>
  </si>
  <si>
    <t>20816 A-2-0-4-4-20</t>
  </si>
  <si>
    <t>20816 A-2-0-4-4-21</t>
  </si>
  <si>
    <t>20816 A-2-0-4-4-23</t>
  </si>
  <si>
    <t>20816 A-2-0-4-5-1</t>
  </si>
  <si>
    <t>20816 A-2-0-4-5-12</t>
  </si>
  <si>
    <t>20816 A-2-0-4-5-5</t>
  </si>
  <si>
    <t>20816 A-2-0-4-6-2</t>
  </si>
  <si>
    <t>20816 A-2-0-4-6-7</t>
  </si>
  <si>
    <t>20816 A-2-0-4-7-6</t>
  </si>
  <si>
    <t>20916 C-123-1000-4-0-0000000</t>
  </si>
  <si>
    <t>2016-05-06</t>
  </si>
  <si>
    <t>Prestar los Servicios Profesionales en la Dirección de Empleo Publico para apoyar la elaboración de documentos relacionados con las bases para un programa a nivel de Diplomada en materia de asesoría y producción normativa</t>
  </si>
  <si>
    <t>161-2016</t>
  </si>
  <si>
    <t>21016 C-123-1000-4-0-0000000</t>
  </si>
  <si>
    <t>Viáticos y gastos de viaje - Quibdó - Istmina - Quibdó Choco del 09 de mayo al 13 de mayo de 2016. Según resolución No 288</t>
  </si>
  <si>
    <t>288-2016</t>
  </si>
  <si>
    <t>21116 A-2-0-4-11-2</t>
  </si>
  <si>
    <t>Legalización y Reembolso de gastos de caja menor No 01 del mes de mayo de 2016, con sus respectivos comprobantes del Departamento Administrativo de la Función Publica.</t>
  </si>
  <si>
    <t>297-2016</t>
  </si>
  <si>
    <t>21116 A-2-0-4-4-15</t>
  </si>
  <si>
    <t>21116 A-2-0-4-4-18</t>
  </si>
  <si>
    <t>21116 A-2-0-4-4-23</t>
  </si>
  <si>
    <t>21116 A-2-0-4-6-2</t>
  </si>
  <si>
    <t>21116 A-2-0-4-6-7</t>
  </si>
  <si>
    <t>21116 A-2-0-4-7-6</t>
  </si>
  <si>
    <t>21216 C-123-1000-4-0-0000000</t>
  </si>
  <si>
    <t>2016-05-11</t>
  </si>
  <si>
    <t>Prestar los Servicios Profesionales en la Dirección de Gestión y Desempeño Institucional de la Función Publica para apoyar la construcción del Instrumento de medición del Modelo Unificado de Gestión, aplicando métodos y criterios estadísticos</t>
  </si>
  <si>
    <t>165-2016</t>
  </si>
  <si>
    <t>21316 C-123-1000-4-0-0000000</t>
  </si>
  <si>
    <t>Prestar los Servicios Profesionales en la Dirección de Gestión y Desempeño Institucional de la Función Publica para apoyar la construcción del Instrumento de medición del Modelo Unificado de Gestión, aplicando métodos y criterios econometricos</t>
  </si>
  <si>
    <t>166-2016</t>
  </si>
  <si>
    <t>21416 C-123-1000-4-0-0000000</t>
  </si>
  <si>
    <t>2016-05-16</t>
  </si>
  <si>
    <t>Prestar Servicios Profesionales en la Dirección de Gestión del Conocimiento, para apoyar en la medición y evaluación de los principales resultados de la implementación de políticas, estrategias transversales, planes, programas y proyectos del DAFP</t>
  </si>
  <si>
    <t>175-2016</t>
  </si>
  <si>
    <t>21516 C-123-1000-4-0-0000000</t>
  </si>
  <si>
    <t>2016-05-17</t>
  </si>
  <si>
    <t>21816 C-520-1000-10-0-0000000</t>
  </si>
  <si>
    <t>Prestar los Servicios Profesionales en la Oficina de las TICS para el mantenimiento, soporte, actualización, ajuste y monitoreo del Micrositio web EVA del DAFP, así como el desarrollo e implementación de la red social de servidores públicos</t>
  </si>
  <si>
    <t>173-2016</t>
  </si>
  <si>
    <t>21916 C-520-1000-10-0-0000000</t>
  </si>
  <si>
    <t>Prestar los Servicios Profesionales en la Oficina de las TICS para elaboración de la arquitectura, desarrollo e implementación de la red social de servidores públicos, así como la actualización y ajustes del Micrositio web EVA del DAFP</t>
  </si>
  <si>
    <t>171-2016</t>
  </si>
  <si>
    <t>22016 C-520-1403-1</t>
  </si>
  <si>
    <t>2016-05-19</t>
  </si>
  <si>
    <t>Prestar los Servicios Profesionales en la Oficina Asesora de Planeación, para apoyar la implementación de la segunda fase del Sistema de Gestión de Información Estratégica, focalizados en las entidades del Orden Territorial</t>
  </si>
  <si>
    <t>168-2016</t>
  </si>
  <si>
    <t>22116 C-123-1000-4-0-0000000</t>
  </si>
  <si>
    <t>169-2016</t>
  </si>
  <si>
    <t>22216 C-123-1000-4-0-0000000</t>
  </si>
  <si>
    <t>Prestar los Servicios Profesionales en la Oficina Asesora de Planeación, para apoyar el seguimiento al cumplimiento de los temas Estratégicos Institucionales de la función Publica, en el marco del Proyecto de inversión</t>
  </si>
  <si>
    <t>174-2016</t>
  </si>
  <si>
    <t>22316 C-520-1403-1</t>
  </si>
  <si>
    <t>2016-05-25</t>
  </si>
  <si>
    <t>22416 C-123-1000-4-0-0000000</t>
  </si>
  <si>
    <t>22516 C-123-1000-4-0-0000000</t>
  </si>
  <si>
    <t>22616 C-123-1000-4-0-0000000</t>
  </si>
  <si>
    <t>22716 C-123-1000-4-0-0000000</t>
  </si>
  <si>
    <t>22816 C-520-1000-10-0-0000000</t>
  </si>
  <si>
    <t>2016-05-31</t>
  </si>
  <si>
    <t>22916 A-2-0-4-5-8</t>
  </si>
  <si>
    <t>116 CDP DE MODIFICACION PRESUPUESTAL, PARA TRASLADO ANTE HACIENDA</t>
  </si>
  <si>
    <t>TOTAL CDP</t>
  </si>
  <si>
    <t>Etiquetas de fila</t>
  </si>
  <si>
    <t>Suma de CDP</t>
  </si>
  <si>
    <t>Suma de COMPROMISO</t>
  </si>
  <si>
    <t>Total general</t>
  </si>
  <si>
    <t>Adquisición del Licenciamiento y soporte de Antivirus.</t>
  </si>
  <si>
    <t xml:space="preserve">Adquisición de tóner y cartuchos para impresoras. </t>
  </si>
  <si>
    <t>SUBASTA INVERSA</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</si>
  <si>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</si>
  <si>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Contratar la suscripción al soporte y mantenimiento para el Sistema de Turnos Web.</t>
  </si>
  <si>
    <t>Prestar los servicios de soporte y mantenimiento de Hardware y Software para la Función Pública.</t>
  </si>
  <si>
    <t>MENOR CUANTÍA</t>
  </si>
  <si>
    <t>Prestar los servicios de admisión, curso y entrega de correo y demás envíos postales que requiera la Función Pública</t>
  </si>
  <si>
    <t>Adquisición de dispositivos de firma digital para los servidores del Departamento que son  usuarios del SIIF.</t>
  </si>
  <si>
    <t>INVITACIÓN - NORMAS AECID</t>
  </si>
  <si>
    <t>2,5 MESES</t>
  </si>
  <si>
    <t xml:space="preserve">MANTENIMIENTO DE BIENES MUEBLES, EQUIPOS Y ENSERES </t>
  </si>
  <si>
    <t>GASTOS EFECTUADOS A 30 de mayo DE 2016</t>
  </si>
  <si>
    <t>% de ejecución por subrubro al 30 de mayo de 2016</t>
  </si>
  <si>
    <t>DENOMINACIÓN RUBROS PRESUPUESTALES</t>
  </si>
  <si>
    <t>% de ejecución por rubro presupuestal al 30 de mayo de 2016</t>
  </si>
  <si>
    <t>DENOMNACIÓN SUBRUBROS PRESUPUESTALES</t>
  </si>
  <si>
    <t xml:space="preserve">PAPELERÍA UTILES DE ESCRITORIO Y OFICINA </t>
  </si>
  <si>
    <t xml:space="preserve">OTROS MATERIALES Y SUMINISTROS </t>
  </si>
  <si>
    <t>MANTENIMIENTO EQUIPO COMUNICACIÓN Y COMPUTACION</t>
  </si>
  <si>
    <t xml:space="preserve">OTROS GASTOS POR IMPRESOS Y PUBLICACIONES </t>
  </si>
  <si>
    <t>MULTAS</t>
  </si>
  <si>
    <t xml:space="preserve"> $ 1.955.743                                                    $    809.724                                                    $ 1.767.131,39 </t>
  </si>
  <si>
    <t>$ 1.272.239                                           $ 1.175.766</t>
  </si>
  <si>
    <t>$1'571.081                       $1'262.270</t>
  </si>
  <si>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</si>
  <si>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</si>
  <si>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</si>
  <si>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</si>
  <si>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</si>
  <si>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</si>
  <si>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</si>
  <si>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$520.000                    $520.000</t>
  </si>
  <si>
    <t>$1'918.796                   $1'167.470</t>
  </si>
  <si>
    <t>CLAUDIA PATRICIA JAIMES VERA                Cedio a                                                                  WENDY NORELLY ORTIZ BARRETO</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</si>
  <si>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</si>
  <si>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</si>
  <si>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</si>
  <si>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</si>
  <si>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</si>
  <si>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</si>
  <si>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</si>
  <si>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</si>
  <si>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</si>
  <si>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</si>
  <si>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</si>
  <si>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</si>
  <si>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</si>
  <si>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</si>
  <si>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</si>
  <si>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</si>
  <si>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</si>
  <si>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</si>
  <si>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</si>
  <si>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</si>
  <si>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</si>
  <si>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</si>
  <si>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</si>
  <si>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</si>
  <si>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</si>
  <si>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</si>
  <si>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</si>
  <si>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</si>
  <si>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</si>
  <si>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</si>
  <si>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</si>
  <si>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</si>
  <si>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</si>
  <si>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CATALINA FONSECA VELANDIA                  Cedio a                                                                  ESTEFANIA MONTOYA DOMINGUEZ</t>
  </si>
  <si>
    <t>$ 2.625.000                                                                                                  $ 2.100.000</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</si>
  <si>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</si>
  <si>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</si>
  <si>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</si>
  <si>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</si>
  <si>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</si>
  <si>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</si>
  <si>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</si>
  <si>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</si>
  <si>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</si>
  <si>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</si>
  <si>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</si>
  <si>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</si>
  <si>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</si>
  <si>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</si>
  <si>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</si>
  <si>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r>
      <t>Certificado de Disponibilidad Presupuestal N° 13416</t>
    </r>
    <r>
      <rPr>
        <sz val="12"/>
        <color theme="1"/>
        <rFont val="Arial"/>
        <family val="2"/>
      </rPr>
      <t xml:space="preserve"> del                 28 de  Marzo de 2016</t>
    </r>
  </si>
  <si>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</si>
  <si>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</si>
  <si>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</si>
  <si>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</si>
  <si>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</si>
  <si>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</si>
  <si>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</si>
  <si>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</si>
  <si>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</si>
  <si>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</si>
  <si>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</si>
  <si>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</si>
  <si>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</si>
  <si>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</si>
  <si>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</si>
  <si>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</si>
  <si>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</si>
  <si>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</si>
  <si>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</si>
  <si>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</si>
  <si>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</si>
  <si>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</si>
  <si>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</si>
  <si>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</si>
  <si>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</si>
  <si>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</si>
  <si>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</si>
  <si>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</si>
  <si>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</si>
  <si>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</si>
  <si>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</si>
  <si>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</si>
  <si>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</si>
  <si>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</si>
  <si>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</si>
  <si>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</si>
  <si>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</si>
  <si>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</si>
  <si>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</si>
  <si>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</si>
  <si>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</si>
  <si>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</si>
  <si>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</si>
  <si>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</si>
  <si>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</si>
  <si>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</si>
  <si>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</si>
  <si>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</si>
  <si>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</si>
  <si>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</si>
  <si>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</si>
  <si>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</si>
  <si>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</si>
  <si>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</si>
  <si>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</si>
  <si>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</si>
  <si>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</si>
  <si>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</si>
  <si>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</si>
  <si>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</si>
  <si>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</si>
  <si>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</si>
  <si>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</si>
  <si>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</si>
  <si>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</si>
  <si>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</si>
  <si>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</si>
  <si>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</si>
  <si>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</si>
  <si>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</si>
  <si>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</si>
  <si>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</si>
  <si>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</si>
  <si>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</si>
  <si>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</si>
  <si>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</si>
  <si>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</si>
  <si>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</si>
  <si>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</si>
  <si>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</si>
  <si>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</si>
  <si>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</si>
  <si>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</si>
  <si>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</si>
  <si>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</si>
  <si>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</si>
  <si>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</si>
  <si>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</si>
  <si>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</si>
  <si>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</si>
  <si>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</si>
  <si>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</si>
  <si>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</si>
  <si>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</si>
  <si>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</si>
  <si>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</si>
  <si>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</si>
  <si>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</si>
  <si>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</si>
  <si>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</si>
  <si>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</si>
  <si>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</si>
  <si>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</si>
  <si>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</si>
  <si>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</si>
  <si>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</si>
  <si>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</si>
  <si>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</si>
  <si>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</si>
  <si>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</si>
  <si>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</si>
  <si>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</si>
  <si>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</si>
  <si>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</si>
  <si>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</si>
  <si>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</si>
  <si>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</si>
  <si>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</si>
  <si>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</si>
  <si>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Contratar el servicio de entrenamiento en JAVA</t>
  </si>
  <si>
    <t>Adquisición de perifericos - Micrófonos</t>
  </si>
  <si>
    <t>Licenciamiento de garantia extendida (soporte) para librería de cintas Hewlett Packard y renovación del soporte de software de backup</t>
  </si>
  <si>
    <t>PROYECTOS DE INVERSIÓN</t>
  </si>
  <si>
    <t>Adquisición de bienes y servicios - Funcionamiento</t>
  </si>
  <si>
    <t xml:space="preserve">DESCRIPCIÓN </t>
  </si>
  <si>
    <t>% EJECUCIÓN</t>
  </si>
  <si>
    <t>Realizar capacitación en Lyferay</t>
  </si>
  <si>
    <t>Convenio de Cooperación con la Organización de Estados Iberoamericanos - OEI,  para la  organización del Archivo Central  y el Fondo documental de la Función Pública.</t>
  </si>
  <si>
    <t>191/2016</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</si>
  <si>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</si>
  <si>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</si>
  <si>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</si>
  <si>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</si>
  <si>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</si>
  <si>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</si>
  <si>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</si>
  <si>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</si>
  <si>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</si>
  <si>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</si>
  <si>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</si>
  <si>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192/2016</t>
  </si>
  <si>
    <t>193/2016</t>
  </si>
  <si>
    <t>194/2016</t>
  </si>
  <si>
    <t>Francisco Camargo Tel. 3344080 ert. 191</t>
  </si>
  <si>
    <t xml:space="preserve">Contratar  la definición de requerimientos y el diseño del Sistema de Información de Gestión del Empleo Público </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</si>
  <si>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</si>
  <si>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</si>
  <si>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</si>
  <si>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Julio</t>
  </si>
  <si>
    <t xml:space="preserve">GRUPO DE GESTIÓN ADMINISTRATIVA </t>
  </si>
  <si>
    <t>2  HORNOS MICROONDAS $1.800.000</t>
  </si>
  <si>
    <t>MINIMA CUANTÍA</t>
  </si>
  <si>
    <t>C-520-1000-10 Recurso 11</t>
  </si>
  <si>
    <t>GRUPO GESTIÓN ADMINSITRATIVA</t>
  </si>
  <si>
    <t>Publicación de Edictos y convocatorias del Departamento Administrativo de la Función Pública en un diario de amplia circulación Nacional</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</si>
  <si>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</si>
  <si>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</si>
  <si>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</si>
  <si>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Armando Ardila Tel 3344080 Ett. 192</t>
  </si>
  <si>
    <t>Mantenimiento Fotocopiadora y Duplicadora.</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</si>
  <si>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</si>
  <si>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</si>
  <si>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</si>
  <si>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</si>
  <si>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</si>
  <si>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</si>
  <si>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</si>
  <si>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</si>
  <si>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</si>
  <si>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</si>
  <si>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</si>
  <si>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</si>
  <si>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</si>
  <si>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</si>
  <si>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</si>
  <si>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</si>
  <si>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</si>
  <si>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</si>
  <si>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</si>
  <si>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</si>
  <si>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</si>
  <si>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</si>
  <si>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</si>
  <si>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</si>
  <si>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</si>
  <si>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</si>
  <si>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</si>
  <si>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</si>
  <si>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</si>
  <si>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</si>
  <si>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</si>
  <si>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</si>
  <si>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</si>
  <si>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</si>
  <si>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</si>
  <si>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</si>
  <si>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</si>
  <si>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</si>
  <si>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5 TELEFONOS CELULAES $3.500.000; DOS MICROFONOS SOLAPA $400.000</t>
  </si>
  <si>
    <t>ADICIONAR DOTACION FUNCIONARIO $1 MILL.+ COMPRA CHALECOS  BRIGADISTAS $1.5 MILLONES.</t>
  </si>
  <si>
    <t>saldos  por rubro</t>
  </si>
  <si>
    <t>NECESIDADES PARA AJUSTE PRESUPUESTAL</t>
  </si>
  <si>
    <t>SUBTOTAL OTROS GASTOS POR ADQUIS. BIENES</t>
  </si>
  <si>
    <t>Adicionar contrato actual en $2,5 millones Y cubrir necesidades del PAA.</t>
  </si>
  <si>
    <t>cubrir gastos de caja menor</t>
  </si>
  <si>
    <t>SUMAS</t>
  </si>
  <si>
    <t>PINTURA MUEBLES ($2.500.000)</t>
  </si>
  <si>
    <t>SOAT  ($1,264,000)+ TERCEROS (2.008.000) PARA 4 VEHÍCULOS DE FONADE: $3,272,000</t>
  </si>
  <si>
    <t>SUSCRIPCION INTERNET JURIDICA $ 4 MILLONES.</t>
  </si>
  <si>
    <t>PROPUESTA TRASLADOS
   ACRED             CONTRAACRE</t>
  </si>
  <si>
    <t>repuestos fotocopiadora: TOTAL $700,000. Se requeire$400,000</t>
  </si>
  <si>
    <t>Promedio consumo mensual $1,5mill. Total $ 9 millon.</t>
  </si>
  <si>
    <t>Promedio consumo dos meses $1,500,000. Total  $3-000-000</t>
  </si>
  <si>
    <t>Promedio consumo mensual $9.000.000. Total $45,000.000, se debe adicionar en $16 millones</t>
  </si>
  <si>
    <t>Promedio consumo mensual $23 mill. Total $60mill. se debe adicionar en $44 millones</t>
  </si>
  <si>
    <t>pruebas</t>
  </si>
  <si>
    <t>200/2016</t>
  </si>
  <si>
    <t>$ 320.000.000                     $ 184.000.000</t>
  </si>
  <si>
    <t>Será de quince (15) días hábiles, contados a partir del perfeccionamiento del mismo y registro presupuestal.</t>
  </si>
  <si>
    <t>97916 DEL 15 - Julio 2016</t>
  </si>
  <si>
    <r>
      <t>180</t>
    </r>
    <r>
      <rPr>
        <sz val="12"/>
        <rFont val="Arial"/>
        <family val="2"/>
      </rPr>
      <t>16</t>
    </r>
    <r>
      <rPr>
        <sz val="12"/>
        <color theme="1"/>
        <rFont val="Arial"/>
        <family val="2"/>
      </rPr>
      <t xml:space="preserve"> del 14 de Abril de 2016</t>
    </r>
  </si>
  <si>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</si>
  <si>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t>Modificar la señalización informativa existente, e instalarla al interior del edificio sede del Departamento Administrativo de la Función Pública, ubicado en la carrera 6 N° 12 - 62 de la cuidad de Bogotá D.C., de acuerdo con la Ficha Técnica.</t>
  </si>
  <si>
    <t>INPEX PUBLICIDAD S.A.S</t>
  </si>
  <si>
    <t>199/2016</t>
  </si>
  <si>
    <t>IVAN ADOLFO MORANTES MOJICA</t>
  </si>
  <si>
    <t>Treinta (30) días calendario, contados a partir del perfeccionamiento del mismo, aprobación de póliza y registro presupuestal.</t>
  </si>
  <si>
    <t>LIBERTY SEGUROS S.A.</t>
  </si>
  <si>
    <t>85116 DEL 15- Junio 2016</t>
  </si>
  <si>
    <t>Certificado de Disponibilidad Presupuestal N° 16016 del                 07 de Abril de 2016</t>
  </si>
  <si>
    <t>GRUPO DE GESTION DOCUMENTAL</t>
  </si>
  <si>
    <t xml:space="preserve">JUDY MAGALI RODRIGUEZ SANTANA                                LUIS ALEJANDRO BEJARANO </t>
  </si>
  <si>
    <t xml:space="preserve">Será doce (12) meses, contados a partir del perfeccionamiento del Convenio y suscripción del Acta de Inicio. </t>
  </si>
  <si>
    <t>94616 DEL 30 - Junio 2016</t>
  </si>
  <si>
    <t>MEJORAMIENTO TECNOLOGICO Y OPERATIVO DE LA GESTION DOCUMENTAL DEL DEPARATAMENTO ADMINISTRATIVO DE LA GESTION PUBLICA</t>
  </si>
  <si>
    <r>
      <t>Certificado de Disponibilidad Presupuestal N° 233</t>
    </r>
    <r>
      <rPr>
        <sz val="12"/>
        <rFont val="Arial"/>
        <family val="2"/>
      </rPr>
      <t>16</t>
    </r>
    <r>
      <rPr>
        <sz val="12"/>
        <color theme="1"/>
        <rFont val="Arial"/>
        <family val="2"/>
      </rPr>
      <t xml:space="preserve"> del                 07 de Junio de 2016</t>
    </r>
  </si>
  <si>
    <t>A) Por parte de LA OEI, la suma de OCHOCIENTOS CINCUENTA MILLONES DE PESOS ($850’000.000) M/CTE incluido IVA; y b) Por parte de LA FUNCION PÚBLICA se aportará la suma de OCHOCIENTOS CINCUENTA MILLONES DE PESOS ($850’000.000) M/CTE incluido IVA.</t>
  </si>
  <si>
    <t>CONVENIO DE COOPERACION</t>
  </si>
  <si>
    <t>OEI</t>
  </si>
  <si>
    <t>$ 2.133.333                                   $ 1.866.667</t>
  </si>
  <si>
    <t>$ 1.413.283                        $ 1.156.354</t>
  </si>
  <si>
    <t>$ 971.907                           $ 2.222.239</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</si>
  <si>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</si>
  <si>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$ 2.082.500                              $ 2.205.000</t>
  </si>
  <si>
    <t>$ 2.033.216                                  $ 2.260.672</t>
  </si>
  <si>
    <t>HILDA CONSTANZA SANCHEZ</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</si>
  <si>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</si>
  <si>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</si>
  <si>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</si>
  <si>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</si>
  <si>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</si>
  <si>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</si>
  <si>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</si>
  <si>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</si>
  <si>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</si>
  <si>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</si>
  <si>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</si>
  <si>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</si>
  <si>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Prestar los servicios profesionales en la Oficina Asesora de Planeación  de la Función Pública, para apoyar los procesos, procedimientos del Sistema de gestión de calidad institucionales, en el marco del Proyecto de Inversión, "MEJORAMIENTO, FORTALECIMIENTO DE LA CAPACIDAD INSTITUCIONAL PARA EL DESARROLLO DE LAS POLÍTICAS PÚBLICAS NACIONAL".</t>
  </si>
  <si>
    <t>Karen León Hernández. Tel: 3344080 ext 148</t>
  </si>
  <si>
    <t>Prestar los servicios profesionales en la Oficina Asesora de Planeación  de la Función Pública, para apoyar los procesos, evaluaciones financieras y manejo de información institucional, en el marco del Proyecto de Inversión, "MEJORAMIENTO, FORTALECIMIENTO DE LA CAPACIDAD INSTITUCIONAL PARA EL DESARROLLO DE LAS POLÍTICAS PÚBLICAS NACIONAL".</t>
  </si>
  <si>
    <t>Prestar los servicios profesionales en la Oficina Asesora de Planeación  de la Función Pública, para apoyar en el manejo de la información y resultados compilados, en el marco del Proyecto de Inversión, "MEJORAMIENTO, FORTALECIMIENTO DE LA CAPACIDAD INSTITUCIONAL PARA EL DESARROLLO DE LAS POLÍTICAS PÚBLICAS NACIONAL".</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</si>
  <si>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</si>
  <si>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</si>
  <si>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</si>
  <si>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AGOSD</t>
  </si>
  <si>
    <t>TOTAL PAGOS 
PRIMER TRIMESTRE 2016</t>
  </si>
  <si>
    <t>TOTAL PAGOS 
SEGUNDO TRIMESTRE 2016</t>
  </si>
  <si>
    <t>TOTAL PAGOS 
TERCER TRIMESTRE 2016</t>
  </si>
  <si>
    <t>RUBROS PRESUPUESTALES - PAA</t>
  </si>
  <si>
    <t>CLARO MOVIL $4.500.000</t>
  </si>
  <si>
    <t>12 meses y 10 días calendario</t>
  </si>
  <si>
    <t>PLAN ANUAL DE ADQUISICIONES 2016</t>
  </si>
  <si>
    <t>% EJECUCIÓN DEL PAA POR RUBRO</t>
  </si>
  <si>
    <t xml:space="preserve">Prestación de servicios  para apoyar el Modelo Unificado de Gestión Prestación de servicios para apoyo en la mineria de datos  </t>
  </si>
  <si>
    <t>4 MESES</t>
  </si>
  <si>
    <t xml:space="preserve">
ANGELA MARÍA GONZALEZ LOZADA
SECRETARIA GENERAL
JULIAN MAURICIO MARTINEZ ALVARADO
COORDINADOR DEL GRUPO DE GESTIÓN ADMINISTRATIVA</t>
  </si>
  <si>
    <t>210/2016</t>
  </si>
  <si>
    <t>209/2016</t>
  </si>
  <si>
    <t>207/2016</t>
  </si>
  <si>
    <t>Adquisición del licenciamiento Oracle Database Enterprise Edition y Oracle Real Application Clusters - Processor Perpetual, con el respectivo soporte. (crecimiento de cores licencidos (ODA)</t>
  </si>
  <si>
    <t>201/2016</t>
  </si>
  <si>
    <t>203/2016</t>
  </si>
  <si>
    <t>205/2016</t>
  </si>
  <si>
    <t>204/2016</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</si>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</sst>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0.00_ ;\-#,##0.00\ "/>
    <numFmt numFmtId="169" formatCode="#,###\ &quot;MESES&quot;"/>
    <numFmt numFmtId="170" formatCode="&quot;$&quot;\ #,##0.00"/>
    <numFmt numFmtId="171" formatCode="#,###.0\ &quot;MESES&quot;"/>
    <numFmt numFmtId="172" formatCode="_-[$$-240A]* #,##0.00_-;\-[$$-240A]* #,##0.00_-;_-[$$-240A]* &quot;-&quot;??_-;_-@_-"/>
    <numFmt numFmtId="173" formatCode="0\ &quot;MESES&quot;"/>
    <numFmt numFmtId="174" formatCode="_ * #,##0.00_ ;_ * \-#,##0.00_ ;_ * &quot;-&quot;??_ ;_ @_ "/>
    <numFmt numFmtId="175" formatCode="_ &quot;$&quot;\ * #,##0.00_ ;_ &quot;$&quot;\ * \-#,##0.00_ ;_ &quot;$&quot;\ * &quot;-&quot;??_ ;_ @_ "/>
    <numFmt numFmtId="176" formatCode="[$-1240A]&quot;$&quot;\ #,##0.00;\(&quot;$&quot;\ #,##0.00\)"/>
    <numFmt numFmtId="177" formatCode="yyyy\-mm\-dd;@"/>
    <numFmt numFmtId="178" formatCode="0.0%"/>
    <numFmt numFmtId="179" formatCode="0.000%"/>
  </numFmts>
  <fonts count="14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1"/>
      <name val="Calibri"/>
      <family val="2"/>
    </font>
    <font>
      <sz val="8"/>
      <color rgb="FF000000"/>
      <name val="Times New Roman"/>
      <family val="1"/>
    </font>
    <font>
      <b/>
      <sz val="9"/>
      <color rgb="FF000000"/>
      <name val="Times New Roman"/>
      <family val="1"/>
    </font>
    <font>
      <b/>
      <sz val="9"/>
      <color rgb="FF000000"/>
      <name val="Arial"/>
      <family val="2"/>
    </font>
    <font>
      <b/>
      <sz val="11"/>
      <name val="Calibri"/>
      <family val="2"/>
    </font>
    <font>
      <b/>
      <sz val="8"/>
      <color rgb="FFFF0000"/>
      <name val="Arial"/>
      <family val="2"/>
    </font>
    <font>
      <b/>
      <sz val="9"/>
      <color rgb="FFFF0000"/>
      <name val="Arial"/>
      <family val="2"/>
    </font>
    <font>
      <sz val="8"/>
      <name val="Calibri"/>
      <family val="2"/>
    </font>
    <font>
      <b/>
      <sz val="8"/>
      <color rgb="FF002060"/>
      <name val="Arial"/>
      <family val="2"/>
    </font>
    <font>
      <b/>
      <sz val="9"/>
      <name val="Calibri"/>
      <family val="2"/>
    </font>
    <font>
      <sz val="8"/>
      <color rgb="FF002060"/>
      <name val="Arial"/>
      <family val="2"/>
    </font>
    <font>
      <sz val="9"/>
      <name val="Arial"/>
      <family val="2"/>
    </font>
    <font>
      <b/>
      <sz val="9"/>
      <name val="Arial"/>
      <family val="2"/>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8"/>
      <name val="Arial"/>
      <family val="2"/>
    </font>
    <font>
      <b/>
      <sz val="9"/>
      <color theme="0"/>
      <name val="Arial"/>
      <family val="2"/>
    </font>
    <font>
      <b/>
      <sz val="9"/>
      <color rgb="FFC00000"/>
      <name val="Arial"/>
      <family val="2"/>
    </font>
    <font>
      <b/>
      <sz val="11"/>
      <color rgb="FF000000"/>
      <name val="Arial"/>
      <family val="2"/>
    </font>
    <font>
      <b/>
      <sz val="11"/>
      <name val="Arial"/>
      <family val="2"/>
    </font>
    <font>
      <b/>
      <sz val="8"/>
      <name val="Calibri"/>
      <family val="2"/>
    </font>
    <font>
      <b/>
      <sz val="11"/>
      <color theme="0"/>
      <name val="Arial"/>
      <family val="2"/>
    </font>
    <font>
      <b/>
      <sz val="6"/>
      <name val="Arial"/>
      <family val="2"/>
    </font>
    <font>
      <b/>
      <sz val="8"/>
      <color theme="0"/>
      <name val="Arial"/>
      <family val="2"/>
    </font>
    <font>
      <b/>
      <sz val="14"/>
      <color theme="1"/>
      <name val="Calibri"/>
      <family val="2"/>
      <scheme val="minor"/>
    </font>
    <font>
      <b/>
      <sz val="11"/>
      <color theme="0"/>
      <name val="Calibri"/>
      <family val="2"/>
      <scheme val="minor"/>
    </font>
    <font>
      <sz val="8"/>
      <color theme="0"/>
      <name val="Arial"/>
      <family val="2"/>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sz val="8"/>
      <color rgb="FFC0000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8"/>
      <name val="Arial"/>
      <family val="2"/>
    </font>
    <font>
      <sz val="11"/>
      <color theme="0"/>
      <name val="Calibri"/>
      <family val="2"/>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8"/>
      <color theme="7" tint="-0.499984740745262"/>
      <name val="Arial"/>
      <family val="2"/>
    </font>
    <font>
      <b/>
      <sz val="10"/>
      <name val="Arial"/>
      <family val="2"/>
    </font>
    <font>
      <b/>
      <sz val="10"/>
      <color theme="5" tint="-0.249977111117893"/>
      <name val="Arial"/>
      <family val="2"/>
    </font>
    <font>
      <b/>
      <sz val="12"/>
      <name val="Tahoma"/>
      <family val="2"/>
    </font>
    <font>
      <sz val="9"/>
      <color theme="5" tint="-0.249977111117893"/>
      <name val="Arial"/>
      <family val="2"/>
    </font>
    <font>
      <b/>
      <sz val="10"/>
      <name val="Tahoma"/>
      <family val="2"/>
    </font>
    <font>
      <sz val="10"/>
      <color theme="5" tint="-0.249977111117893"/>
      <name val="Arial"/>
      <family val="2"/>
    </font>
    <font>
      <b/>
      <sz val="7"/>
      <name val="Arial"/>
      <family val="2"/>
    </font>
    <font>
      <b/>
      <sz val="10"/>
      <color theme="7" tint="-0.499984740745262"/>
      <name val="Arial"/>
      <family val="2"/>
    </font>
    <font>
      <sz val="9"/>
      <color theme="7" tint="-0.499984740745262"/>
      <name val="Arial"/>
      <family val="2"/>
    </font>
    <font>
      <b/>
      <sz val="9"/>
      <color theme="7" tint="-0.499984740745262"/>
      <name val="Arial"/>
      <family val="2"/>
    </font>
    <font>
      <b/>
      <sz val="10"/>
      <color theme="7" tint="-0.499984740745262"/>
      <name val="Tahoma"/>
      <family val="2"/>
    </font>
    <font>
      <b/>
      <sz val="6"/>
      <color theme="7" tint="-0.499984740745262"/>
      <name val="Arial"/>
      <family val="2"/>
    </font>
    <font>
      <b/>
      <sz val="7"/>
      <color theme="7" tint="-0.499984740745262"/>
      <name val="Arial"/>
      <family val="2"/>
    </font>
    <font>
      <b/>
      <sz val="20"/>
      <name val="Arial"/>
      <family val="2"/>
    </font>
    <font>
      <b/>
      <sz val="14"/>
      <color theme="6" tint="-0.499984740745262"/>
      <name val="Arial"/>
      <family val="2"/>
    </font>
    <font>
      <sz val="11"/>
      <color rgb="FF006100"/>
      <name val="Calibri"/>
      <family val="2"/>
      <scheme val="minor"/>
    </font>
    <font>
      <b/>
      <sz val="9"/>
      <color theme="5" tint="-0.499984740745262"/>
      <name val="Arial"/>
      <family val="2"/>
    </font>
    <font>
      <sz val="12"/>
      <color theme="0"/>
      <name val="Arial"/>
      <family val="2"/>
    </font>
    <font>
      <strike/>
      <sz val="12"/>
      <name val="Arial"/>
      <family val="2"/>
    </font>
    <font>
      <sz val="12"/>
      <color rgb="FF000000"/>
      <name val="Times New Roman"/>
      <family val="1"/>
    </font>
    <font>
      <sz val="12"/>
      <name val="Calibri"/>
      <family val="2"/>
    </font>
    <font>
      <b/>
      <sz val="9"/>
      <name val="Times New Roman"/>
      <family val="1"/>
    </font>
    <font>
      <b/>
      <sz val="14"/>
      <name val="Calibri"/>
      <family val="2"/>
      <scheme val="minor"/>
    </font>
    <font>
      <b/>
      <sz val="11"/>
      <name val="Calibri"/>
      <family val="2"/>
      <scheme val="minor"/>
    </font>
    <font>
      <b/>
      <sz val="16"/>
      <name val="Calibri"/>
      <family val="2"/>
    </font>
    <font>
      <sz val="8"/>
      <name val="Times New Roman"/>
      <family val="1"/>
    </font>
    <font>
      <sz val="9"/>
      <name val="Calibri"/>
      <family val="2"/>
    </font>
    <font>
      <sz val="9"/>
      <color theme="0"/>
      <name val="Arial"/>
      <family val="2"/>
    </font>
    <font>
      <sz val="9"/>
      <color theme="0"/>
      <name val="Calibri"/>
      <family val="2"/>
    </font>
    <font>
      <b/>
      <sz val="11"/>
      <name val="Times New Roman"/>
      <family val="1"/>
    </font>
    <font>
      <b/>
      <sz val="11"/>
      <color theme="0"/>
      <name val="Calibri"/>
      <family val="2"/>
    </font>
    <font>
      <b/>
      <sz val="11"/>
      <color rgb="FF000000"/>
      <name val="Calibri"/>
      <family val="2"/>
      <scheme val="minor"/>
    </font>
    <font>
      <b/>
      <sz val="8"/>
      <color rgb="FF000000"/>
      <name val="Times New Roman"/>
      <family val="1"/>
    </font>
    <font>
      <sz val="14"/>
      <name val="Calibri"/>
      <family val="2"/>
    </font>
    <font>
      <sz val="14"/>
      <color theme="0"/>
      <name val="Calibri"/>
      <family val="2"/>
    </font>
    <font>
      <b/>
      <sz val="11"/>
      <color rgb="FFFF0000"/>
      <name val="Calibri"/>
      <family val="2"/>
      <scheme val="minor"/>
    </font>
    <font>
      <b/>
      <sz val="22"/>
      <color rgb="FFFF0000"/>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b/>
      <sz val="14"/>
      <color theme="1"/>
      <name val="Times New Roman"/>
      <family val="1"/>
    </font>
    <font>
      <sz val="11"/>
      <color rgb="FF000000"/>
      <name val="Times New Roman"/>
      <family val="1"/>
    </font>
    <font>
      <sz val="12"/>
      <color theme="0"/>
      <name val="Times New Roman"/>
      <family val="1"/>
    </font>
    <font>
      <sz val="18"/>
      <name val="Calibri"/>
      <family val="2"/>
    </font>
    <font>
      <b/>
      <sz val="18"/>
      <name val="Calibri"/>
      <family val="2"/>
    </font>
    <font>
      <sz val="18"/>
      <color theme="0"/>
      <name val="Calibri"/>
      <family val="2"/>
    </font>
    <font>
      <b/>
      <sz val="11"/>
      <color rgb="FFC00000"/>
      <name val="Calibri"/>
      <family val="2"/>
    </font>
    <font>
      <sz val="18"/>
      <color theme="1"/>
      <name val="Calibri"/>
      <family val="2"/>
    </font>
    <font>
      <sz val="20"/>
      <name val="Calibri"/>
      <family val="2"/>
    </font>
    <font>
      <sz val="9"/>
      <color indexed="81"/>
      <name val="Tahoma"/>
      <family val="2"/>
    </font>
    <font>
      <b/>
      <sz val="9"/>
      <color indexed="81"/>
      <name val="Tahoma"/>
      <family val="2"/>
    </font>
    <font>
      <b/>
      <sz val="18"/>
      <color theme="0"/>
      <name val="Calibri"/>
      <family val="2"/>
    </font>
    <font>
      <b/>
      <sz val="18"/>
      <name val="Arial"/>
      <family val="2"/>
    </font>
    <font>
      <sz val="18"/>
      <name val="Arial"/>
      <family val="2"/>
    </font>
    <font>
      <sz val="18"/>
      <color theme="0"/>
      <name val="Arial"/>
      <family val="2"/>
    </font>
    <font>
      <b/>
      <sz val="16"/>
      <name val="Calibri"/>
      <family val="2"/>
      <scheme val="minor"/>
    </font>
    <font>
      <strike/>
      <sz val="11"/>
      <color theme="1"/>
      <name val="Calibri"/>
      <family val="2"/>
      <scheme val="minor"/>
    </font>
    <font>
      <strike/>
      <sz val="12"/>
      <color theme="1"/>
      <name val="Arial"/>
      <family val="2"/>
    </font>
    <font>
      <b/>
      <sz val="20"/>
      <name val="Calibri"/>
      <family val="2"/>
    </font>
    <font>
      <b/>
      <sz val="24"/>
      <name val="Calibri"/>
      <family val="2"/>
    </font>
    <font>
      <b/>
      <strike/>
      <sz val="14"/>
      <name val="Arial"/>
      <family val="2"/>
    </font>
    <font>
      <strike/>
      <sz val="12"/>
      <color theme="1"/>
      <name val="Times New Roman"/>
      <family val="1"/>
    </font>
    <font>
      <b/>
      <sz val="22"/>
      <name val="Calibri"/>
      <family val="2"/>
    </font>
    <font>
      <b/>
      <sz val="20"/>
      <color theme="1"/>
      <name val="Calibri"/>
      <family val="2"/>
      <scheme val="minor"/>
    </font>
    <font>
      <b/>
      <sz val="16"/>
      <color theme="0"/>
      <name val="Arial"/>
      <family val="2"/>
    </font>
    <font>
      <b/>
      <sz val="22"/>
      <color theme="0"/>
      <name val="Arial"/>
      <family val="2"/>
    </font>
  </fonts>
  <fills count="35">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rgb="FF002060"/>
        <bgColor indexed="64"/>
      </patternFill>
    </fill>
    <fill>
      <patternFill patternType="solid">
        <fgColor theme="1"/>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rgb="FFC6EFCE"/>
      </patternFill>
    </fill>
    <fill>
      <patternFill patternType="solid">
        <fgColor theme="1" tint="0.499984740745262"/>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D3D3D3"/>
      </right>
      <top/>
      <bottom style="thin">
        <color rgb="FFD3D3D3"/>
      </bottom>
      <diagonal/>
    </border>
    <border>
      <left/>
      <right style="thin">
        <color rgb="FFD3D3D3"/>
      </right>
      <top style="thin">
        <color rgb="FFD3D3D3"/>
      </top>
      <bottom/>
      <diagonal/>
    </border>
    <border>
      <left style="thin">
        <color rgb="FFD3D3D3"/>
      </left>
      <right style="thin">
        <color indexed="64"/>
      </right>
      <top/>
      <bottom style="thin">
        <color rgb="FFD3D3D3"/>
      </bottom>
      <diagonal/>
    </border>
    <border>
      <left style="thin">
        <color rgb="FFD3D3D3"/>
      </left>
      <right style="thin">
        <color indexed="64"/>
      </right>
      <top style="thin">
        <color rgb="FFD3D3D3"/>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bottom style="thin">
        <color rgb="FFD3D3D3"/>
      </bottom>
      <diagonal/>
    </border>
    <border>
      <left style="thin">
        <color indexed="64"/>
      </left>
      <right style="thin">
        <color indexed="64"/>
      </right>
      <top/>
      <bottom/>
      <diagonal/>
    </border>
    <border>
      <left/>
      <right style="thick">
        <color auto="1"/>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rgb="FFD3D3D3"/>
      </right>
      <top/>
      <bottom/>
      <diagonal/>
    </border>
    <border>
      <left/>
      <right/>
      <top style="thin">
        <color rgb="FFD3D3D3"/>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4">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0" fontId="90" fillId="27"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301">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3" borderId="0" xfId="0" applyFill="1"/>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6"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0" fillId="3" borderId="0" xfId="1" applyNumberFormat="1" applyFont="1" applyFill="1"/>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6"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6" fontId="7" fillId="0" borderId="1"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0" fontId="0" fillId="0" borderId="0" xfId="0" applyFill="1"/>
    <xf numFmtId="0" fontId="23" fillId="0" borderId="0" xfId="7" applyFont="1" applyFill="1" applyBorder="1"/>
    <xf numFmtId="39" fontId="23" fillId="0" borderId="0" xfId="7" applyNumberFormat="1" applyFont="1" applyFill="1" applyBorder="1"/>
    <xf numFmtId="39" fontId="23" fillId="0" borderId="1" xfId="7" applyNumberFormat="1" applyFont="1" applyFill="1" applyBorder="1"/>
    <xf numFmtId="0" fontId="24" fillId="0" borderId="22" xfId="7" applyNumberFormat="1" applyFont="1" applyFill="1" applyBorder="1" applyAlignment="1">
      <alignment horizontal="center" vertical="center" wrapText="1" readingOrder="1"/>
    </xf>
    <xf numFmtId="0" fontId="25" fillId="0" borderId="0" xfId="7" applyNumberFormat="1" applyFont="1" applyFill="1" applyBorder="1" applyAlignment="1">
      <alignment horizontal="center" vertical="center" wrapText="1" readingOrder="1"/>
    </xf>
    <xf numFmtId="0" fontId="30" fillId="0" borderId="0" xfId="7" applyFont="1" applyFill="1" applyBorder="1"/>
    <xf numFmtId="0" fontId="23" fillId="0" borderId="1" xfId="7" applyFont="1" applyFill="1" applyBorder="1"/>
    <xf numFmtId="0" fontId="32" fillId="4" borderId="0" xfId="7" applyFont="1" applyFill="1" applyBorder="1" applyAlignment="1">
      <alignment horizontal="center" vertical="center"/>
    </xf>
    <xf numFmtId="39" fontId="27" fillId="0" borderId="1" xfId="7" applyNumberFormat="1" applyFont="1" applyFill="1" applyBorder="1"/>
    <xf numFmtId="0" fontId="23" fillId="3" borderId="0" xfId="7" applyFont="1" applyFill="1" applyBorder="1"/>
    <xf numFmtId="167" fontId="7" fillId="0" borderId="1" xfId="6" applyNumberFormat="1" applyFont="1" applyFill="1" applyBorder="1" applyAlignment="1">
      <alignment horizontal="right" vertical="center" wrapText="1"/>
    </xf>
    <xf numFmtId="167"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6"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6" fillId="0" borderId="1" xfId="6" applyNumberFormat="1" applyFont="1" applyFill="1" applyBorder="1" applyAlignment="1">
      <alignment horizontal="right" vertical="center" wrapText="1"/>
    </xf>
    <xf numFmtId="167" fontId="6" fillId="0" borderId="1" xfId="1" applyNumberFormat="1" applyFont="1" applyFill="1" applyBorder="1" applyAlignment="1">
      <alignment horizontal="right" vertical="center" wrapText="1"/>
    </xf>
    <xf numFmtId="166" fontId="10" fillId="0" borderId="1" xfId="1"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5" fontId="7" fillId="0" borderId="6" xfId="0" applyNumberFormat="1" applyFont="1" applyFill="1" applyBorder="1" applyAlignment="1" applyProtection="1">
      <alignment horizontal="center" vertical="center" wrapText="1"/>
      <protection locked="0"/>
    </xf>
    <xf numFmtId="39" fontId="27" fillId="0" borderId="7" xfId="7" applyNumberFormat="1" applyFont="1" applyFill="1" applyBorder="1" applyAlignment="1">
      <alignment vertical="center"/>
    </xf>
    <xf numFmtId="0" fontId="23" fillId="0" borderId="9" xfId="7" applyFont="1" applyFill="1" applyBorder="1"/>
    <xf numFmtId="0" fontId="32" fillId="4" borderId="9" xfId="7" applyFont="1" applyFill="1" applyBorder="1" applyAlignment="1">
      <alignment horizontal="center" vertical="center"/>
    </xf>
    <xf numFmtId="44" fontId="0" fillId="0" borderId="0" xfId="0" applyNumberFormat="1" applyFont="1" applyAlignment="1">
      <alignment vertical="center" wrapText="1"/>
    </xf>
    <xf numFmtId="0" fontId="23" fillId="0" borderId="1" xfId="7" applyFont="1" applyFill="1" applyBorder="1" applyAlignment="1">
      <alignment horizontal="center" vertical="center" wrapText="1"/>
    </xf>
    <xf numFmtId="0" fontId="0" fillId="3" borderId="0" xfId="0" applyFont="1" applyFill="1" applyAlignment="1">
      <alignment vertical="center" wrapText="1"/>
    </xf>
    <xf numFmtId="0" fontId="17" fillId="11" borderId="0" xfId="0" applyFont="1" applyFill="1"/>
    <xf numFmtId="0" fontId="40" fillId="0" borderId="1" xfId="0" applyFont="1" applyFill="1" applyBorder="1"/>
    <xf numFmtId="0" fontId="41" fillId="0" borderId="1" xfId="1" applyNumberFormat="1" applyFont="1" applyFill="1" applyBorder="1" applyAlignment="1">
      <alignment horizontal="center" vertical="center" wrapText="1"/>
    </xf>
    <xf numFmtId="0" fontId="17" fillId="0" borderId="38"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44" fillId="0" borderId="1" xfId="1" applyNumberFormat="1" applyFont="1" applyFill="1" applyBorder="1" applyAlignment="1">
      <alignment horizontal="center" vertical="center" wrapText="1"/>
    </xf>
    <xf numFmtId="15" fontId="6" fillId="0" borderId="38" xfId="0" applyNumberFormat="1"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0" fontId="40" fillId="0" borderId="1" xfId="1" applyNumberFormat="1" applyFont="1" applyFill="1" applyBorder="1" applyAlignment="1">
      <alignment horizontal="center" vertical="center" wrapText="1"/>
    </xf>
    <xf numFmtId="14" fontId="6" fillId="0" borderId="3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40"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40" fillId="0" borderId="1" xfId="0" applyFont="1" applyFill="1" applyBorder="1" applyAlignment="1">
      <alignment vertical="center" wrapText="1"/>
    </xf>
    <xf numFmtId="0" fontId="0" fillId="11" borderId="0" xfId="0" applyFill="1"/>
    <xf numFmtId="39" fontId="27" fillId="0" borderId="0" xfId="7" applyNumberFormat="1" applyFont="1" applyFill="1" applyBorder="1"/>
    <xf numFmtId="0" fontId="27" fillId="0" borderId="0" xfId="7" applyFont="1" applyFill="1" applyBorder="1"/>
    <xf numFmtId="0" fontId="27" fillId="7" borderId="0" xfId="7" applyFont="1" applyFill="1" applyBorder="1"/>
    <xf numFmtId="0" fontId="27" fillId="8" borderId="0" xfId="7" applyFont="1" applyFill="1" applyBorder="1"/>
    <xf numFmtId="0" fontId="27" fillId="3" borderId="8" xfId="7" applyFont="1" applyFill="1" applyBorder="1"/>
    <xf numFmtId="39" fontId="27" fillId="3" borderId="8" xfId="7" applyNumberFormat="1" applyFont="1" applyFill="1" applyBorder="1"/>
    <xf numFmtId="39" fontId="27" fillId="3" borderId="0" xfId="7" applyNumberFormat="1" applyFont="1" applyFill="1" applyBorder="1"/>
    <xf numFmtId="0" fontId="27" fillId="3" borderId="0" xfId="7" applyFont="1" applyFill="1" applyBorder="1" applyAlignment="1">
      <alignment horizontal="center" vertical="center"/>
    </xf>
    <xf numFmtId="0" fontId="27" fillId="3" borderId="0" xfId="7" applyFont="1" applyFill="1" applyBorder="1"/>
    <xf numFmtId="0" fontId="27" fillId="0" borderId="1" xfId="7" applyFont="1" applyFill="1" applyBorder="1"/>
    <xf numFmtId="0" fontId="27" fillId="0" borderId="7" xfId="7" applyFont="1" applyFill="1" applyBorder="1" applyAlignment="1">
      <alignment vertical="center"/>
    </xf>
    <xf numFmtId="0" fontId="23" fillId="0" borderId="0" xfId="7" applyFont="1" applyFill="1" applyBorder="1" applyAlignment="1">
      <alignment horizontal="center"/>
    </xf>
    <xf numFmtId="39" fontId="27" fillId="8" borderId="8" xfId="7" applyNumberFormat="1" applyFont="1" applyFill="1" applyBorder="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27" fillId="0" borderId="1" xfId="7" applyFont="1" applyFill="1" applyBorder="1" applyAlignment="1">
      <alignment horizontal="center" vertical="center" wrapText="1"/>
    </xf>
    <xf numFmtId="39" fontId="27" fillId="10" borderId="1" xfId="7" applyNumberFormat="1" applyFont="1" applyFill="1" applyBorder="1" applyAlignment="1">
      <alignment wrapText="1"/>
    </xf>
    <xf numFmtId="170" fontId="0" fillId="0" borderId="0" xfId="0" applyNumberFormat="1" applyFont="1" applyFill="1" applyBorder="1" applyAlignment="1">
      <alignment horizontal="center" vertical="center" wrapText="1"/>
    </xf>
    <xf numFmtId="170" fontId="0" fillId="0" borderId="0" xfId="0" applyNumberFormat="1" applyFont="1" applyAlignment="1">
      <alignment vertical="center" wrapText="1"/>
    </xf>
    <xf numFmtId="170" fontId="0" fillId="0" borderId="0" xfId="0" applyNumberFormat="1" applyFont="1" applyAlignment="1">
      <alignment horizontal="right" vertical="center" wrapText="1"/>
    </xf>
    <xf numFmtId="170" fontId="0" fillId="0" borderId="0" xfId="0" applyNumberFormat="1" applyFont="1"/>
    <xf numFmtId="39" fontId="27" fillId="3" borderId="8" xfId="7" applyNumberFormat="1" applyFont="1" applyFill="1" applyBorder="1" applyAlignment="1">
      <alignment horizontal="right" vertical="center"/>
    </xf>
    <xf numFmtId="167" fontId="7" fillId="4" borderId="1" xfId="6" applyNumberFormat="1" applyFont="1" applyFill="1" applyBorder="1" applyAlignment="1">
      <alignment horizontal="right" vertical="center" wrapText="1"/>
    </xf>
    <xf numFmtId="39" fontId="27" fillId="13" borderId="7" xfId="7" applyNumberFormat="1" applyFont="1" applyFill="1" applyBorder="1" applyAlignment="1">
      <alignment vertical="center"/>
    </xf>
    <xf numFmtId="39" fontId="27" fillId="13" borderId="1" xfId="7" applyNumberFormat="1" applyFont="1" applyFill="1" applyBorder="1"/>
    <xf numFmtId="14" fontId="14" fillId="3" borderId="0" xfId="0" applyNumberFormat="1" applyFont="1" applyFill="1" applyBorder="1" applyAlignment="1">
      <alignment horizontal="right" vertical="center" wrapText="1"/>
    </xf>
    <xf numFmtId="168" fontId="27" fillId="3" borderId="0" xfId="7" applyNumberFormat="1" applyFont="1" applyFill="1" applyBorder="1"/>
    <xf numFmtId="0" fontId="55" fillId="16" borderId="0" xfId="0" applyFont="1" applyFill="1" applyAlignment="1">
      <alignment horizontal="center" vertical="center" wrapText="1"/>
    </xf>
    <xf numFmtId="170" fontId="0" fillId="0" borderId="0" xfId="0" applyNumberFormat="1" applyFont="1" applyAlignment="1">
      <alignment horizontal="center" vertical="center" wrapText="1"/>
    </xf>
    <xf numFmtId="44" fontId="54" fillId="0" borderId="0" xfId="1" applyFont="1" applyFill="1" applyAlignment="1">
      <alignment horizontal="right" vertical="center" wrapText="1"/>
    </xf>
    <xf numFmtId="0" fontId="57" fillId="11" borderId="17" xfId="2" applyFont="1" applyFill="1" applyBorder="1" applyAlignment="1">
      <alignment horizontal="center" vertical="center" wrapText="1"/>
    </xf>
    <xf numFmtId="0" fontId="4" fillId="11" borderId="0" xfId="0" applyFont="1" applyFill="1" applyAlignment="1">
      <alignment horizontal="center" vertical="center"/>
    </xf>
    <xf numFmtId="0" fontId="58" fillId="11" borderId="1" xfId="0" applyFont="1" applyFill="1" applyBorder="1" applyAlignment="1">
      <alignment horizontal="center" vertical="center" wrapText="1"/>
    </xf>
    <xf numFmtId="14" fontId="58" fillId="11" borderId="1" xfId="0" applyNumberFormat="1" applyFont="1" applyFill="1" applyBorder="1" applyAlignment="1">
      <alignment horizontal="center" vertical="center" wrapText="1"/>
    </xf>
    <xf numFmtId="166" fontId="58" fillId="11"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39" fontId="27" fillId="0" borderId="8" xfId="7" applyNumberFormat="1" applyFont="1" applyFill="1" applyBorder="1"/>
    <xf numFmtId="39" fontId="27" fillId="13" borderId="0" xfId="7" applyNumberFormat="1" applyFont="1" applyFill="1" applyBorder="1" applyAlignment="1">
      <alignment vertical="center"/>
    </xf>
    <xf numFmtId="0" fontId="27" fillId="0" borderId="0" xfId="7" applyFont="1" applyFill="1" applyBorder="1" applyAlignment="1">
      <alignment vertical="center"/>
    </xf>
    <xf numFmtId="39" fontId="27" fillId="0" borderId="0" xfId="7" applyNumberFormat="1" applyFont="1" applyFill="1" applyBorder="1" applyAlignment="1">
      <alignment vertical="center"/>
    </xf>
    <xf numFmtId="39" fontId="27" fillId="13" borderId="8" xfId="7" applyNumberFormat="1" applyFont="1" applyFill="1" applyBorder="1"/>
    <xf numFmtId="39" fontId="27" fillId="8" borderId="0" xfId="7" applyNumberFormat="1" applyFont="1" applyFill="1" applyBorder="1"/>
    <xf numFmtId="0" fontId="64" fillId="3" borderId="0" xfId="0" applyFont="1" applyFill="1" applyBorder="1" applyAlignment="1">
      <alignment horizontal="center" vertical="center" wrapText="1"/>
    </xf>
    <xf numFmtId="0" fontId="64" fillId="0" borderId="0" xfId="0" applyFont="1" applyFill="1"/>
    <xf numFmtId="0" fontId="64" fillId="3" borderId="0" xfId="0" applyFont="1" applyFill="1" applyAlignment="1">
      <alignment vertical="center" wrapText="1"/>
    </xf>
    <xf numFmtId="0" fontId="6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5" fontId="6" fillId="0" borderId="1" xfId="6" applyFont="1" applyFill="1" applyBorder="1" applyAlignment="1">
      <alignment horizontal="right" vertical="center" wrapText="1"/>
    </xf>
    <xf numFmtId="44" fontId="3" fillId="18" borderId="0" xfId="0" applyNumberFormat="1" applyFont="1" applyFill="1"/>
    <xf numFmtId="166" fontId="6" fillId="0" borderId="12" xfId="1" applyNumberFormat="1" applyFont="1" applyFill="1" applyBorder="1" applyAlignment="1">
      <alignment horizontal="center" vertical="center" wrapText="1"/>
    </xf>
    <xf numFmtId="166" fontId="6" fillId="0" borderId="29"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46"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58" fillId="11" borderId="38" xfId="0" applyFont="1" applyFill="1" applyBorder="1" applyAlignment="1">
      <alignment horizontal="center" vertical="center" wrapText="1"/>
    </xf>
    <xf numFmtId="0" fontId="57" fillId="11" borderId="3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71"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8"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4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0" fillId="3" borderId="46" xfId="0" applyFill="1" applyBorder="1"/>
    <xf numFmtId="0" fontId="23" fillId="0" borderId="0" xfId="7" applyFont="1" applyFill="1" applyBorder="1" applyAlignment="1"/>
    <xf numFmtId="39" fontId="23" fillId="0" borderId="0" xfId="7" applyNumberFormat="1" applyFont="1" applyFill="1" applyBorder="1" applyAlignment="1"/>
    <xf numFmtId="14" fontId="7" fillId="4" borderId="1" xfId="0" applyNumberFormat="1" applyFont="1" applyFill="1" applyBorder="1" applyAlignment="1">
      <alignment horizontal="center" vertical="center" wrapText="1"/>
    </xf>
    <xf numFmtId="0" fontId="7" fillId="4" borderId="1" xfId="0"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0" xfId="5"/>
    <xf numFmtId="0" fontId="13" fillId="0" borderId="0" xfId="5" applyFont="1"/>
    <xf numFmtId="174" fontId="0" fillId="0" borderId="0" xfId="9" applyFont="1"/>
    <xf numFmtId="0" fontId="75" fillId="0" borderId="0" xfId="5" applyFont="1" applyAlignment="1">
      <alignment horizontal="center" wrapText="1"/>
    </xf>
    <xf numFmtId="0" fontId="76" fillId="0" borderId="0" xfId="5" applyFont="1" applyAlignment="1">
      <alignment horizontal="center" wrapText="1"/>
    </xf>
    <xf numFmtId="174" fontId="75" fillId="0" borderId="0" xfId="9" applyFont="1" applyAlignment="1">
      <alignment horizontal="center" wrapText="1"/>
    </xf>
    <xf numFmtId="14" fontId="75" fillId="0" borderId="0" xfId="5" applyNumberFormat="1" applyFont="1" applyAlignment="1">
      <alignment horizontal="center" wrapText="1"/>
    </xf>
    <xf numFmtId="0" fontId="45" fillId="0" borderId="0" xfId="5" applyFont="1" applyFill="1" applyBorder="1" applyAlignment="1">
      <alignment horizontal="center"/>
    </xf>
    <xf numFmtId="15" fontId="35" fillId="0" borderId="51" xfId="5" applyNumberFormat="1" applyFont="1" applyFill="1" applyBorder="1" applyAlignment="1">
      <alignment horizontal="center"/>
    </xf>
    <xf numFmtId="0" fontId="35" fillId="0" borderId="52" xfId="5" applyFont="1" applyFill="1" applyBorder="1" applyAlignment="1">
      <alignment horizontal="center"/>
    </xf>
    <xf numFmtId="0" fontId="35" fillId="0" borderId="53" xfId="5" applyFont="1" applyFill="1" applyBorder="1" applyAlignment="1">
      <alignment horizontal="center"/>
    </xf>
    <xf numFmtId="0" fontId="68" fillId="0" borderId="0" xfId="5" applyFont="1" applyFill="1" applyBorder="1"/>
    <xf numFmtId="0" fontId="35" fillId="0" borderId="54" xfId="5" applyFont="1" applyFill="1" applyBorder="1" applyAlignment="1">
      <alignment horizontal="center"/>
    </xf>
    <xf numFmtId="0" fontId="35" fillId="0" borderId="0" xfId="5" applyFont="1" applyFill="1" applyBorder="1" applyAlignment="1">
      <alignment horizontal="center"/>
    </xf>
    <xf numFmtId="14" fontId="0" fillId="0" borderId="0" xfId="9" applyNumberFormat="1" applyFont="1"/>
    <xf numFmtId="174" fontId="75" fillId="0" borderId="0" xfId="9" applyFont="1" applyAlignment="1">
      <alignment horizontal="center"/>
    </xf>
    <xf numFmtId="1" fontId="7" fillId="0" borderId="55" xfId="5" applyNumberFormat="1" applyFont="1" applyFill="1" applyBorder="1" applyAlignment="1">
      <alignment horizontal="center"/>
    </xf>
    <xf numFmtId="0" fontId="7" fillId="0" borderId="29" xfId="5" applyFont="1" applyFill="1" applyBorder="1" applyAlignment="1">
      <alignment horizontal="center"/>
    </xf>
    <xf numFmtId="0" fontId="7" fillId="0" borderId="41" xfId="5" applyFont="1" applyFill="1" applyBorder="1" applyAlignment="1">
      <alignment horizontal="center"/>
    </xf>
    <xf numFmtId="175" fontId="34" fillId="22" borderId="56" xfId="5" applyNumberFormat="1" applyFont="1" applyFill="1" applyBorder="1" applyAlignment="1">
      <alignment horizontal="center"/>
    </xf>
    <xf numFmtId="175" fontId="34" fillId="0" borderId="0" xfId="5" applyNumberFormat="1" applyFont="1" applyFill="1" applyBorder="1" applyAlignment="1">
      <alignment horizontal="center"/>
    </xf>
    <xf numFmtId="174" fontId="0" fillId="22" borderId="0" xfId="9" applyFont="1" applyFill="1"/>
    <xf numFmtId="175" fontId="34" fillId="22" borderId="0" xfId="5" applyNumberFormat="1" applyFont="1" applyFill="1" applyBorder="1" applyAlignment="1">
      <alignment horizontal="center"/>
    </xf>
    <xf numFmtId="0" fontId="7" fillId="0" borderId="2" xfId="5" applyFont="1" applyFill="1" applyBorder="1" applyAlignment="1">
      <alignment horizontal="center"/>
    </xf>
    <xf numFmtId="0" fontId="7" fillId="0" borderId="1" xfId="5" applyFont="1" applyFill="1" applyBorder="1" applyAlignment="1">
      <alignment horizontal="center"/>
    </xf>
    <xf numFmtId="0" fontId="7" fillId="0" borderId="18" xfId="5" applyFont="1" applyFill="1" applyBorder="1" applyAlignment="1">
      <alignment horizontal="center"/>
    </xf>
    <xf numFmtId="0" fontId="7" fillId="0" borderId="57" xfId="5" applyFont="1" applyFill="1" applyBorder="1" applyAlignment="1">
      <alignment horizontal="center"/>
    </xf>
    <xf numFmtId="0" fontId="7" fillId="0" borderId="28" xfId="5" applyFont="1" applyFill="1" applyBorder="1" applyAlignment="1">
      <alignment horizontal="center"/>
    </xf>
    <xf numFmtId="0" fontId="7" fillId="0" borderId="20" xfId="5" applyFont="1" applyFill="1" applyBorder="1" applyAlignment="1">
      <alignment horizontal="center"/>
    </xf>
    <xf numFmtId="175" fontId="78" fillId="0" borderId="0" xfId="5" applyNumberFormat="1" applyFont="1" applyFill="1" applyBorder="1" applyAlignment="1">
      <alignment horizontal="center"/>
    </xf>
    <xf numFmtId="174" fontId="0" fillId="0" borderId="0" xfId="9" applyNumberFormat="1" applyFont="1"/>
    <xf numFmtId="175" fontId="79" fillId="22" borderId="58" xfId="10" applyFont="1" applyFill="1" applyBorder="1"/>
    <xf numFmtId="0" fontId="52" fillId="0" borderId="0" xfId="5" applyFont="1" applyFill="1" applyBorder="1" applyAlignment="1">
      <alignment horizontal="center"/>
    </xf>
    <xf numFmtId="15" fontId="35" fillId="0" borderId="59" xfId="5" applyNumberFormat="1" applyFont="1" applyFill="1" applyBorder="1" applyAlignment="1">
      <alignment horizontal="center"/>
    </xf>
    <xf numFmtId="0" fontId="35" fillId="0" borderId="60" xfId="5" applyFont="1" applyFill="1" applyBorder="1" applyAlignment="1">
      <alignment horizontal="center"/>
    </xf>
    <xf numFmtId="0" fontId="35" fillId="0" borderId="61" xfId="5" applyFont="1" applyFill="1" applyBorder="1" applyAlignment="1">
      <alignment horizontal="center"/>
    </xf>
    <xf numFmtId="0" fontId="7" fillId="0" borderId="15" xfId="5" applyFont="1" applyFill="1" applyBorder="1" applyAlignment="1">
      <alignment horizontal="center"/>
    </xf>
    <xf numFmtId="0" fontId="7" fillId="0" borderId="16" xfId="5" applyFont="1" applyFill="1" applyBorder="1" applyAlignment="1">
      <alignment horizontal="center"/>
    </xf>
    <xf numFmtId="0" fontId="7" fillId="0" borderId="17" xfId="5" applyFont="1" applyFill="1" applyBorder="1" applyAlignment="1">
      <alignment horizontal="center"/>
    </xf>
    <xf numFmtId="0" fontId="7" fillId="0" borderId="10" xfId="5" applyFont="1" applyFill="1" applyBorder="1" applyAlignment="1">
      <alignment horizontal="center"/>
    </xf>
    <xf numFmtId="0" fontId="7" fillId="0" borderId="35" xfId="5" applyFont="1" applyFill="1" applyBorder="1" applyAlignment="1">
      <alignment horizontal="center"/>
    </xf>
    <xf numFmtId="0" fontId="7" fillId="0" borderId="62" xfId="5" applyFont="1" applyFill="1" applyBorder="1" applyAlignment="1">
      <alignment horizontal="center"/>
    </xf>
    <xf numFmtId="175" fontId="13" fillId="22" borderId="63" xfId="10" applyFont="1" applyFill="1" applyBorder="1"/>
    <xf numFmtId="175" fontId="13" fillId="22" borderId="0" xfId="10" applyFont="1" applyFill="1" applyBorder="1"/>
    <xf numFmtId="175" fontId="13" fillId="0" borderId="63" xfId="10" applyFont="1" applyFill="1" applyBorder="1"/>
    <xf numFmtId="175" fontId="80" fillId="0" borderId="0" xfId="10" applyFont="1" applyFill="1" applyBorder="1"/>
    <xf numFmtId="0" fontId="81" fillId="0" borderId="0" xfId="5" applyFont="1" applyFill="1" applyBorder="1" applyAlignment="1">
      <alignment horizontal="center"/>
    </xf>
    <xf numFmtId="175" fontId="78" fillId="3" borderId="0" xfId="5" applyNumberFormat="1" applyFont="1" applyFill="1" applyBorder="1" applyAlignment="1">
      <alignment horizontal="center"/>
    </xf>
    <xf numFmtId="175" fontId="35" fillId="0" borderId="56" xfId="5" applyNumberFormat="1" applyFont="1" applyFill="1" applyBorder="1" applyAlignment="1">
      <alignment horizontal="center"/>
    </xf>
    <xf numFmtId="0" fontId="35" fillId="0" borderId="56" xfId="5" applyFont="1" applyFill="1" applyBorder="1" applyAlignment="1">
      <alignment horizontal="center"/>
    </xf>
    <xf numFmtId="43" fontId="79" fillId="0" borderId="58" xfId="5" applyNumberFormat="1" applyFont="1" applyFill="1" applyBorder="1"/>
    <xf numFmtId="15" fontId="35" fillId="0" borderId="60" xfId="5" applyNumberFormat="1" applyFont="1" applyFill="1" applyBorder="1" applyAlignment="1">
      <alignment horizontal="center"/>
    </xf>
    <xf numFmtId="0" fontId="7" fillId="3" borderId="16" xfId="5" applyFont="1" applyFill="1" applyBorder="1" applyAlignment="1">
      <alignment horizontal="center"/>
    </xf>
    <xf numFmtId="0" fontId="7" fillId="0" borderId="45" xfId="5" applyFont="1" applyFill="1" applyBorder="1" applyAlignment="1">
      <alignment horizontal="center"/>
    </xf>
    <xf numFmtId="0" fontId="7" fillId="0" borderId="66" xfId="5" applyFont="1" applyFill="1" applyBorder="1" applyAlignment="1">
      <alignment horizontal="center"/>
    </xf>
    <xf numFmtId="175" fontId="80" fillId="3" borderId="0" xfId="10" applyFont="1" applyFill="1" applyBorder="1"/>
    <xf numFmtId="43" fontId="13" fillId="0" borderId="0" xfId="5" applyNumberFormat="1"/>
    <xf numFmtId="0" fontId="82" fillId="0" borderId="0" xfId="5" applyFont="1" applyAlignment="1">
      <alignment horizontal="center" wrapText="1"/>
    </xf>
    <xf numFmtId="175" fontId="83" fillId="3" borderId="0" xfId="5" applyNumberFormat="1" applyFont="1" applyFill="1" applyBorder="1" applyAlignment="1">
      <alignment horizontal="center"/>
    </xf>
    <xf numFmtId="0" fontId="74" fillId="0" borderId="0" xfId="5" applyFont="1" applyFill="1" applyBorder="1" applyAlignment="1">
      <alignment horizontal="center"/>
    </xf>
    <xf numFmtId="0" fontId="84" fillId="0" borderId="0" xfId="5" applyFont="1" applyFill="1" applyBorder="1" applyAlignment="1">
      <alignment horizontal="center"/>
    </xf>
    <xf numFmtId="175" fontId="85" fillId="3" borderId="0" xfId="10" applyFont="1" applyFill="1" applyBorder="1"/>
    <xf numFmtId="0" fontId="86" fillId="0" borderId="0" xfId="5" applyFont="1" applyFill="1" applyBorder="1" applyAlignment="1">
      <alignment horizontal="center"/>
    </xf>
    <xf numFmtId="175" fontId="85" fillId="22" borderId="0" xfId="10" applyFont="1" applyFill="1" applyBorder="1"/>
    <xf numFmtId="0" fontId="87" fillId="0" borderId="0" xfId="5" applyFont="1" applyFill="1" applyBorder="1" applyAlignment="1">
      <alignment horizontal="center"/>
    </xf>
    <xf numFmtId="175" fontId="84" fillId="0" borderId="0" xfId="5" applyNumberFormat="1" applyFont="1" applyFill="1" applyBorder="1" applyAlignment="1">
      <alignment horizontal="center"/>
    </xf>
    <xf numFmtId="43" fontId="85" fillId="0" borderId="0" xfId="5" applyNumberFormat="1" applyFont="1" applyFill="1" applyBorder="1"/>
    <xf numFmtId="175" fontId="84" fillId="3" borderId="0" xfId="5" applyNumberFormat="1" applyFont="1" applyFill="1" applyBorder="1" applyAlignment="1">
      <alignment horizontal="center"/>
    </xf>
    <xf numFmtId="0" fontId="82" fillId="0" borderId="0" xfId="5" applyFont="1"/>
    <xf numFmtId="175" fontId="84" fillId="22" borderId="0" xfId="5" applyNumberFormat="1" applyFont="1" applyFill="1" applyBorder="1" applyAlignment="1">
      <alignment horizontal="center"/>
    </xf>
    <xf numFmtId="175" fontId="82" fillId="22" borderId="0" xfId="10" applyFont="1" applyFill="1" applyBorder="1"/>
    <xf numFmtId="175" fontId="82" fillId="0" borderId="0" xfId="10" applyFont="1" applyFill="1" applyBorder="1"/>
    <xf numFmtId="172" fontId="13" fillId="0" borderId="0" xfId="5" applyNumberFormat="1"/>
    <xf numFmtId="2" fontId="13" fillId="0" borderId="0" xfId="5" applyNumberFormat="1"/>
    <xf numFmtId="174" fontId="0" fillId="5" borderId="0" xfId="9" applyFont="1" applyFill="1"/>
    <xf numFmtId="44" fontId="37" fillId="3" borderId="0" xfId="1" applyFont="1" applyFill="1" applyAlignment="1">
      <alignment horizontal="right" vertical="center" wrapText="1"/>
    </xf>
    <xf numFmtId="44" fontId="37" fillId="0" borderId="0" xfId="1" applyFont="1" applyFill="1" applyAlignment="1">
      <alignment horizontal="right" vertical="center" wrapText="1"/>
    </xf>
    <xf numFmtId="0" fontId="39" fillId="0" borderId="0" xfId="0" applyFont="1" applyFill="1" applyAlignment="1">
      <alignment horizontal="center" vertical="center"/>
    </xf>
    <xf numFmtId="2" fontId="42" fillId="12" borderId="1" xfId="5" applyNumberFormat="1" applyFont="1" applyFill="1" applyBorder="1" applyAlignment="1">
      <alignment horizontal="center" vertical="center"/>
    </xf>
    <xf numFmtId="174" fontId="2" fillId="24" borderId="1" xfId="9" applyFont="1" applyFill="1" applyBorder="1"/>
    <xf numFmtId="172" fontId="75" fillId="24" borderId="1" xfId="5" applyNumberFormat="1" applyFont="1" applyFill="1" applyBorder="1"/>
    <xf numFmtId="44" fontId="75" fillId="5" borderId="1" xfId="1" applyFont="1" applyFill="1" applyBorder="1" applyAlignment="1">
      <alignment horizontal="center" vertical="center"/>
    </xf>
    <xf numFmtId="0" fontId="75" fillId="4" borderId="1" xfId="5" applyFont="1" applyFill="1" applyBorder="1" applyAlignment="1">
      <alignment horizontal="center" vertical="center" wrapText="1"/>
    </xf>
    <xf numFmtId="172" fontId="75" fillId="4" borderId="1" xfId="5" applyNumberFormat="1" applyFont="1" applyFill="1" applyBorder="1" applyAlignment="1">
      <alignment horizontal="center" vertical="center" wrapText="1"/>
    </xf>
    <xf numFmtId="174" fontId="0" fillId="0" borderId="1" xfId="9" applyFont="1" applyBorder="1"/>
    <xf numFmtId="172" fontId="13" fillId="0" borderId="1" xfId="5" applyNumberFormat="1" applyBorder="1"/>
    <xf numFmtId="0" fontId="13" fillId="0" borderId="1" xfId="5" applyBorder="1"/>
    <xf numFmtId="174" fontId="0" fillId="24" borderId="1" xfId="9" applyFont="1" applyFill="1" applyBorder="1"/>
    <xf numFmtId="172" fontId="13" fillId="24" borderId="1" xfId="5" applyNumberFormat="1" applyFill="1" applyBorder="1"/>
    <xf numFmtId="2" fontId="40" fillId="24" borderId="1" xfId="5" applyNumberFormat="1" applyFont="1" applyFill="1" applyBorder="1" applyAlignment="1">
      <alignment horizontal="center" vertical="center"/>
    </xf>
    <xf numFmtId="44" fontId="13" fillId="5" borderId="1" xfId="1" applyFont="1" applyFill="1" applyBorder="1" applyAlignment="1">
      <alignment horizontal="center" vertical="center"/>
    </xf>
    <xf numFmtId="2" fontId="40" fillId="12" borderId="1" xfId="5" applyNumberFormat="1" applyFont="1" applyFill="1" applyBorder="1" applyAlignment="1">
      <alignment horizontal="center" vertical="center"/>
    </xf>
    <xf numFmtId="44" fontId="13" fillId="12" borderId="1" xfId="1" applyFont="1" applyFill="1" applyBorder="1" applyAlignment="1">
      <alignment horizontal="center" vertical="center"/>
    </xf>
    <xf numFmtId="2" fontId="40" fillId="3" borderId="1" xfId="5" applyNumberFormat="1" applyFont="1" applyFill="1" applyBorder="1" applyAlignment="1">
      <alignment horizontal="center" vertical="center"/>
    </xf>
    <xf numFmtId="2" fontId="42" fillId="24" borderId="1" xfId="5" applyNumberFormat="1" applyFont="1" applyFill="1" applyBorder="1" applyAlignment="1">
      <alignment horizontal="center" vertical="center"/>
    </xf>
    <xf numFmtId="0" fontId="0" fillId="0" borderId="0" xfId="0" applyAlignment="1">
      <alignment wrapText="1"/>
    </xf>
    <xf numFmtId="167" fontId="0" fillId="0" borderId="0" xfId="1" applyNumberFormat="1" applyFont="1"/>
    <xf numFmtId="0" fontId="26" fillId="4" borderId="1" xfId="7" applyNumberFormat="1" applyFont="1" applyFill="1" applyBorder="1" applyAlignment="1">
      <alignment horizontal="center" vertical="center" wrapText="1" readingOrder="1"/>
    </xf>
    <xf numFmtId="0" fontId="48" fillId="4" borderId="1" xfId="7" applyNumberFormat="1" applyFont="1" applyFill="1" applyBorder="1" applyAlignment="1">
      <alignment horizontal="center" vertical="center" wrapText="1" readingOrder="1"/>
    </xf>
    <xf numFmtId="167" fontId="48" fillId="4" borderId="1" xfId="1" applyNumberFormat="1" applyFont="1" applyFill="1" applyBorder="1" applyAlignment="1">
      <alignment horizontal="center" vertical="center" wrapText="1" readingOrder="1"/>
    </xf>
    <xf numFmtId="0" fontId="0" fillId="0" borderId="1" xfId="0" applyBorder="1"/>
    <xf numFmtId="0" fontId="2" fillId="4" borderId="1" xfId="0" applyFont="1" applyFill="1" applyBorder="1" applyAlignment="1">
      <alignment wrapText="1"/>
    </xf>
    <xf numFmtId="167" fontId="29" fillId="3" borderId="1" xfId="1" applyNumberFormat="1" applyFont="1" applyFill="1" applyBorder="1" applyAlignment="1">
      <alignment horizontal="right" vertical="center" wrapText="1" readingOrder="1"/>
    </xf>
    <xf numFmtId="167" fontId="35" fillId="3" borderId="1" xfId="1" applyNumberFormat="1" applyFont="1" applyFill="1" applyBorder="1" applyAlignment="1">
      <alignment horizontal="right" vertical="center" wrapText="1" readingOrder="1"/>
    </xf>
    <xf numFmtId="0" fontId="0" fillId="0" borderId="1" xfId="0" applyBorder="1" applyAlignment="1">
      <alignment wrapText="1"/>
    </xf>
    <xf numFmtId="167" fontId="47" fillId="3" borderId="1" xfId="1" applyNumberFormat="1" applyFont="1" applyFill="1" applyBorder="1" applyAlignment="1">
      <alignment horizontal="right" vertical="center" wrapText="1" readingOrder="1"/>
    </xf>
    <xf numFmtId="0" fontId="4" fillId="0" borderId="1" xfId="0" applyFont="1" applyBorder="1" applyAlignment="1">
      <alignment wrapText="1"/>
    </xf>
    <xf numFmtId="167" fontId="12" fillId="3" borderId="1" xfId="1" applyNumberFormat="1" applyFont="1" applyFill="1" applyBorder="1" applyAlignment="1">
      <alignment horizontal="right" vertical="center" wrapText="1" readingOrder="1"/>
    </xf>
    <xf numFmtId="0" fontId="54" fillId="0" borderId="1" xfId="0" applyFont="1" applyBorder="1" applyAlignment="1">
      <alignment wrapText="1"/>
    </xf>
    <xf numFmtId="167" fontId="89" fillId="3" borderId="1" xfId="1" applyNumberFormat="1" applyFont="1" applyFill="1" applyBorder="1" applyAlignment="1">
      <alignment horizontal="right" vertical="center" wrapText="1" readingOrder="1"/>
    </xf>
    <xf numFmtId="0" fontId="55" fillId="16" borderId="0" xfId="0" applyFont="1" applyFill="1" applyAlignment="1">
      <alignment wrapText="1"/>
    </xf>
    <xf numFmtId="0" fontId="56" fillId="16" borderId="22" xfId="7" applyNumberFormat="1" applyFont="1" applyFill="1" applyBorder="1" applyAlignment="1">
      <alignment horizontal="center" vertical="center" wrapText="1"/>
    </xf>
    <xf numFmtId="0" fontId="56" fillId="16" borderId="26" xfId="7" applyNumberFormat="1" applyFont="1" applyFill="1" applyBorder="1" applyAlignment="1">
      <alignment vertical="center" wrapText="1"/>
    </xf>
    <xf numFmtId="0" fontId="56" fillId="16" borderId="27" xfId="7" applyNumberFormat="1" applyFont="1" applyFill="1" applyBorder="1" applyAlignment="1">
      <alignment vertical="center" wrapText="1"/>
    </xf>
    <xf numFmtId="0" fontId="53" fillId="16" borderId="22" xfId="7" applyNumberFormat="1" applyFont="1" applyFill="1" applyBorder="1" applyAlignment="1">
      <alignment horizontal="left" vertical="center" wrapText="1"/>
    </xf>
    <xf numFmtId="39" fontId="46" fillId="16" borderId="22" xfId="7" applyNumberFormat="1" applyFont="1" applyFill="1" applyBorder="1" applyAlignment="1">
      <alignment horizontal="right" vertical="center" wrapText="1"/>
    </xf>
    <xf numFmtId="0" fontId="33" fillId="6" borderId="22" xfId="7" applyNumberFormat="1" applyFont="1" applyFill="1" applyBorder="1" applyAlignment="1">
      <alignment horizontal="center" vertical="center" wrapText="1"/>
    </xf>
    <xf numFmtId="0" fontId="33" fillId="6" borderId="26" xfId="7" applyNumberFormat="1" applyFont="1" applyFill="1" applyBorder="1" applyAlignment="1">
      <alignment vertical="center" wrapText="1"/>
    </xf>
    <xf numFmtId="0" fontId="33" fillId="6" borderId="27" xfId="7" applyNumberFormat="1" applyFont="1" applyFill="1" applyBorder="1" applyAlignment="1">
      <alignment vertical="center" wrapText="1"/>
    </xf>
    <xf numFmtId="0" fontId="31" fillId="6" borderId="22" xfId="7" applyNumberFormat="1" applyFont="1" applyFill="1" applyBorder="1" applyAlignment="1">
      <alignment horizontal="left" vertical="center" wrapText="1"/>
    </xf>
    <xf numFmtId="39" fontId="29" fillId="6" borderId="22" xfId="7" applyNumberFormat="1" applyFont="1" applyFill="1" applyBorder="1" applyAlignment="1">
      <alignment horizontal="right" vertical="center" wrapText="1"/>
    </xf>
    <xf numFmtId="0" fontId="28" fillId="6" borderId="22" xfId="7" applyNumberFormat="1" applyFont="1" applyFill="1" applyBorder="1" applyAlignment="1">
      <alignment horizontal="left" vertical="center" wrapText="1"/>
    </xf>
    <xf numFmtId="0" fontId="63" fillId="16" borderId="22" xfId="7" applyNumberFormat="1" applyFont="1" applyFill="1" applyBorder="1" applyAlignment="1">
      <alignment horizontal="center" vertical="center" wrapText="1"/>
    </xf>
    <xf numFmtId="0" fontId="63" fillId="16" borderId="26" xfId="7" applyNumberFormat="1" applyFont="1" applyFill="1" applyBorder="1" applyAlignment="1">
      <alignment vertical="center" wrapText="1"/>
    </xf>
    <xf numFmtId="0" fontId="63" fillId="16" borderId="27" xfId="7" applyNumberFormat="1" applyFont="1" applyFill="1" applyBorder="1" applyAlignment="1">
      <alignment vertical="center" wrapText="1"/>
    </xf>
    <xf numFmtId="0" fontId="53" fillId="16" borderId="23" xfId="7" applyNumberFormat="1" applyFont="1" applyFill="1" applyBorder="1" applyAlignment="1">
      <alignment horizontal="left" vertical="center" wrapText="1"/>
    </xf>
    <xf numFmtId="39" fontId="46" fillId="16" borderId="23" xfId="7" applyNumberFormat="1" applyFont="1" applyFill="1" applyBorder="1" applyAlignment="1">
      <alignment horizontal="right" vertical="center" wrapText="1"/>
    </xf>
    <xf numFmtId="0" fontId="31" fillId="6" borderId="1" xfId="7" applyNumberFormat="1" applyFont="1" applyFill="1" applyBorder="1" applyAlignment="1">
      <alignment horizontal="left" vertical="center" wrapText="1"/>
    </xf>
    <xf numFmtId="39" fontId="91" fillId="6" borderId="22" xfId="7" applyNumberFormat="1" applyFont="1" applyFill="1" applyBorder="1" applyAlignment="1">
      <alignment horizontal="right" vertical="center" wrapText="1"/>
    </xf>
    <xf numFmtId="39" fontId="91" fillId="16" borderId="22" xfId="7" applyNumberFormat="1" applyFont="1" applyFill="1" applyBorder="1" applyAlignment="1">
      <alignment horizontal="right" vertical="center" wrapText="1"/>
    </xf>
    <xf numFmtId="0" fontId="31" fillId="6" borderId="23" xfId="7" applyNumberFormat="1" applyFont="1" applyFill="1" applyBorder="1" applyAlignment="1">
      <alignment horizontal="center" vertical="center" wrapText="1"/>
    </xf>
    <xf numFmtId="0" fontId="57" fillId="11" borderId="15" xfId="2" applyFont="1" applyFill="1" applyBorder="1" applyAlignment="1">
      <alignment horizontal="center" vertical="center" wrapText="1"/>
    </xf>
    <xf numFmtId="0" fontId="92" fillId="11" borderId="16" xfId="2" applyFont="1" applyFill="1" applyBorder="1" applyAlignment="1">
      <alignment horizontal="center" vertical="center" wrapText="1"/>
    </xf>
    <xf numFmtId="0" fontId="57" fillId="11" borderId="16" xfId="2" applyFont="1" applyFill="1" applyBorder="1" applyAlignment="1">
      <alignment horizontal="center" vertical="center" wrapText="1"/>
    </xf>
    <xf numFmtId="165" fontId="57" fillId="11" borderId="16" xfId="6" applyFont="1" applyFill="1" applyBorder="1" applyAlignment="1">
      <alignment horizontal="right" vertical="center" wrapText="1"/>
    </xf>
    <xf numFmtId="0" fontId="57" fillId="11" borderId="16" xfId="2" applyFont="1" applyFill="1" applyBorder="1" applyAlignment="1">
      <alignment horizontal="right" vertical="center" wrapText="1"/>
    </xf>
    <xf numFmtId="0" fontId="0" fillId="4" borderId="0" xfId="0" applyFill="1"/>
    <xf numFmtId="10" fontId="0" fillId="0" borderId="0" xfId="0" applyNumberFormat="1" applyAlignment="1">
      <alignment wrapText="1"/>
    </xf>
    <xf numFmtId="0" fontId="2" fillId="4" borderId="1" xfId="0" applyFont="1" applyFill="1" applyBorder="1" applyAlignment="1">
      <alignment horizontal="center" vertical="center" wrapText="1"/>
    </xf>
    <xf numFmtId="167" fontId="0" fillId="0" borderId="1" xfId="0" applyNumberFormat="1" applyBorder="1" applyAlignment="1">
      <alignment wrapText="1"/>
    </xf>
    <xf numFmtId="10" fontId="0" fillId="0" borderId="1" xfId="12" applyNumberFormat="1" applyFont="1" applyBorder="1" applyAlignment="1">
      <alignment wrapText="1"/>
    </xf>
    <xf numFmtId="0" fontId="2" fillId="0" borderId="1" xfId="0" applyFont="1" applyBorder="1" applyAlignment="1">
      <alignment wrapText="1"/>
    </xf>
    <xf numFmtId="167" fontId="2" fillId="0" borderId="1" xfId="0" applyNumberFormat="1" applyFont="1" applyBorder="1" applyAlignment="1">
      <alignment wrapText="1"/>
    </xf>
    <xf numFmtId="167" fontId="0" fillId="28" borderId="1" xfId="0" applyNumberFormat="1" applyFill="1" applyBorder="1" applyAlignment="1">
      <alignment wrapText="1"/>
    </xf>
    <xf numFmtId="0" fontId="24" fillId="0" borderId="22" xfId="7" applyNumberFormat="1" applyFont="1" applyFill="1" applyBorder="1" applyAlignment="1">
      <alignment horizontal="left" vertical="center" wrapText="1" readingOrder="1"/>
    </xf>
    <xf numFmtId="0" fontId="24" fillId="0" borderId="22" xfId="7" applyNumberFormat="1" applyFont="1" applyFill="1" applyBorder="1" applyAlignment="1">
      <alignment vertical="center" wrapText="1" readingOrder="1"/>
    </xf>
    <xf numFmtId="176" fontId="24" fillId="0" borderId="22" xfId="7" applyNumberFormat="1" applyFont="1" applyFill="1" applyBorder="1" applyAlignment="1">
      <alignment horizontal="right" vertical="center" wrapText="1" readingOrder="1"/>
    </xf>
    <xf numFmtId="0" fontId="96" fillId="0" borderId="0" xfId="7" applyNumberFormat="1" applyFont="1" applyFill="1" applyBorder="1" applyAlignment="1">
      <alignment horizontal="center" vertical="center" wrapText="1" readingOrder="1"/>
    </xf>
    <xf numFmtId="0" fontId="68" fillId="0" borderId="1" xfId="7" applyNumberFormat="1" applyFont="1" applyFill="1" applyBorder="1" applyAlignment="1">
      <alignment horizontal="center" vertical="center" wrapText="1" readingOrder="1"/>
    </xf>
    <xf numFmtId="0" fontId="68" fillId="3" borderId="1" xfId="7" applyNumberFormat="1" applyFont="1" applyFill="1" applyBorder="1" applyAlignment="1">
      <alignment horizontal="center" vertical="center" wrapText="1" readingOrder="1"/>
    </xf>
    <xf numFmtId="0" fontId="98" fillId="4" borderId="1" xfId="0" applyFont="1" applyFill="1" applyBorder="1" applyAlignment="1">
      <alignment horizontal="center" vertical="center" wrapText="1"/>
    </xf>
    <xf numFmtId="0" fontId="99" fillId="4" borderId="0" xfId="7" applyFont="1" applyFill="1" applyBorder="1" applyAlignment="1">
      <alignment horizontal="center" vertical="center"/>
    </xf>
    <xf numFmtId="0" fontId="23" fillId="21" borderId="0" xfId="7" applyFont="1" applyFill="1" applyBorder="1"/>
    <xf numFmtId="0" fontId="68" fillId="17" borderId="22" xfId="7" applyNumberFormat="1" applyFont="1" applyFill="1" applyBorder="1" applyAlignment="1">
      <alignment horizontal="center" vertical="center" wrapText="1" readingOrder="1"/>
    </xf>
    <xf numFmtId="39" fontId="35" fillId="3" borderId="1" xfId="7" applyNumberFormat="1" applyFont="1" applyFill="1" applyBorder="1" applyAlignment="1">
      <alignment horizontal="right" vertical="center" wrapText="1" readingOrder="1"/>
    </xf>
    <xf numFmtId="0" fontId="68" fillId="6" borderId="25" xfId="7" applyNumberFormat="1" applyFont="1" applyFill="1" applyBorder="1" applyAlignment="1">
      <alignment horizontal="center" vertical="center" wrapText="1" readingOrder="1"/>
    </xf>
    <xf numFmtId="0" fontId="27" fillId="21" borderId="1" xfId="7" applyFont="1" applyFill="1" applyBorder="1" applyAlignment="1">
      <alignment horizontal="center" vertical="center" wrapText="1"/>
    </xf>
    <xf numFmtId="0" fontId="30" fillId="21" borderId="0" xfId="7" applyFont="1" applyFill="1" applyBorder="1"/>
    <xf numFmtId="39" fontId="27" fillId="14" borderId="0" xfId="7" applyNumberFormat="1" applyFont="1" applyFill="1" applyBorder="1"/>
    <xf numFmtId="39" fontId="49" fillId="3" borderId="1" xfId="7" applyNumberFormat="1" applyFont="1" applyFill="1" applyBorder="1" applyAlignment="1">
      <alignment horizontal="right" vertical="center" wrapText="1" readingOrder="1"/>
    </xf>
    <xf numFmtId="39" fontId="27" fillId="3" borderId="8" xfId="7" applyNumberFormat="1" applyFont="1" applyFill="1" applyBorder="1" applyAlignment="1">
      <alignment horizontal="center" vertical="center" wrapText="1"/>
    </xf>
    <xf numFmtId="0" fontId="68" fillId="19" borderId="1" xfId="7" applyNumberFormat="1" applyFont="1" applyFill="1" applyBorder="1" applyAlignment="1">
      <alignment horizontal="center" vertical="center" wrapText="1" readingOrder="1"/>
    </xf>
    <xf numFmtId="0" fontId="96" fillId="4" borderId="0" xfId="7" applyNumberFormat="1" applyFont="1" applyFill="1" applyBorder="1" applyAlignment="1">
      <alignment horizontal="center" vertical="center" wrapText="1" readingOrder="1"/>
    </xf>
    <xf numFmtId="0" fontId="27" fillId="4" borderId="8" xfId="7" applyFont="1" applyFill="1" applyBorder="1" applyAlignment="1">
      <alignment horizontal="center" vertical="center" wrapText="1"/>
    </xf>
    <xf numFmtId="0" fontId="68" fillId="0" borderId="25" xfId="7" applyNumberFormat="1" applyFont="1" applyFill="1" applyBorder="1" applyAlignment="1">
      <alignment horizontal="center" vertical="center" wrapText="1" readingOrder="1"/>
    </xf>
    <xf numFmtId="0" fontId="27" fillId="4" borderId="3" xfId="7" applyFont="1" applyFill="1" applyBorder="1" applyAlignment="1">
      <alignment horizontal="center" vertical="center" wrapText="1"/>
    </xf>
    <xf numFmtId="0" fontId="68" fillId="17" borderId="24" xfId="7" applyNumberFormat="1" applyFont="1" applyFill="1" applyBorder="1" applyAlignment="1">
      <alignment horizontal="center" vertical="center" wrapText="1" readingOrder="1"/>
    </xf>
    <xf numFmtId="39" fontId="34" fillId="17" borderId="24" xfId="7" applyNumberFormat="1" applyFont="1" applyFill="1" applyBorder="1" applyAlignment="1">
      <alignment horizontal="right" vertical="center" wrapText="1" readingOrder="1"/>
    </xf>
    <xf numFmtId="39" fontId="34" fillId="17" borderId="32" xfId="7" applyNumberFormat="1" applyFont="1" applyFill="1" applyBorder="1" applyAlignment="1">
      <alignment horizontal="right" vertical="center" wrapText="1" readingOrder="1"/>
    </xf>
    <xf numFmtId="39" fontId="34" fillId="8" borderId="1" xfId="7" applyNumberFormat="1" applyFont="1" applyFill="1" applyBorder="1" applyAlignment="1">
      <alignment horizontal="right" vertical="center" wrapText="1" readingOrder="1"/>
    </xf>
    <xf numFmtId="0" fontId="45" fillId="21" borderId="25" xfId="7" applyNumberFormat="1" applyFont="1" applyFill="1" applyBorder="1" applyAlignment="1">
      <alignment horizontal="center" vertical="center" wrapText="1" readingOrder="1"/>
    </xf>
    <xf numFmtId="0" fontId="100" fillId="0" borderId="25" xfId="7" applyNumberFormat="1" applyFont="1" applyFill="1" applyBorder="1" applyAlignment="1">
      <alignment horizontal="center" vertical="center" wrapText="1" readingOrder="1"/>
    </xf>
    <xf numFmtId="0" fontId="68" fillId="17" borderId="23" xfId="7" applyNumberFormat="1" applyFont="1" applyFill="1" applyBorder="1" applyAlignment="1">
      <alignment horizontal="center" vertical="center" wrapText="1" readingOrder="1"/>
    </xf>
    <xf numFmtId="39" fontId="34" fillId="17" borderId="23" xfId="7" applyNumberFormat="1" applyFont="1" applyFill="1" applyBorder="1" applyAlignment="1">
      <alignment horizontal="right" vertical="center" wrapText="1" readingOrder="1"/>
    </xf>
    <xf numFmtId="39" fontId="34" fillId="17" borderId="33" xfId="7" applyNumberFormat="1" applyFont="1" applyFill="1" applyBorder="1" applyAlignment="1">
      <alignment horizontal="right" vertical="center" wrapText="1" readingOrder="1"/>
    </xf>
    <xf numFmtId="39" fontId="34" fillId="22" borderId="1" xfId="7" applyNumberFormat="1" applyFont="1" applyFill="1" applyBorder="1" applyAlignment="1">
      <alignment horizontal="right" vertical="center" wrapText="1" readingOrder="1"/>
    </xf>
    <xf numFmtId="39" fontId="49" fillId="3" borderId="1" xfId="7" applyNumberFormat="1" applyFont="1" applyFill="1" applyBorder="1" applyAlignment="1">
      <alignment horizontal="right" vertical="center" wrapText="1"/>
    </xf>
    <xf numFmtId="0" fontId="45" fillId="21" borderId="1" xfId="7" applyNumberFormat="1" applyFont="1" applyFill="1" applyBorder="1" applyAlignment="1">
      <alignment horizontal="center" vertical="center" wrapText="1" readingOrder="1"/>
    </xf>
    <xf numFmtId="39" fontId="35"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xf>
    <xf numFmtId="39" fontId="34" fillId="0" borderId="1" xfId="7" applyNumberFormat="1" applyFont="1" applyFill="1" applyBorder="1" applyAlignment="1">
      <alignment horizontal="right" vertical="center" wrapText="1" readingOrder="1"/>
    </xf>
    <xf numFmtId="167" fontId="45" fillId="21" borderId="1" xfId="7" applyNumberFormat="1" applyFont="1" applyFill="1" applyBorder="1" applyAlignment="1">
      <alignment horizontal="center" vertical="center" wrapText="1" readingOrder="1"/>
    </xf>
    <xf numFmtId="39" fontId="34" fillId="19" borderId="1" xfId="7" applyNumberFormat="1" applyFont="1" applyFill="1" applyBorder="1" applyAlignment="1">
      <alignment horizontal="right" vertical="center" wrapText="1" readingOrder="1"/>
    </xf>
    <xf numFmtId="0" fontId="100" fillId="0" borderId="1" xfId="7" applyNumberFormat="1" applyFont="1" applyFill="1" applyBorder="1" applyAlignment="1">
      <alignment horizontal="center" vertical="center" wrapText="1" readingOrder="1"/>
    </xf>
    <xf numFmtId="39" fontId="50" fillId="14" borderId="1" xfId="7" applyNumberFormat="1" applyFont="1" applyFill="1" applyBorder="1" applyAlignment="1">
      <alignment horizontal="right"/>
    </xf>
    <xf numFmtId="0" fontId="34" fillId="3" borderId="1" xfId="7" applyNumberFormat="1" applyFont="1" applyFill="1" applyBorder="1" applyAlignment="1">
      <alignment vertical="center" wrapText="1" readingOrder="1"/>
    </xf>
    <xf numFmtId="0" fontId="34" fillId="6" borderId="1" xfId="7" applyNumberFormat="1" applyFont="1" applyFill="1" applyBorder="1" applyAlignment="1">
      <alignment horizontal="center" vertical="center" wrapText="1" readingOrder="1"/>
    </xf>
    <xf numFmtId="39" fontId="101" fillId="17" borderId="1" xfId="7" applyNumberFormat="1" applyFont="1" applyFill="1" applyBorder="1" applyAlignment="1">
      <alignment horizontal="right"/>
    </xf>
    <xf numFmtId="0" fontId="101" fillId="17" borderId="1" xfId="7" applyFont="1" applyFill="1" applyBorder="1" applyAlignment="1">
      <alignment horizontal="center" vertical="center" wrapText="1"/>
    </xf>
    <xf numFmtId="0" fontId="101" fillId="17" borderId="1" xfId="7" applyFont="1" applyFill="1" applyBorder="1" applyAlignment="1">
      <alignment horizontal="right"/>
    </xf>
    <xf numFmtId="0" fontId="34" fillId="3" borderId="25" xfId="7" applyNumberFormat="1" applyFont="1" applyFill="1" applyBorder="1" applyAlignment="1">
      <alignment horizontal="center" vertical="center" wrapText="1" readingOrder="1"/>
    </xf>
    <xf numFmtId="0" fontId="101" fillId="3" borderId="0" xfId="7" applyFont="1" applyFill="1" applyBorder="1"/>
    <xf numFmtId="0" fontId="34" fillId="6" borderId="25" xfId="7" applyNumberFormat="1" applyFont="1" applyFill="1" applyBorder="1" applyAlignment="1">
      <alignment horizontal="center" vertical="center" wrapText="1" readingOrder="1"/>
    </xf>
    <xf numFmtId="0" fontId="101" fillId="0" borderId="0" xfId="7" applyFont="1" applyFill="1" applyBorder="1"/>
    <xf numFmtId="0" fontId="35" fillId="3" borderId="25" xfId="7" applyNumberFormat="1" applyFont="1" applyFill="1" applyBorder="1" applyAlignment="1">
      <alignment horizontal="center" vertical="center" wrapText="1" readingOrder="1"/>
    </xf>
    <xf numFmtId="0" fontId="34" fillId="0" borderId="25" xfId="7" applyNumberFormat="1" applyFont="1" applyFill="1" applyBorder="1" applyAlignment="1">
      <alignment horizontal="center" vertical="center" wrapText="1" readingOrder="1"/>
    </xf>
    <xf numFmtId="0" fontId="34" fillId="0" borderId="1" xfId="7" applyNumberFormat="1" applyFont="1" applyFill="1" applyBorder="1" applyAlignment="1">
      <alignment horizontal="center" vertical="center" wrapText="1" readingOrder="1"/>
    </xf>
    <xf numFmtId="0" fontId="101" fillId="6" borderId="0" xfId="7" applyFont="1" applyFill="1" applyBorder="1"/>
    <xf numFmtId="0" fontId="34" fillId="0" borderId="25" xfId="0" applyNumberFormat="1" applyFont="1" applyFill="1" applyBorder="1" applyAlignment="1">
      <alignment horizontal="center" vertical="center" wrapText="1" readingOrder="1"/>
    </xf>
    <xf numFmtId="0" fontId="34" fillId="17" borderId="25" xfId="7" applyNumberFormat="1" applyFont="1" applyFill="1" applyBorder="1" applyAlignment="1">
      <alignment horizontal="center" vertical="center" wrapText="1" readingOrder="1"/>
    </xf>
    <xf numFmtId="0" fontId="34" fillId="22" borderId="25" xfId="7" applyNumberFormat="1" applyFont="1" applyFill="1" applyBorder="1" applyAlignment="1">
      <alignment horizontal="center" vertical="center" wrapText="1" readingOrder="1"/>
    </xf>
    <xf numFmtId="0" fontId="102" fillId="17" borderId="25" xfId="7" applyNumberFormat="1" applyFont="1" applyFill="1" applyBorder="1" applyAlignment="1">
      <alignment horizontal="center" vertical="center" wrapText="1" readingOrder="1"/>
    </xf>
    <xf numFmtId="0" fontId="102" fillId="17" borderId="1" xfId="7" applyNumberFormat="1" applyFont="1" applyFill="1" applyBorder="1" applyAlignment="1">
      <alignment horizontal="center" vertical="center" wrapText="1" readingOrder="1"/>
    </xf>
    <xf numFmtId="0" fontId="102" fillId="17" borderId="1" xfId="7" applyNumberFormat="1" applyFont="1" applyFill="1" applyBorder="1" applyAlignment="1">
      <alignment vertical="center" wrapText="1" readingOrder="1"/>
    </xf>
    <xf numFmtId="39" fontId="102" fillId="17" borderId="1" xfId="7" applyNumberFormat="1" applyFont="1" applyFill="1" applyBorder="1" applyAlignment="1">
      <alignment horizontal="right" vertical="center" wrapText="1" readingOrder="1"/>
    </xf>
    <xf numFmtId="0" fontId="103" fillId="17" borderId="0" xfId="7" applyFont="1" applyFill="1" applyBorder="1"/>
    <xf numFmtId="0" fontId="34" fillId="20" borderId="25" xfId="7" applyNumberFormat="1" applyFont="1" applyFill="1" applyBorder="1" applyAlignment="1">
      <alignment horizontal="center" vertical="center" wrapText="1" readingOrder="1"/>
    </xf>
    <xf numFmtId="0" fontId="101" fillId="20" borderId="0" xfId="7" applyFont="1" applyFill="1" applyBorder="1"/>
    <xf numFmtId="39" fontId="101" fillId="3" borderId="6" xfId="7" applyNumberFormat="1" applyFont="1" applyFill="1" applyBorder="1" applyAlignment="1">
      <alignment horizontal="right" vertical="center"/>
    </xf>
    <xf numFmtId="39" fontId="95" fillId="3" borderId="6" xfId="7" applyNumberFormat="1" applyFont="1" applyFill="1" applyBorder="1" applyAlignment="1">
      <alignment horizontal="right" vertical="center"/>
    </xf>
    <xf numFmtId="0" fontId="30" fillId="0" borderId="6" xfId="7" applyFont="1" applyFill="1" applyBorder="1"/>
    <xf numFmtId="0" fontId="34" fillId="3" borderId="1" xfId="0" applyNumberFormat="1" applyFont="1" applyFill="1" applyBorder="1" applyAlignment="1">
      <alignment horizontal="center" vertical="center" wrapText="1" readingOrder="1"/>
    </xf>
    <xf numFmtId="39" fontId="34" fillId="3" borderId="1" xfId="7" applyNumberFormat="1" applyFont="1" applyFill="1" applyBorder="1" applyAlignment="1">
      <alignment vertical="center" wrapText="1" readingOrder="1"/>
    </xf>
    <xf numFmtId="0" fontId="23" fillId="0" borderId="0" xfId="7" applyFont="1" applyFill="1" applyBorder="1" applyAlignment="1">
      <alignment horizontal="center" vertical="center"/>
    </xf>
    <xf numFmtId="0" fontId="27" fillId="4" borderId="0" xfId="7" applyFont="1" applyFill="1" applyBorder="1" applyAlignment="1">
      <alignment horizontal="center" vertical="center"/>
    </xf>
    <xf numFmtId="10" fontId="101" fillId="3" borderId="1" xfId="12" applyNumberFormat="1" applyFont="1" applyFill="1" applyBorder="1" applyAlignment="1">
      <alignment horizontal="center" vertical="center"/>
    </xf>
    <xf numFmtId="0" fontId="101" fillId="17" borderId="1" xfId="7" applyFont="1" applyFill="1" applyBorder="1" applyAlignment="1">
      <alignment horizontal="center" vertical="center"/>
    </xf>
    <xf numFmtId="39" fontId="49" fillId="21" borderId="1" xfId="7" applyNumberFormat="1" applyFont="1" applyFill="1" applyBorder="1" applyAlignment="1">
      <alignment horizontal="center" vertical="center" wrapText="1"/>
    </xf>
    <xf numFmtId="39" fontId="49" fillId="3" borderId="1" xfId="7" applyNumberFormat="1" applyFont="1" applyFill="1" applyBorder="1" applyAlignment="1">
      <alignment horizontal="center" vertical="center" wrapText="1"/>
    </xf>
    <xf numFmtId="39" fontId="27" fillId="14" borderId="0" xfId="7" applyNumberFormat="1" applyFont="1" applyFill="1" applyBorder="1" applyAlignment="1">
      <alignment horizontal="center" vertical="center"/>
    </xf>
    <xf numFmtId="0" fontId="23" fillId="0" borderId="1" xfId="7" applyFont="1" applyFill="1" applyBorder="1" applyAlignment="1">
      <alignment horizontal="center" vertical="center"/>
    </xf>
    <xf numFmtId="0" fontId="23" fillId="21" borderId="1" xfId="7" applyFont="1" applyFill="1" applyBorder="1" applyAlignment="1">
      <alignment horizontal="center" vertical="center"/>
    </xf>
    <xf numFmtId="0" fontId="30" fillId="0" borderId="1" xfId="7" applyFont="1" applyFill="1" applyBorder="1" applyAlignment="1">
      <alignment horizontal="center" vertical="center"/>
    </xf>
    <xf numFmtId="0" fontId="30" fillId="0" borderId="0" xfId="7" applyFont="1" applyFill="1" applyBorder="1" applyAlignment="1">
      <alignment horizontal="center" vertical="center"/>
    </xf>
    <xf numFmtId="0" fontId="102" fillId="29" borderId="1" xfId="7" applyNumberFormat="1" applyFont="1" applyFill="1" applyBorder="1" applyAlignment="1">
      <alignment horizontal="center" vertical="center" wrapText="1" readingOrder="1"/>
    </xf>
    <xf numFmtId="39" fontId="102" fillId="29" borderId="1" xfId="7" applyNumberFormat="1" applyFont="1" applyFill="1" applyBorder="1" applyAlignment="1">
      <alignment horizontal="right" vertical="center" wrapText="1" readingOrder="1"/>
    </xf>
    <xf numFmtId="39" fontId="46" fillId="29" borderId="1" xfId="7" applyNumberFormat="1" applyFont="1" applyFill="1" applyBorder="1" applyAlignment="1">
      <alignment horizontal="right" vertical="center" wrapText="1" readingOrder="1"/>
    </xf>
    <xf numFmtId="0" fontId="46" fillId="29" borderId="1" xfId="7" applyNumberFormat="1"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04" fillId="4" borderId="0" xfId="7" applyNumberFormat="1" applyFont="1" applyFill="1" applyBorder="1" applyAlignment="1">
      <alignment horizontal="center" vertical="center" wrapText="1" readingOrder="1"/>
    </xf>
    <xf numFmtId="0" fontId="49" fillId="4" borderId="28" xfId="7" applyNumberFormat="1" applyFont="1" applyFill="1" applyBorder="1" applyAlignment="1">
      <alignment horizontal="center" vertical="center" wrapText="1" readingOrder="1"/>
    </xf>
    <xf numFmtId="0" fontId="7" fillId="3" borderId="1" xfId="7" applyNumberFormat="1" applyFont="1" applyFill="1" applyBorder="1" applyAlignment="1">
      <alignment vertical="center" wrapText="1" readingOrder="1"/>
    </xf>
    <xf numFmtId="0" fontId="7" fillId="3" borderId="1" xfId="7" applyNumberFormat="1" applyFont="1" applyFill="1" applyBorder="1" applyAlignment="1">
      <alignment horizontal="left" vertical="center" wrapText="1" readingOrder="1"/>
    </xf>
    <xf numFmtId="0" fontId="51" fillId="29" borderId="1" xfId="7" applyNumberFormat="1" applyFont="1" applyFill="1" applyBorder="1" applyAlignment="1">
      <alignment horizontal="left" vertical="center" wrapText="1" readingOrder="1"/>
    </xf>
    <xf numFmtId="0" fontId="7" fillId="0" borderId="1" xfId="7" applyNumberFormat="1" applyFont="1" applyFill="1" applyBorder="1" applyAlignment="1">
      <alignment horizontal="left" vertical="center" wrapText="1" readingOrder="1"/>
    </xf>
    <xf numFmtId="0" fontId="7" fillId="17" borderId="24" xfId="7" applyNumberFormat="1" applyFont="1" applyFill="1" applyBorder="1" applyAlignment="1">
      <alignment horizontal="left" vertical="center" wrapText="1" readingOrder="1"/>
    </xf>
    <xf numFmtId="0" fontId="7" fillId="17" borderId="23" xfId="7" applyNumberFormat="1" applyFont="1" applyFill="1" applyBorder="1" applyAlignment="1">
      <alignment horizontal="left" vertical="center" wrapText="1" readingOrder="1"/>
    </xf>
    <xf numFmtId="0" fontId="61" fillId="17" borderId="1" xfId="7" applyNumberFormat="1" applyFont="1" applyFill="1" applyBorder="1" applyAlignment="1">
      <alignment horizontal="left" vertical="center" wrapText="1" readingOrder="1"/>
    </xf>
    <xf numFmtId="0" fontId="49" fillId="3" borderId="1" xfId="7" applyNumberFormat="1" applyFont="1" applyFill="1" applyBorder="1" applyAlignment="1">
      <alignment horizontal="left" vertical="center" wrapText="1" readingOrder="1"/>
    </xf>
    <xf numFmtId="0" fontId="49" fillId="21" borderId="1" xfId="7" applyNumberFormat="1" applyFont="1" applyFill="1" applyBorder="1" applyAlignment="1">
      <alignment horizontal="left" vertical="center" wrapText="1" readingOrder="1"/>
    </xf>
    <xf numFmtId="4" fontId="49" fillId="0" borderId="1" xfId="7" applyNumberFormat="1" applyFont="1" applyFill="1" applyBorder="1" applyAlignment="1" applyProtection="1">
      <alignment horizontal="center" vertical="center"/>
    </xf>
    <xf numFmtId="4" fontId="7" fillId="0" borderId="0" xfId="7" applyNumberFormat="1" applyFont="1" applyFill="1" applyBorder="1" applyAlignment="1" applyProtection="1">
      <alignment horizontal="center"/>
    </xf>
    <xf numFmtId="4" fontId="49" fillId="4" borderId="1" xfId="7" applyNumberFormat="1" applyFont="1" applyFill="1" applyBorder="1" applyAlignment="1" applyProtection="1">
      <alignment horizontal="center" vertical="center"/>
    </xf>
    <xf numFmtId="4" fontId="7" fillId="4" borderId="1" xfId="7" applyNumberFormat="1" applyFont="1" applyFill="1" applyBorder="1" applyAlignment="1" applyProtection="1">
      <alignment horizontal="left" vertical="center" wrapText="1"/>
    </xf>
    <xf numFmtId="4" fontId="7" fillId="4" borderId="1" xfId="7" applyNumberFormat="1" applyFont="1" applyFill="1" applyBorder="1" applyAlignment="1" applyProtection="1">
      <alignment horizontal="left" vertical="center"/>
    </xf>
    <xf numFmtId="4" fontId="49" fillId="4" borderId="1" xfId="7" applyNumberFormat="1" applyFont="1" applyFill="1" applyBorder="1" applyAlignment="1" applyProtection="1">
      <alignment horizontal="left" vertical="center"/>
    </xf>
    <xf numFmtId="0" fontId="49" fillId="4" borderId="0" xfId="7" applyNumberFormat="1" applyFont="1" applyFill="1" applyBorder="1" applyAlignment="1">
      <alignment horizontal="center" vertical="center" wrapText="1" readingOrder="1"/>
    </xf>
    <xf numFmtId="0" fontId="49" fillId="4" borderId="3" xfId="7" applyNumberFormat="1" applyFont="1" applyFill="1" applyBorder="1" applyAlignment="1">
      <alignment horizontal="center" vertical="center" wrapText="1" readingOrder="1"/>
    </xf>
    <xf numFmtId="0" fontId="49" fillId="31" borderId="28" xfId="7" applyNumberFormat="1" applyFont="1" applyFill="1" applyBorder="1" applyAlignment="1">
      <alignment horizontal="center" vertical="center" wrapText="1" readingOrder="1"/>
    </xf>
    <xf numFmtId="0" fontId="98" fillId="4" borderId="28" xfId="0" applyFont="1" applyFill="1" applyBorder="1" applyAlignment="1">
      <alignment horizontal="center" vertical="center" wrapText="1"/>
    </xf>
    <xf numFmtId="39" fontId="7" fillId="3" borderId="1" xfId="7" applyNumberFormat="1" applyFont="1" applyFill="1" applyBorder="1" applyAlignment="1">
      <alignment horizontal="right" vertical="center" wrapText="1" readingOrder="1"/>
    </xf>
    <xf numFmtId="39" fontId="7" fillId="31" borderId="1" xfId="7" applyNumberFormat="1" applyFont="1" applyFill="1" applyBorder="1" applyAlignment="1">
      <alignment horizontal="right" vertical="center" wrapText="1" readingOrder="1"/>
    </xf>
    <xf numFmtId="39" fontId="7" fillId="31" borderId="1" xfId="7" applyNumberFormat="1" applyFont="1" applyFill="1" applyBorder="1" applyAlignment="1">
      <alignment horizontal="right" vertical="top" wrapText="1" readingOrder="1"/>
    </xf>
    <xf numFmtId="39" fontId="7" fillId="31" borderId="1" xfId="7" applyNumberFormat="1" applyFont="1" applyFill="1" applyBorder="1" applyAlignment="1">
      <alignment horizontal="center" vertical="center" wrapText="1" readingOrder="1"/>
    </xf>
    <xf numFmtId="39" fontId="7" fillId="3" borderId="1" xfId="7" applyNumberFormat="1" applyFont="1" applyFill="1" applyBorder="1" applyAlignment="1">
      <alignment horizontal="center" vertical="center" wrapText="1" readingOrder="1"/>
    </xf>
    <xf numFmtId="39" fontId="23" fillId="3" borderId="1" xfId="7" applyNumberFormat="1" applyFont="1" applyFill="1" applyBorder="1" applyAlignment="1">
      <alignment horizontal="right" vertical="center"/>
    </xf>
    <xf numFmtId="39" fontId="61" fillId="29" borderId="1" xfId="7" applyNumberFormat="1" applyFont="1" applyFill="1" applyBorder="1" applyAlignment="1">
      <alignment horizontal="right" vertical="center" wrapText="1" readingOrder="1"/>
    </xf>
    <xf numFmtId="39" fontId="61" fillId="29" borderId="1" xfId="7" applyNumberFormat="1" applyFont="1" applyFill="1" applyBorder="1" applyAlignment="1">
      <alignment horizontal="right" vertical="top" wrapText="1" readingOrder="1"/>
    </xf>
    <xf numFmtId="39" fontId="69" fillId="29" borderId="1" xfId="7" applyNumberFormat="1" applyFont="1" applyFill="1" applyBorder="1" applyAlignment="1">
      <alignment horizontal="right" vertical="center"/>
    </xf>
    <xf numFmtId="39" fontId="7" fillId="0" borderId="1" xfId="7" applyNumberFormat="1" applyFont="1" applyFill="1" applyBorder="1" applyAlignment="1">
      <alignment horizontal="right" vertical="center" wrapText="1" readingOrder="1"/>
    </xf>
    <xf numFmtId="39" fontId="7" fillId="3" borderId="1" xfId="7" applyNumberFormat="1" applyFont="1" applyFill="1" applyBorder="1" applyAlignment="1">
      <alignment horizontal="right" vertical="top" wrapText="1" readingOrder="1"/>
    </xf>
    <xf numFmtId="0" fontId="7" fillId="3" borderId="1" xfId="7" applyNumberFormat="1" applyFont="1" applyFill="1" applyBorder="1" applyAlignment="1">
      <alignment horizontal="right" vertical="center" wrapText="1" readingOrder="1"/>
    </xf>
    <xf numFmtId="39" fontId="17" fillId="3" borderId="1" xfId="7" applyNumberFormat="1" applyFont="1" applyFill="1" applyBorder="1" applyAlignment="1">
      <alignment horizontal="right" vertical="center" wrapText="1" readingOrder="1"/>
    </xf>
    <xf numFmtId="0" fontId="61" fillId="29" borderId="1" xfId="7" applyNumberFormat="1" applyFont="1" applyFill="1" applyBorder="1" applyAlignment="1">
      <alignment horizontal="right" vertical="center" wrapText="1" readingOrder="1"/>
    </xf>
    <xf numFmtId="39" fontId="49" fillId="17" borderId="24" xfId="7" applyNumberFormat="1" applyFont="1" applyFill="1" applyBorder="1" applyAlignment="1">
      <alignment horizontal="right" vertical="center" wrapText="1" readingOrder="1"/>
    </xf>
    <xf numFmtId="39" fontId="49" fillId="17" borderId="30" xfId="7" applyNumberFormat="1" applyFont="1" applyFill="1" applyBorder="1" applyAlignment="1">
      <alignment horizontal="right" vertical="center" wrapText="1" readingOrder="1"/>
    </xf>
    <xf numFmtId="39" fontId="49" fillId="3" borderId="70" xfId="7" applyNumberFormat="1" applyFont="1" applyFill="1" applyBorder="1" applyAlignment="1">
      <alignment horizontal="right" vertical="center" wrapText="1" readingOrder="1"/>
    </xf>
    <xf numFmtId="39" fontId="49" fillId="17" borderId="23" xfId="7" applyNumberFormat="1" applyFont="1" applyFill="1" applyBorder="1" applyAlignment="1">
      <alignment horizontal="right" vertical="center" wrapText="1" readingOrder="1"/>
    </xf>
    <xf numFmtId="39" fontId="49" fillId="17" borderId="31" xfId="7" applyNumberFormat="1" applyFont="1" applyFill="1" applyBorder="1" applyAlignment="1">
      <alignment horizontal="right" vertical="center" wrapText="1" readingOrder="1"/>
    </xf>
    <xf numFmtId="39" fontId="7" fillId="23" borderId="1" xfId="7" applyNumberFormat="1" applyFont="1" applyFill="1" applyBorder="1" applyAlignment="1">
      <alignment horizontal="right" vertical="center" wrapText="1" readingOrder="1"/>
    </xf>
    <xf numFmtId="39" fontId="7" fillId="23" borderId="1" xfId="7" applyNumberFormat="1" applyFont="1" applyFill="1" applyBorder="1" applyAlignment="1">
      <alignment horizontal="right" vertical="top" wrapText="1" readingOrder="1"/>
    </xf>
    <xf numFmtId="39" fontId="6" fillId="3" borderId="1" xfId="7" applyNumberFormat="1" applyFont="1" applyFill="1" applyBorder="1" applyAlignment="1">
      <alignment horizontal="right" vertical="center" wrapText="1" readingOrder="1"/>
    </xf>
    <xf numFmtId="39" fontId="7" fillId="25" borderId="1" xfId="7" applyNumberFormat="1" applyFont="1" applyFill="1" applyBorder="1" applyAlignment="1">
      <alignment horizontal="right" vertical="center" wrapText="1" readingOrder="1"/>
    </xf>
    <xf numFmtId="39" fontId="61" fillId="17" borderId="1" xfId="7" applyNumberFormat="1" applyFont="1" applyFill="1" applyBorder="1" applyAlignment="1">
      <alignment horizontal="right" vertical="center" wrapText="1" readingOrder="1"/>
    </xf>
    <xf numFmtId="39" fontId="61" fillId="25" borderId="1" xfId="7" applyNumberFormat="1" applyFont="1" applyFill="1" applyBorder="1" applyAlignment="1">
      <alignment horizontal="right" vertical="center" wrapText="1" readingOrder="1"/>
    </xf>
    <xf numFmtId="39" fontId="61" fillId="23" borderId="1" xfId="7" applyNumberFormat="1" applyFont="1" applyFill="1" applyBorder="1" applyAlignment="1">
      <alignment horizontal="right" vertical="center" wrapText="1" readingOrder="1"/>
    </xf>
    <xf numFmtId="39" fontId="69" fillId="17" borderId="1" xfId="7" applyNumberFormat="1" applyFont="1" applyFill="1" applyBorder="1" applyAlignment="1">
      <alignment horizontal="right" vertical="center"/>
    </xf>
    <xf numFmtId="39" fontId="69" fillId="3" borderId="1" xfId="7" applyNumberFormat="1" applyFont="1" applyFill="1" applyBorder="1" applyAlignment="1">
      <alignment horizontal="right" vertical="center"/>
    </xf>
    <xf numFmtId="0" fontId="7" fillId="20" borderId="1" xfId="7" applyNumberFormat="1" applyFont="1" applyFill="1" applyBorder="1" applyAlignment="1">
      <alignment vertical="center" wrapText="1" readingOrder="1"/>
    </xf>
    <xf numFmtId="39" fontId="7" fillId="3" borderId="1" xfId="7" applyNumberFormat="1" applyFont="1" applyFill="1" applyBorder="1" applyAlignment="1">
      <alignment vertical="center" wrapText="1" readingOrder="1"/>
    </xf>
    <xf numFmtId="39" fontId="7" fillId="23" borderId="1" xfId="7" applyNumberFormat="1" applyFont="1" applyFill="1" applyBorder="1" applyAlignment="1">
      <alignment horizontal="right" vertical="center" readingOrder="1"/>
    </xf>
    <xf numFmtId="39" fontId="23" fillId="12" borderId="1" xfId="7" applyNumberFormat="1" applyFont="1" applyFill="1" applyBorder="1" applyAlignment="1">
      <alignment horizontal="right" vertical="center"/>
    </xf>
    <xf numFmtId="0" fontId="23" fillId="3" borderId="1" xfId="7" applyFont="1" applyFill="1" applyBorder="1"/>
    <xf numFmtId="39" fontId="61" fillId="3" borderId="1" xfId="7" applyNumberFormat="1" applyFont="1" applyFill="1" applyBorder="1" applyAlignment="1">
      <alignment horizontal="right" vertical="center" wrapText="1" readingOrder="1"/>
    </xf>
    <xf numFmtId="39" fontId="7" fillId="3" borderId="1" xfId="7" applyNumberFormat="1" applyFont="1" applyFill="1" applyBorder="1" applyAlignment="1">
      <alignment horizontal="right" vertical="center" wrapText="1"/>
    </xf>
    <xf numFmtId="39" fontId="51" fillId="30" borderId="1" xfId="7" applyNumberFormat="1" applyFont="1" applyFill="1" applyBorder="1" applyAlignment="1">
      <alignment horizontal="right" vertical="center" wrapText="1" readingOrder="1"/>
    </xf>
    <xf numFmtId="39" fontId="7" fillId="17" borderId="1" xfId="7" applyNumberFormat="1" applyFont="1" applyFill="1" applyBorder="1" applyAlignment="1">
      <alignment horizontal="right" vertical="center" wrapText="1" readingOrder="1"/>
    </xf>
    <xf numFmtId="39" fontId="69" fillId="17" borderId="1" xfId="7" applyNumberFormat="1" applyFont="1" applyFill="1" applyBorder="1" applyAlignment="1">
      <alignment horizontal="right"/>
    </xf>
    <xf numFmtId="39" fontId="23" fillId="3" borderId="1" xfId="7" applyNumberFormat="1" applyFont="1" applyFill="1" applyBorder="1" applyAlignment="1">
      <alignment horizontal="right"/>
    </xf>
    <xf numFmtId="39" fontId="23" fillId="17" borderId="1" xfId="7" applyNumberFormat="1" applyFont="1" applyFill="1" applyBorder="1" applyAlignment="1">
      <alignment horizontal="center" vertical="center"/>
    </xf>
    <xf numFmtId="168" fontId="69" fillId="17" borderId="1" xfId="7" applyNumberFormat="1" applyFont="1" applyFill="1" applyBorder="1" applyAlignment="1">
      <alignment horizontal="right"/>
    </xf>
    <xf numFmtId="0" fontId="69" fillId="17" borderId="1" xfId="7" applyFont="1" applyFill="1" applyBorder="1" applyAlignment="1">
      <alignment horizontal="right"/>
    </xf>
    <xf numFmtId="0" fontId="23" fillId="3" borderId="1" xfId="7" applyFont="1" applyFill="1" applyBorder="1" applyAlignment="1">
      <alignment horizontal="right"/>
    </xf>
    <xf numFmtId="0" fontId="23" fillId="17" borderId="1" xfId="7" applyFont="1" applyFill="1" applyBorder="1" applyAlignment="1">
      <alignment horizontal="center" vertical="center"/>
    </xf>
    <xf numFmtId="39" fontId="49" fillId="0" borderId="1" xfId="7" applyNumberFormat="1" applyFont="1" applyFill="1" applyBorder="1" applyAlignment="1">
      <alignment horizontal="right" vertical="center" wrapText="1" readingOrder="1"/>
    </xf>
    <xf numFmtId="39" fontId="27" fillId="3" borderId="1" xfId="7" applyNumberFormat="1" applyFont="1" applyFill="1" applyBorder="1" applyAlignment="1">
      <alignment horizontal="right" vertical="center"/>
    </xf>
    <xf numFmtId="39" fontId="27" fillId="14" borderId="1" xfId="7" applyNumberFormat="1" applyFont="1" applyFill="1" applyBorder="1"/>
    <xf numFmtId="39" fontId="49" fillId="14" borderId="1" xfId="7" applyNumberFormat="1" applyFont="1" applyFill="1" applyBorder="1" applyAlignment="1">
      <alignment horizontal="right" vertical="center" wrapText="1"/>
    </xf>
    <xf numFmtId="39" fontId="27" fillId="14" borderId="1" xfId="7" applyNumberFormat="1" applyFont="1" applyFill="1" applyBorder="1" applyAlignment="1">
      <alignment horizontal="right"/>
    </xf>
    <xf numFmtId="39" fontId="27" fillId="3" borderId="1" xfId="7" applyNumberFormat="1" applyFont="1" applyFill="1" applyBorder="1" applyAlignment="1">
      <alignment horizontal="right"/>
    </xf>
    <xf numFmtId="39" fontId="27" fillId="14" borderId="1" xfId="7" applyNumberFormat="1" applyFont="1" applyFill="1" applyBorder="1" applyAlignment="1">
      <alignment horizontal="center" vertical="center"/>
    </xf>
    <xf numFmtId="169" fontId="7" fillId="0" borderId="1" xfId="0" applyNumberFormat="1" applyFont="1" applyFill="1" applyBorder="1" applyAlignment="1">
      <alignment horizontal="center" vertical="center" wrapText="1"/>
    </xf>
    <xf numFmtId="0" fontId="22" fillId="0" borderId="6" xfId="7" applyBorder="1"/>
    <xf numFmtId="0" fontId="27" fillId="9" borderId="59" xfId="7" applyFont="1" applyFill="1" applyBorder="1" applyAlignment="1">
      <alignment horizontal="center" wrapText="1"/>
    </xf>
    <xf numFmtId="0" fontId="27" fillId="9" borderId="60" xfId="7" applyFont="1" applyFill="1" applyBorder="1" applyAlignment="1">
      <alignment horizontal="center" wrapText="1"/>
    </xf>
    <xf numFmtId="43" fontId="27" fillId="9" borderId="60" xfId="8" applyFont="1" applyFill="1" applyBorder="1" applyAlignment="1">
      <alignment horizontal="center" wrapText="1"/>
    </xf>
    <xf numFmtId="0" fontId="27" fillId="9" borderId="61" xfId="7" applyFont="1" applyFill="1" applyBorder="1" applyAlignment="1">
      <alignment horizontal="center" wrapText="1"/>
    </xf>
    <xf numFmtId="0" fontId="105" fillId="0" borderId="0" xfId="7" applyFont="1" applyFill="1" applyBorder="1" applyAlignment="1">
      <alignment horizontal="center" wrapText="1"/>
    </xf>
    <xf numFmtId="0" fontId="27" fillId="0" borderId="0" xfId="7" applyFont="1" applyFill="1" applyBorder="1" applyAlignment="1">
      <alignment horizontal="center" wrapText="1"/>
    </xf>
    <xf numFmtId="0" fontId="22" fillId="0" borderId="0" xfId="7"/>
    <xf numFmtId="0" fontId="22" fillId="0" borderId="15" xfId="7" applyBorder="1" applyAlignment="1">
      <alignment horizontal="center"/>
    </xf>
    <xf numFmtId="0" fontId="22" fillId="0" borderId="16" xfId="7" applyBorder="1"/>
    <xf numFmtId="49" fontId="22" fillId="0" borderId="16" xfId="7" applyNumberFormat="1" applyBorder="1" applyAlignment="1">
      <alignment wrapText="1"/>
    </xf>
    <xf numFmtId="43" fontId="0" fillId="0" borderId="16" xfId="8" applyFont="1" applyBorder="1" applyAlignment="1">
      <alignment horizontal="center"/>
    </xf>
    <xf numFmtId="0" fontId="22" fillId="0" borderId="17" xfId="7" applyBorder="1"/>
    <xf numFmtId="43" fontId="3" fillId="0" borderId="0" xfId="8" applyFont="1" applyFill="1"/>
    <xf numFmtId="0" fontId="3" fillId="0" borderId="0" xfId="7" applyFont="1" applyFill="1"/>
    <xf numFmtId="0" fontId="22" fillId="0" borderId="0" xfId="7" applyFill="1"/>
    <xf numFmtId="0" fontId="22" fillId="0" borderId="2" xfId="7" applyBorder="1" applyAlignment="1">
      <alignment horizontal="center"/>
    </xf>
    <xf numFmtId="0" fontId="22" fillId="0" borderId="1" xfId="7" applyBorder="1"/>
    <xf numFmtId="49" fontId="22" fillId="0" borderId="1" xfId="7" applyNumberFormat="1" applyBorder="1" applyAlignment="1">
      <alignment wrapText="1"/>
    </xf>
    <xf numFmtId="43" fontId="0" fillId="0" borderId="1" xfId="8" applyFont="1" applyBorder="1" applyAlignment="1">
      <alignment horizontal="center"/>
    </xf>
    <xf numFmtId="0" fontId="22" fillId="0" borderId="18" xfId="7" applyBorder="1"/>
    <xf numFmtId="177" fontId="22" fillId="0" borderId="1" xfId="7" applyNumberFormat="1" applyBorder="1" applyAlignment="1">
      <alignment horizontal="left"/>
    </xf>
    <xf numFmtId="14" fontId="22" fillId="0" borderId="1" xfId="7" applyNumberFormat="1" applyBorder="1"/>
    <xf numFmtId="0" fontId="22" fillId="0" borderId="0" xfId="7" applyBorder="1"/>
    <xf numFmtId="0" fontId="22" fillId="0" borderId="10" xfId="7" applyBorder="1" applyAlignment="1">
      <alignment horizontal="center"/>
    </xf>
    <xf numFmtId="0" fontId="22" fillId="0" borderId="35" xfId="7" applyBorder="1"/>
    <xf numFmtId="49" fontId="22" fillId="0" borderId="35" xfId="7" applyNumberFormat="1" applyBorder="1" applyAlignment="1">
      <alignment wrapText="1"/>
    </xf>
    <xf numFmtId="43" fontId="0" fillId="0" borderId="35" xfId="8" applyFont="1" applyBorder="1" applyAlignment="1">
      <alignment horizontal="center"/>
    </xf>
    <xf numFmtId="0" fontId="22" fillId="0" borderId="62" xfId="7" applyBorder="1"/>
    <xf numFmtId="0" fontId="22" fillId="0" borderId="0" xfId="7" applyAlignment="1">
      <alignment horizontal="center"/>
    </xf>
    <xf numFmtId="0" fontId="2" fillId="13" borderId="72" xfId="7" applyFont="1" applyFill="1" applyBorder="1"/>
    <xf numFmtId="43" fontId="2" fillId="13" borderId="73" xfId="7" applyNumberFormat="1" applyFont="1" applyFill="1" applyBorder="1"/>
    <xf numFmtId="43" fontId="3" fillId="0" borderId="0" xfId="7" applyNumberFormat="1" applyFont="1" applyFill="1"/>
    <xf numFmtId="43" fontId="106" fillId="0" borderId="0" xfId="7" applyNumberFormat="1" applyFont="1"/>
    <xf numFmtId="49" fontId="106" fillId="13" borderId="50" xfId="7" applyNumberFormat="1" applyFont="1" applyFill="1" applyBorder="1" applyAlignment="1">
      <alignment horizontal="center" wrapText="1"/>
    </xf>
    <xf numFmtId="43" fontId="106" fillId="13" borderId="49" xfId="8" applyFont="1" applyFill="1" applyBorder="1" applyAlignment="1">
      <alignment horizontal="center"/>
    </xf>
    <xf numFmtId="176" fontId="107" fillId="0" borderId="24" xfId="7" applyNumberFormat="1" applyFont="1" applyFill="1" applyBorder="1" applyAlignment="1">
      <alignment horizontal="right" vertical="center" wrapText="1" readingOrder="1"/>
    </xf>
    <xf numFmtId="0" fontId="23" fillId="13" borderId="0" xfId="7" applyFont="1" applyFill="1" applyBorder="1"/>
    <xf numFmtId="43" fontId="0" fillId="0" borderId="0" xfId="8" applyFont="1"/>
    <xf numFmtId="43" fontId="23" fillId="0" borderId="0" xfId="8" applyFont="1" applyFill="1" applyBorder="1"/>
    <xf numFmtId="0" fontId="23" fillId="0" borderId="0" xfId="7" applyFont="1" applyFill="1" applyBorder="1" applyAlignment="1">
      <alignment horizontal="left"/>
    </xf>
    <xf numFmtId="43" fontId="23" fillId="0" borderId="0" xfId="7" applyNumberFormat="1" applyFont="1" applyFill="1" applyBorder="1"/>
    <xf numFmtId="43" fontId="22" fillId="0" borderId="0" xfId="7" applyNumberFormat="1"/>
    <xf numFmtId="43" fontId="22" fillId="0" borderId="0" xfId="7" applyNumberFormat="1" applyFill="1"/>
    <xf numFmtId="0" fontId="106" fillId="32" borderId="15" xfId="7" applyFont="1" applyFill="1" applyBorder="1" applyAlignment="1">
      <alignment horizontal="center"/>
    </xf>
    <xf numFmtId="0" fontId="106" fillId="32" borderId="17" xfId="7" applyFont="1" applyFill="1" applyBorder="1" applyAlignment="1">
      <alignment horizontal="center"/>
    </xf>
    <xf numFmtId="43" fontId="106" fillId="32" borderId="10" xfId="8" applyFont="1" applyFill="1" applyBorder="1"/>
    <xf numFmtId="43" fontId="106" fillId="32" borderId="62" xfId="8" applyFont="1" applyFill="1" applyBorder="1"/>
    <xf numFmtId="43" fontId="22" fillId="0" borderId="0" xfId="7" applyNumberFormat="1" applyAlignment="1">
      <alignment vertical="center"/>
    </xf>
    <xf numFmtId="43" fontId="0" fillId="4" borderId="1" xfId="8" applyFont="1" applyFill="1" applyBorder="1" applyAlignment="1">
      <alignment horizontal="center"/>
    </xf>
    <xf numFmtId="0" fontId="7" fillId="4" borderId="29" xfId="0" applyFont="1" applyFill="1" applyBorder="1" applyAlignment="1">
      <alignment horizontal="center" vertical="center" wrapText="1"/>
    </xf>
    <xf numFmtId="0" fontId="34" fillId="3" borderId="1" xfId="7" applyNumberFormat="1" applyFont="1" applyFill="1" applyBorder="1" applyAlignment="1">
      <alignment horizontal="left" vertical="center" wrapText="1" readingOrder="1"/>
    </xf>
    <xf numFmtId="39" fontId="34" fillId="3" borderId="1" xfId="7" applyNumberFormat="1" applyFont="1" applyFill="1" applyBorder="1" applyAlignment="1">
      <alignment horizontal="center" vertical="center" wrapText="1" readingOrder="1"/>
    </xf>
    <xf numFmtId="0" fontId="26" fillId="3" borderId="1" xfId="7" applyNumberFormat="1" applyFont="1" applyFill="1" applyBorder="1" applyAlignment="1">
      <alignment horizontal="center" vertical="center" wrapText="1" readingOrder="1"/>
    </xf>
    <xf numFmtId="167" fontId="48" fillId="3" borderId="1" xfId="1" applyNumberFormat="1" applyFont="1" applyFill="1" applyBorder="1" applyAlignment="1">
      <alignment horizontal="center" vertical="center" wrapText="1" readingOrder="1"/>
    </xf>
    <xf numFmtId="0" fontId="68" fillId="3" borderId="1" xfId="0" applyNumberFormat="1" applyFont="1" applyFill="1" applyBorder="1" applyAlignment="1">
      <alignment horizontal="center" vertical="center" wrapText="1" readingOrder="1"/>
    </xf>
    <xf numFmtId="0" fontId="68" fillId="3" borderId="1" xfId="7" applyNumberFormat="1" applyFont="1" applyFill="1" applyBorder="1" applyAlignment="1">
      <alignment vertical="center" wrapText="1" readingOrder="1"/>
    </xf>
    <xf numFmtId="0" fontId="68" fillId="3" borderId="1" xfId="7" applyNumberFormat="1" applyFont="1" applyFill="1" applyBorder="1" applyAlignment="1">
      <alignment horizontal="left" vertical="center" wrapText="1" readingOrder="1"/>
    </xf>
    <xf numFmtId="167" fontId="12" fillId="4" borderId="1" xfId="1" applyNumberFormat="1" applyFont="1" applyFill="1" applyBorder="1" applyAlignment="1">
      <alignment horizontal="right" vertical="center" wrapText="1" readingOrder="1"/>
    </xf>
    <xf numFmtId="39" fontId="108" fillId="3" borderId="1" xfId="7" applyNumberFormat="1" applyFont="1" applyFill="1" applyBorder="1" applyAlignment="1">
      <alignment horizontal="right" vertical="center"/>
    </xf>
    <xf numFmtId="39" fontId="62" fillId="29" borderId="1" xfId="7" applyNumberFormat="1" applyFont="1" applyFill="1" applyBorder="1" applyAlignment="1">
      <alignment horizontal="right" vertical="center" wrapText="1" readingOrder="1"/>
    </xf>
    <xf numFmtId="39" fontId="109" fillId="29" borderId="1" xfId="7" applyNumberFormat="1" applyFont="1" applyFill="1" applyBorder="1" applyAlignment="1">
      <alignment horizontal="right" vertical="center"/>
    </xf>
    <xf numFmtId="39" fontId="42" fillId="17" borderId="30" xfId="7" applyNumberFormat="1" applyFont="1" applyFill="1" applyBorder="1" applyAlignment="1">
      <alignment horizontal="right" vertical="center" wrapText="1" readingOrder="1"/>
    </xf>
    <xf numFmtId="39" fontId="42" fillId="17" borderId="31" xfId="7" applyNumberFormat="1" applyFont="1" applyFill="1" applyBorder="1" applyAlignment="1">
      <alignment horizontal="right" vertical="center" wrapText="1" readingOrder="1"/>
    </xf>
    <xf numFmtId="39" fontId="40" fillId="3" borderId="1" xfId="7" applyNumberFormat="1" applyFont="1" applyFill="1" applyBorder="1" applyAlignment="1">
      <alignment vertical="center" wrapText="1" readingOrder="1"/>
    </xf>
    <xf numFmtId="39" fontId="109" fillId="17" borderId="1" xfId="7" applyNumberFormat="1" applyFont="1" applyFill="1" applyBorder="1" applyAlignment="1">
      <alignment horizontal="right" vertical="center"/>
    </xf>
    <xf numFmtId="0" fontId="40" fillId="3" borderId="1" xfId="7" applyNumberFormat="1" applyFont="1" applyFill="1" applyBorder="1" applyAlignment="1">
      <alignment vertical="center" wrapText="1" readingOrder="1"/>
    </xf>
    <xf numFmtId="39" fontId="17" fillId="23" borderId="1" xfId="7" applyNumberFormat="1" applyFont="1" applyFill="1" applyBorder="1" applyAlignment="1">
      <alignment horizontal="right" vertical="center" wrapText="1" readingOrder="1"/>
    </xf>
    <xf numFmtId="39" fontId="17" fillId="23" borderId="1" xfId="7" applyNumberFormat="1" applyFont="1" applyFill="1" applyBorder="1" applyAlignment="1">
      <alignment vertical="center" wrapText="1" readingOrder="1"/>
    </xf>
    <xf numFmtId="39" fontId="62" fillId="17" borderId="1" xfId="7" applyNumberFormat="1" applyFont="1" applyFill="1" applyBorder="1" applyAlignment="1">
      <alignment horizontal="right" vertical="center" wrapText="1" readingOrder="1"/>
    </xf>
    <xf numFmtId="39" fontId="46" fillId="7" borderId="22" xfId="7" applyNumberFormat="1" applyFont="1" applyFill="1" applyBorder="1" applyAlignment="1">
      <alignment horizontal="right" vertical="center" wrapText="1"/>
    </xf>
    <xf numFmtId="39" fontId="2" fillId="0" borderId="1" xfId="0" applyNumberFormat="1" applyFont="1" applyBorder="1" applyAlignment="1">
      <alignment wrapText="1"/>
    </xf>
    <xf numFmtId="39" fontId="110" fillId="0" borderId="1" xfId="0" applyNumberFormat="1" applyFont="1" applyBorder="1" applyAlignment="1">
      <alignment wrapText="1"/>
    </xf>
    <xf numFmtId="0" fontId="2" fillId="0" borderId="0" xfId="0" applyFont="1" applyAlignment="1">
      <alignment wrapText="1"/>
    </xf>
    <xf numFmtId="9" fontId="29" fillId="6" borderId="22" xfId="12" applyFont="1" applyFill="1" applyBorder="1" applyAlignment="1">
      <alignment horizontal="right" vertical="center" wrapText="1"/>
    </xf>
    <xf numFmtId="178" fontId="29" fillId="6" borderId="22" xfId="12" applyNumberFormat="1" applyFont="1" applyFill="1" applyBorder="1" applyAlignment="1">
      <alignment horizontal="right" vertical="center" wrapText="1"/>
    </xf>
    <xf numFmtId="178" fontId="46" fillId="16" borderId="22" xfId="12" applyNumberFormat="1" applyFont="1" applyFill="1" applyBorder="1" applyAlignment="1">
      <alignment horizontal="right" vertical="center" wrapText="1"/>
    </xf>
    <xf numFmtId="178" fontId="46" fillId="7" borderId="22" xfId="12" applyNumberFormat="1" applyFont="1" applyFill="1" applyBorder="1" applyAlignment="1">
      <alignment horizontal="right" vertical="center" wrapText="1"/>
    </xf>
    <xf numFmtId="178" fontId="51" fillId="23" borderId="1" xfId="12" applyNumberFormat="1" applyFont="1" applyFill="1" applyBorder="1" applyAlignment="1">
      <alignment horizontal="right" vertical="center" wrapText="1" readingOrder="1"/>
    </xf>
    <xf numFmtId="178" fontId="46" fillId="16" borderId="23" xfId="12" applyNumberFormat="1" applyFont="1" applyFill="1" applyBorder="1" applyAlignment="1">
      <alignment horizontal="right" vertical="center" wrapText="1"/>
    </xf>
    <xf numFmtId="178" fontId="51" fillId="16" borderId="22" xfId="12" applyNumberFormat="1" applyFont="1" applyFill="1" applyBorder="1" applyAlignment="1">
      <alignment horizontal="right" vertical="center" wrapText="1"/>
    </xf>
    <xf numFmtId="0" fontId="31" fillId="6" borderId="22" xfId="7" applyNumberFormat="1" applyFont="1" applyFill="1" applyBorder="1" applyAlignment="1">
      <alignment horizontal="left" vertical="top" wrapText="1"/>
    </xf>
    <xf numFmtId="0" fontId="31" fillId="6" borderId="1" xfId="7" applyNumberFormat="1" applyFont="1" applyFill="1" applyBorder="1" applyAlignment="1">
      <alignment horizontal="left" vertical="top" wrapText="1"/>
    </xf>
    <xf numFmtId="0" fontId="31" fillId="6" borderId="23" xfId="7" applyNumberFormat="1" applyFont="1" applyFill="1" applyBorder="1" applyAlignment="1">
      <alignment horizontal="left" vertical="top" wrapText="1"/>
    </xf>
    <xf numFmtId="9" fontId="0" fillId="0" borderId="1" xfId="12" applyFont="1" applyBorder="1" applyAlignment="1">
      <alignment horizontal="center" vertical="center" wrapText="1"/>
    </xf>
    <xf numFmtId="0" fontId="0" fillId="0" borderId="1" xfId="0" applyBorder="1" applyAlignment="1">
      <alignment horizontal="center" vertical="center" wrapText="1"/>
    </xf>
    <xf numFmtId="0" fontId="6" fillId="4" borderId="1" xfId="0" applyFont="1" applyFill="1" applyBorder="1" applyAlignment="1">
      <alignment horizontal="center" vertical="center" wrapText="1"/>
    </xf>
    <xf numFmtId="169" fontId="7" fillId="4" borderId="1" xfId="0" applyNumberFormat="1" applyFont="1" applyFill="1" applyBorder="1" applyAlignment="1">
      <alignment horizontal="center" vertical="center" wrapText="1"/>
    </xf>
    <xf numFmtId="0" fontId="62" fillId="0" borderId="1" xfId="0" applyFont="1" applyFill="1" applyBorder="1"/>
    <xf numFmtId="0" fontId="62" fillId="0" borderId="1" xfId="1"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14" fontId="61" fillId="0" borderId="1" xfId="0"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wrapText="1"/>
    </xf>
    <xf numFmtId="6" fontId="61" fillId="0" borderId="1" xfId="0" applyNumberFormat="1"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15" fontId="61" fillId="0" borderId="38" xfId="0" applyNumberFormat="1" applyFont="1" applyFill="1" applyBorder="1" applyAlignment="1">
      <alignment horizontal="center" vertical="center" wrapText="1"/>
    </xf>
    <xf numFmtId="166" fontId="61" fillId="0" borderId="7" xfId="1" applyNumberFormat="1" applyFont="1" applyFill="1" applyBorder="1" applyAlignment="1">
      <alignment horizontal="center" vertical="center" wrapText="1"/>
    </xf>
    <xf numFmtId="166" fontId="61" fillId="0" borderId="1" xfId="1" applyNumberFormat="1" applyFont="1" applyFill="1" applyBorder="1" applyAlignment="1">
      <alignment horizontal="center" vertical="center" wrapText="1"/>
    </xf>
    <xf numFmtId="166" fontId="51" fillId="0" borderId="1" xfId="0" applyNumberFormat="1" applyFont="1" applyFill="1" applyBorder="1" applyAlignment="1">
      <alignment vertical="center" wrapText="1"/>
    </xf>
    <xf numFmtId="0" fontId="61" fillId="0" borderId="1" xfId="0" applyFont="1" applyFill="1" applyBorder="1" applyAlignment="1">
      <alignment vertical="center" wrapText="1"/>
    </xf>
    <xf numFmtId="0" fontId="61" fillId="0" borderId="6" xfId="0" applyFont="1" applyFill="1" applyBorder="1" applyAlignment="1">
      <alignment vertical="center" wrapText="1"/>
    </xf>
    <xf numFmtId="0" fontId="61" fillId="0" borderId="7" xfId="0" applyFont="1" applyFill="1" applyBorder="1" applyAlignment="1">
      <alignment vertical="center" wrapText="1"/>
    </xf>
    <xf numFmtId="0" fontId="14" fillId="0" borderId="1" xfId="0" applyFont="1" applyFill="1" applyBorder="1" applyAlignment="1">
      <alignment horizontal="center" vertical="center"/>
    </xf>
    <xf numFmtId="0" fontId="7" fillId="0" borderId="20" xfId="0" applyFont="1" applyFill="1" applyBorder="1" applyAlignment="1">
      <alignment vertical="center" wrapText="1"/>
    </xf>
    <xf numFmtId="0" fontId="60" fillId="0" borderId="20" xfId="0" applyFont="1" applyFill="1" applyBorder="1" applyAlignment="1">
      <alignment vertical="center" wrapText="1"/>
    </xf>
    <xf numFmtId="0" fontId="0" fillId="0" borderId="7" xfId="0" applyFill="1" applyBorder="1"/>
    <xf numFmtId="0" fontId="11" fillId="0" borderId="1" xfId="0"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0" fontId="65"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169" fontId="7" fillId="4" borderId="0" xfId="0" applyNumberFormat="1" applyFont="1" applyFill="1" applyBorder="1" applyAlignment="1">
      <alignment horizontal="center" vertical="center" wrapText="1"/>
    </xf>
    <xf numFmtId="167" fontId="7" fillId="4" borderId="29" xfId="6" applyNumberFormat="1" applyFont="1" applyFill="1" applyBorder="1" applyAlignment="1">
      <alignment horizontal="right" vertical="center" wrapText="1"/>
    </xf>
    <xf numFmtId="0" fontId="7" fillId="4" borderId="29" xfId="0" applyFont="1" applyFill="1" applyBorder="1" applyAlignment="1">
      <alignment vertical="center" wrapText="1"/>
    </xf>
    <xf numFmtId="0" fontId="65" fillId="4" borderId="12" xfId="0" applyFont="1" applyFill="1" applyBorder="1" applyAlignment="1">
      <alignment vertical="center" wrapText="1"/>
    </xf>
    <xf numFmtId="0" fontId="64" fillId="4" borderId="0" xfId="0" applyFont="1" applyFill="1" applyAlignment="1">
      <alignment horizontal="center" vertical="center"/>
    </xf>
    <xf numFmtId="0" fontId="8" fillId="4" borderId="1" xfId="0" applyFont="1" applyFill="1" applyBorder="1" applyAlignment="1">
      <alignment horizontal="left" vertical="center" wrapText="1"/>
    </xf>
    <xf numFmtId="171" fontId="7" fillId="4" borderId="1" xfId="0" applyNumberFormat="1" applyFont="1" applyFill="1" applyBorder="1" applyAlignment="1">
      <alignment horizontal="center" vertical="center" wrapText="1"/>
    </xf>
    <xf numFmtId="0" fontId="0" fillId="4" borderId="0" xfId="0" applyFill="1" applyAlignment="1">
      <alignment horizontal="center" vertical="center"/>
    </xf>
    <xf numFmtId="0" fontId="8" fillId="4" borderId="0" xfId="0" applyFont="1" applyFill="1" applyAlignment="1">
      <alignment wrapText="1"/>
    </xf>
    <xf numFmtId="0" fontId="0" fillId="4" borderId="0" xfId="0" applyFill="1" applyAlignment="1">
      <alignment horizontal="center"/>
    </xf>
    <xf numFmtId="165" fontId="0" fillId="4" borderId="0" xfId="6" applyFont="1" applyFill="1" applyAlignment="1">
      <alignment horizontal="right"/>
    </xf>
    <xf numFmtId="0" fontId="0" fillId="4" borderId="0" xfId="0" applyFill="1" applyAlignment="1">
      <alignment horizontal="right"/>
    </xf>
    <xf numFmtId="0" fontId="25" fillId="0" borderId="22" xfId="7" applyNumberFormat="1" applyFont="1" applyFill="1" applyBorder="1" applyAlignment="1">
      <alignment horizontal="center" vertical="center" wrapText="1" readingOrder="1"/>
    </xf>
    <xf numFmtId="0" fontId="34" fillId="3" borderId="1" xfId="7" applyNumberFormat="1" applyFont="1" applyFill="1" applyBorder="1" applyAlignment="1">
      <alignment horizontal="center" vertical="center" wrapText="1" readingOrder="1"/>
    </xf>
    <xf numFmtId="10" fontId="0" fillId="0" borderId="1" xfId="0" applyNumberFormat="1" applyBorder="1" applyAlignment="1">
      <alignment horizontal="center" vertical="center" wrapText="1"/>
    </xf>
    <xf numFmtId="10" fontId="32" fillId="3" borderId="1" xfId="12" applyNumberFormat="1" applyFont="1" applyFill="1" applyBorder="1" applyAlignment="1">
      <alignment horizontal="center" vertical="center"/>
    </xf>
    <xf numFmtId="0" fontId="2" fillId="0" borderId="0" xfId="0" applyFont="1" applyBorder="1" applyAlignment="1">
      <alignment wrapText="1"/>
    </xf>
    <xf numFmtId="167" fontId="2" fillId="0" borderId="0" xfId="0" applyNumberFormat="1" applyFont="1" applyBorder="1" applyAlignment="1">
      <alignment wrapText="1"/>
    </xf>
    <xf numFmtId="167" fontId="0" fillId="28" borderId="0" xfId="0" applyNumberFormat="1" applyFill="1" applyBorder="1" applyAlignment="1">
      <alignment wrapText="1"/>
    </xf>
    <xf numFmtId="10" fontId="0" fillId="0" borderId="0" xfId="0" applyNumberFormat="1" applyBorder="1" applyAlignment="1">
      <alignment horizontal="center" vertical="center" wrapText="1"/>
    </xf>
    <xf numFmtId="0" fontId="2" fillId="0" borderId="1" xfId="0" applyFont="1" applyBorder="1" applyAlignment="1">
      <alignment horizontal="center" vertical="center" wrapText="1"/>
    </xf>
    <xf numFmtId="164" fontId="7" fillId="0" borderId="1" xfId="0" applyNumberFormat="1" applyFont="1" applyFill="1" applyBorder="1" applyAlignment="1">
      <alignment horizontal="center" vertical="center" wrapText="1"/>
    </xf>
    <xf numFmtId="15" fontId="7" fillId="0" borderId="1" xfId="0" applyNumberFormat="1" applyFont="1" applyFill="1" applyBorder="1" applyAlignment="1" applyProtection="1">
      <alignment horizontal="center" vertical="center" wrapText="1"/>
      <protection locked="0"/>
    </xf>
    <xf numFmtId="10" fontId="23" fillId="0" borderId="1" xfId="7" applyNumberFormat="1" applyFont="1" applyFill="1" applyBorder="1" applyAlignment="1">
      <alignment horizontal="center" vertical="center" wrapText="1"/>
    </xf>
    <xf numFmtId="10" fontId="101" fillId="3" borderId="1" xfId="12" applyNumberFormat="1" applyFont="1" applyFill="1" applyBorder="1" applyAlignment="1">
      <alignment horizontal="center" vertical="center" wrapText="1"/>
    </xf>
    <xf numFmtId="0" fontId="101" fillId="0" borderId="1" xfId="7" applyFont="1" applyFill="1" applyBorder="1" applyAlignment="1">
      <alignment horizontal="center" vertical="center" wrapText="1"/>
    </xf>
    <xf numFmtId="0" fontId="101" fillId="3" borderId="1" xfId="7" applyFont="1" applyFill="1" applyBorder="1" applyAlignment="1">
      <alignment horizontal="center" vertical="center" wrapText="1"/>
    </xf>
    <xf numFmtId="0" fontId="103" fillId="17" borderId="1" xfId="7" applyFont="1" applyFill="1" applyBorder="1" applyAlignment="1">
      <alignment horizontal="center" vertical="center" wrapText="1"/>
    </xf>
    <xf numFmtId="0" fontId="101" fillId="6" borderId="1" xfId="7" applyFont="1" applyFill="1" applyBorder="1" applyAlignment="1">
      <alignment horizontal="center" vertical="center" wrapText="1"/>
    </xf>
    <xf numFmtId="39" fontId="101" fillId="17" borderId="1" xfId="7" applyNumberFormat="1" applyFont="1" applyFill="1" applyBorder="1" applyAlignment="1">
      <alignment horizontal="center" vertical="center" wrapText="1"/>
    </xf>
    <xf numFmtId="0" fontId="23" fillId="21" borderId="1" xfId="7" applyFont="1" applyFill="1" applyBorder="1" applyAlignment="1">
      <alignment horizontal="center" vertical="center" wrapText="1"/>
    </xf>
    <xf numFmtId="179" fontId="27" fillId="19" borderId="1" xfId="7" applyNumberFormat="1" applyFont="1" applyFill="1" applyBorder="1" applyAlignment="1">
      <alignment horizontal="center" vertical="center" wrapText="1"/>
    </xf>
    <xf numFmtId="10" fontId="27" fillId="19" borderId="1" xfId="7" applyNumberFormat="1" applyFont="1" applyFill="1" applyBorder="1" applyAlignment="1">
      <alignment horizontal="center" vertical="center" wrapText="1"/>
    </xf>
    <xf numFmtId="0" fontId="30" fillId="21" borderId="1" xfId="7" applyFont="1" applyFill="1" applyBorder="1" applyAlignment="1">
      <alignment horizontal="center" vertical="center" wrapText="1"/>
    </xf>
    <xf numFmtId="10" fontId="101" fillId="33" borderId="1" xfId="12" applyNumberFormat="1" applyFont="1" applyFill="1" applyBorder="1" applyAlignment="1">
      <alignment horizontal="center" vertical="center" wrapText="1"/>
    </xf>
    <xf numFmtId="0" fontId="103" fillId="33" borderId="1" xfId="7" applyFont="1" applyFill="1" applyBorder="1" applyAlignment="1">
      <alignment horizontal="center" vertical="center" wrapText="1"/>
    </xf>
    <xf numFmtId="0" fontId="101" fillId="33" borderId="1" xfId="7" applyFont="1" applyFill="1" applyBorder="1" applyAlignment="1">
      <alignment horizontal="center" vertical="center" wrapText="1"/>
    </xf>
    <xf numFmtId="0" fontId="23" fillId="33" borderId="1" xfId="7" applyFont="1" applyFill="1" applyBorder="1" applyAlignment="1">
      <alignment horizontal="center" vertical="center" wrapText="1"/>
    </xf>
    <xf numFmtId="0" fontId="0" fillId="0" borderId="38" xfId="0" applyFill="1" applyBorder="1"/>
    <xf numFmtId="0" fontId="0" fillId="0" borderId="13" xfId="0" applyFill="1" applyBorder="1"/>
    <xf numFmtId="0" fontId="0" fillId="0" borderId="1" xfId="1" applyNumberFormat="1" applyFont="1" applyFill="1" applyBorder="1" applyAlignment="1">
      <alignment wrapText="1"/>
    </xf>
    <xf numFmtId="0" fontId="0" fillId="0" borderId="29" xfId="0" applyFill="1" applyBorder="1"/>
    <xf numFmtId="0" fontId="34" fillId="3" borderId="1" xfId="7" applyNumberFormat="1" applyFont="1" applyFill="1" applyBorder="1" applyAlignment="1">
      <alignment horizontal="center" vertical="center" wrapText="1" readingOrder="1"/>
    </xf>
    <xf numFmtId="0" fontId="45" fillId="3" borderId="25" xfId="7" applyNumberFormat="1" applyFont="1" applyFill="1" applyBorder="1" applyAlignment="1">
      <alignment horizontal="center" vertical="center" wrapText="1" readingOrder="1"/>
    </xf>
    <xf numFmtId="39" fontId="27" fillId="3" borderId="1" xfId="7" applyNumberFormat="1" applyFont="1" applyFill="1" applyBorder="1" applyAlignment="1">
      <alignment horizontal="center" vertical="center" wrapText="1"/>
    </xf>
    <xf numFmtId="0" fontId="23" fillId="3" borderId="1" xfId="7" applyFont="1" applyFill="1" applyBorder="1" applyAlignment="1">
      <alignment horizontal="center" vertical="center"/>
    </xf>
    <xf numFmtId="0" fontId="23" fillId="3" borderId="1" xfId="7" applyFont="1" applyFill="1" applyBorder="1" applyAlignment="1">
      <alignment horizontal="center" vertical="center" wrapText="1"/>
    </xf>
    <xf numFmtId="0" fontId="25" fillId="4" borderId="22" xfId="7" applyNumberFormat="1" applyFont="1" applyFill="1" applyBorder="1" applyAlignment="1">
      <alignment horizontal="center" vertical="center" wrapText="1" readingOrder="1"/>
    </xf>
    <xf numFmtId="0" fontId="116" fillId="4" borderId="22" xfId="7" applyNumberFormat="1" applyFont="1" applyFill="1" applyBorder="1" applyAlignment="1">
      <alignment horizontal="center" vertical="center" wrapText="1" readingOrder="1"/>
    </xf>
    <xf numFmtId="176" fontId="117" fillId="4" borderId="22" xfId="7" applyNumberFormat="1" applyFont="1" applyFill="1" applyBorder="1" applyAlignment="1">
      <alignment horizontal="right" vertical="center" wrapText="1" readingOrder="1"/>
    </xf>
    <xf numFmtId="0" fontId="115" fillId="3" borderId="0" xfId="7" applyNumberFormat="1" applyFont="1" applyFill="1" applyBorder="1" applyAlignment="1">
      <alignment horizontal="center" vertical="center" wrapText="1" readingOrder="1"/>
    </xf>
    <xf numFmtId="176" fontId="24" fillId="4" borderId="22" xfId="7" applyNumberFormat="1" applyFont="1" applyFill="1" applyBorder="1" applyAlignment="1">
      <alignment horizontal="right" vertical="center" wrapText="1" readingOrder="1"/>
    </xf>
    <xf numFmtId="0" fontId="24" fillId="4" borderId="22" xfId="7" applyNumberFormat="1" applyFont="1" applyFill="1" applyBorder="1" applyAlignment="1">
      <alignment horizontal="left" vertical="center" wrapText="1" readingOrder="1"/>
    </xf>
    <xf numFmtId="164" fontId="119" fillId="0" borderId="0" xfId="13" applyFont="1" applyFill="1" applyBorder="1" applyAlignment="1">
      <alignment horizontal="center" vertical="center"/>
    </xf>
    <xf numFmtId="164" fontId="119" fillId="0" borderId="1" xfId="13" applyFont="1" applyFill="1" applyBorder="1" applyAlignment="1">
      <alignment horizontal="center" vertical="center"/>
    </xf>
    <xf numFmtId="164" fontId="119" fillId="3" borderId="1" xfId="13" applyFont="1" applyFill="1" applyBorder="1" applyAlignment="1">
      <alignment horizontal="center" vertical="center"/>
    </xf>
    <xf numFmtId="164" fontId="119" fillId="6" borderId="1" xfId="13" applyFont="1" applyFill="1" applyBorder="1" applyAlignment="1">
      <alignment horizontal="center" vertical="center"/>
    </xf>
    <xf numFmtId="164" fontId="121" fillId="17" borderId="1" xfId="13" applyFont="1" applyFill="1" applyBorder="1" applyAlignment="1">
      <alignment horizontal="center" vertical="center"/>
    </xf>
    <xf numFmtId="164" fontId="119" fillId="20" borderId="1" xfId="13" applyFont="1" applyFill="1" applyBorder="1" applyAlignment="1">
      <alignment horizontal="center" vertical="center"/>
    </xf>
    <xf numFmtId="164" fontId="119" fillId="21" borderId="1" xfId="13" applyFont="1" applyFill="1" applyBorder="1" applyAlignment="1">
      <alignment horizontal="center" vertical="center"/>
    </xf>
    <xf numFmtId="0" fontId="49" fillId="12" borderId="1" xfId="7" applyNumberFormat="1" applyFont="1" applyFill="1" applyBorder="1" applyAlignment="1">
      <alignment horizontal="left" vertical="center" wrapText="1" readingOrder="1"/>
    </xf>
    <xf numFmtId="39" fontId="122" fillId="3" borderId="1" xfId="7" applyNumberFormat="1" applyFont="1" applyFill="1" applyBorder="1" applyAlignment="1">
      <alignment horizontal="right" vertical="center"/>
    </xf>
    <xf numFmtId="164" fontId="119" fillId="5" borderId="1" xfId="13" applyFont="1" applyFill="1" applyBorder="1" applyAlignment="1">
      <alignment horizontal="center" vertical="center"/>
    </xf>
    <xf numFmtId="164" fontId="123" fillId="5" borderId="1" xfId="13" applyFont="1" applyFill="1" applyBorder="1" applyAlignment="1">
      <alignment horizontal="center" vertical="center"/>
    </xf>
    <xf numFmtId="164" fontId="124" fillId="21" borderId="0" xfId="7" applyNumberFormat="1" applyFont="1" applyFill="1" applyBorder="1"/>
    <xf numFmtId="164" fontId="119" fillId="12" borderId="1" xfId="13" applyFont="1" applyFill="1" applyBorder="1" applyAlignment="1">
      <alignment horizontal="center" vertical="center"/>
    </xf>
    <xf numFmtId="39" fontId="7" fillId="12" borderId="1" xfId="7" applyNumberFormat="1" applyFont="1" applyFill="1" applyBorder="1" applyAlignment="1">
      <alignment horizontal="right" vertical="center" wrapText="1" readingOrder="1"/>
    </xf>
    <xf numFmtId="10" fontId="23" fillId="33" borderId="29" xfId="7" applyNumberFormat="1" applyFont="1" applyFill="1" applyBorder="1" applyAlignment="1">
      <alignment horizontal="center" vertical="center" wrapText="1"/>
    </xf>
    <xf numFmtId="164" fontId="119" fillId="0" borderId="29" xfId="13" applyFont="1" applyFill="1" applyBorder="1" applyAlignment="1">
      <alignment horizontal="center" vertical="center"/>
    </xf>
    <xf numFmtId="10" fontId="119" fillId="3" borderId="1" xfId="12" applyNumberFormat="1" applyFont="1" applyFill="1" applyBorder="1" applyAlignment="1">
      <alignment horizontal="center" vertical="center"/>
    </xf>
    <xf numFmtId="39" fontId="119" fillId="20" borderId="1" xfId="7" applyNumberFormat="1" applyFont="1" applyFill="1" applyBorder="1" applyAlignment="1">
      <alignment horizontal="right" vertical="center"/>
    </xf>
    <xf numFmtId="39" fontId="119" fillId="20" borderId="1" xfId="7" applyNumberFormat="1" applyFont="1" applyFill="1" applyBorder="1" applyAlignment="1">
      <alignment horizontal="center" vertical="center" wrapText="1"/>
    </xf>
    <xf numFmtId="39" fontId="119" fillId="3" borderId="6" xfId="7" applyNumberFormat="1" applyFont="1" applyFill="1" applyBorder="1" applyAlignment="1">
      <alignment horizontal="right" vertical="center"/>
    </xf>
    <xf numFmtId="10" fontId="119" fillId="0" borderId="1" xfId="7" applyNumberFormat="1" applyFont="1" applyFill="1" applyBorder="1" applyAlignment="1">
      <alignment horizontal="center" vertical="center"/>
    </xf>
    <xf numFmtId="10" fontId="121" fillId="15" borderId="1" xfId="12" applyNumberFormat="1" applyFont="1" applyFill="1" applyBorder="1" applyAlignment="1">
      <alignment horizontal="center" vertical="center"/>
    </xf>
    <xf numFmtId="39" fontId="121" fillId="15" borderId="1" xfId="7" applyNumberFormat="1" applyFont="1" applyFill="1" applyBorder="1" applyAlignment="1">
      <alignment horizontal="right" vertical="center"/>
    </xf>
    <xf numFmtId="39" fontId="121" fillId="15" borderId="1" xfId="7" applyNumberFormat="1" applyFont="1" applyFill="1" applyBorder="1" applyAlignment="1">
      <alignment horizontal="center" vertical="center" wrapText="1"/>
    </xf>
    <xf numFmtId="39" fontId="121" fillId="15" borderId="6" xfId="7" applyNumberFormat="1" applyFont="1" applyFill="1" applyBorder="1" applyAlignment="1">
      <alignment horizontal="right" vertical="center"/>
    </xf>
    <xf numFmtId="10" fontId="121" fillId="15" borderId="1" xfId="7" applyNumberFormat="1" applyFont="1" applyFill="1" applyBorder="1" applyAlignment="1">
      <alignment horizontal="center" vertical="center"/>
    </xf>
    <xf numFmtId="39" fontId="120" fillId="6" borderId="1" xfId="7" applyNumberFormat="1" applyFont="1" applyFill="1" applyBorder="1" applyAlignment="1">
      <alignment horizontal="center" vertical="center" wrapText="1"/>
    </xf>
    <xf numFmtId="39" fontId="119" fillId="3" borderId="0" xfId="7" applyNumberFormat="1" applyFont="1" applyFill="1" applyBorder="1" applyAlignment="1">
      <alignment horizontal="right" vertical="center"/>
    </xf>
    <xf numFmtId="10" fontId="121" fillId="29" borderId="1" xfId="12" applyNumberFormat="1" applyFont="1" applyFill="1" applyBorder="1" applyAlignment="1">
      <alignment horizontal="center" vertical="center"/>
    </xf>
    <xf numFmtId="39" fontId="127" fillId="29" borderId="7" xfId="7" applyNumberFormat="1" applyFont="1" applyFill="1" applyBorder="1" applyAlignment="1">
      <alignment horizontal="right" vertical="center"/>
    </xf>
    <xf numFmtId="39" fontId="127" fillId="29" borderId="1" xfId="7" applyNumberFormat="1" applyFont="1" applyFill="1" applyBorder="1" applyAlignment="1">
      <alignment horizontal="center" vertical="center" wrapText="1"/>
    </xf>
    <xf numFmtId="39" fontId="121" fillId="29" borderId="0" xfId="7" applyNumberFormat="1" applyFont="1" applyFill="1" applyBorder="1" applyAlignment="1">
      <alignment horizontal="right" vertical="center"/>
    </xf>
    <xf numFmtId="39" fontId="119" fillId="3" borderId="1" xfId="7" applyNumberFormat="1" applyFont="1" applyFill="1" applyBorder="1" applyAlignment="1">
      <alignment horizontal="center" vertical="center"/>
    </xf>
    <xf numFmtId="39" fontId="120" fillId="3" borderId="3" xfId="7" applyNumberFormat="1" applyFont="1" applyFill="1" applyBorder="1" applyAlignment="1">
      <alignment horizontal="right" vertical="center"/>
    </xf>
    <xf numFmtId="0" fontId="119" fillId="0" borderId="1" xfId="7" applyFont="1" applyFill="1" applyBorder="1" applyAlignment="1">
      <alignment horizontal="center" vertical="center"/>
    </xf>
    <xf numFmtId="39" fontId="128" fillId="17" borderId="30" xfId="7" applyNumberFormat="1" applyFont="1" applyFill="1" applyBorder="1" applyAlignment="1">
      <alignment horizontal="center" vertical="center" wrapText="1"/>
    </xf>
    <xf numFmtId="39" fontId="128" fillId="17" borderId="27" xfId="7" applyNumberFormat="1" applyFont="1" applyFill="1" applyBorder="1" applyAlignment="1">
      <alignment horizontal="right" vertical="center" wrapText="1" readingOrder="1"/>
    </xf>
    <xf numFmtId="39" fontId="128" fillId="17" borderId="26" xfId="7" applyNumberFormat="1" applyFont="1" applyFill="1" applyBorder="1" applyAlignment="1">
      <alignment horizontal="right" vertical="center" wrapText="1" readingOrder="1"/>
    </xf>
    <xf numFmtId="39" fontId="128" fillId="17" borderId="31" xfId="7" applyNumberFormat="1" applyFont="1" applyFill="1" applyBorder="1" applyAlignment="1">
      <alignment horizontal="center" vertical="center" wrapText="1"/>
    </xf>
    <xf numFmtId="39" fontId="128" fillId="17" borderId="31" xfId="7" applyNumberFormat="1" applyFont="1" applyFill="1" applyBorder="1" applyAlignment="1">
      <alignment horizontal="right" vertical="center" wrapText="1" readingOrder="1"/>
    </xf>
    <xf numFmtId="39" fontId="128" fillId="17" borderId="71" xfId="7" applyNumberFormat="1" applyFont="1" applyFill="1" applyBorder="1" applyAlignment="1">
      <alignment horizontal="right" vertical="center" wrapText="1" readingOrder="1"/>
    </xf>
    <xf numFmtId="39" fontId="129" fillId="3" borderId="1" xfId="7" applyNumberFormat="1" applyFont="1" applyFill="1" applyBorder="1" applyAlignment="1">
      <alignment vertical="center" wrapText="1" readingOrder="1"/>
    </xf>
    <xf numFmtId="39" fontId="129" fillId="3" borderId="6" xfId="7" applyNumberFormat="1" applyFont="1" applyFill="1" applyBorder="1" applyAlignment="1">
      <alignment vertical="center" wrapText="1" readingOrder="1"/>
    </xf>
    <xf numFmtId="0" fontId="119" fillId="3" borderId="1" xfId="7" applyFont="1" applyFill="1" applyBorder="1" applyAlignment="1">
      <alignment horizontal="center" vertical="center"/>
    </xf>
    <xf numFmtId="39" fontId="121" fillId="17" borderId="1" xfId="7" applyNumberFormat="1" applyFont="1" applyFill="1" applyBorder="1" applyAlignment="1">
      <alignment horizontal="right" vertical="center"/>
    </xf>
    <xf numFmtId="39" fontId="130" fillId="17" borderId="1" xfId="7" applyNumberFormat="1" applyFont="1" applyFill="1" applyBorder="1" applyAlignment="1">
      <alignment horizontal="right" vertical="center" wrapText="1" readingOrder="1"/>
    </xf>
    <xf numFmtId="39" fontId="121" fillId="3" borderId="6" xfId="7" applyNumberFormat="1" applyFont="1" applyFill="1" applyBorder="1" applyAlignment="1">
      <alignment horizontal="right" vertical="center"/>
    </xf>
    <xf numFmtId="10" fontId="121" fillId="30" borderId="1" xfId="12" applyNumberFormat="1" applyFont="1" applyFill="1" applyBorder="1" applyAlignment="1">
      <alignment horizontal="center" vertical="center"/>
    </xf>
    <xf numFmtId="0" fontId="129" fillId="20" borderId="1" xfId="7" applyNumberFormat="1" applyFont="1" applyFill="1" applyBorder="1" applyAlignment="1">
      <alignment vertical="center" wrapText="1" readingOrder="1"/>
    </xf>
    <xf numFmtId="0" fontId="119" fillId="6" borderId="1" xfId="7" applyFont="1" applyFill="1" applyBorder="1" applyAlignment="1">
      <alignment horizontal="center" vertical="center"/>
    </xf>
    <xf numFmtId="10" fontId="121" fillId="17" borderId="1" xfId="12" applyNumberFormat="1" applyFont="1" applyFill="1" applyBorder="1" applyAlignment="1">
      <alignment horizontal="center" vertical="center"/>
    </xf>
    <xf numFmtId="0" fontId="129" fillId="20" borderId="1" xfId="7" applyNumberFormat="1" applyFont="1" applyFill="1" applyBorder="1" applyAlignment="1">
      <alignment horizontal="left" vertical="center" wrapText="1" readingOrder="1"/>
    </xf>
    <xf numFmtId="39" fontId="130" fillId="17" borderId="1" xfId="7" applyNumberFormat="1" applyFont="1" applyFill="1" applyBorder="1" applyAlignment="1">
      <alignment horizontal="left" vertical="center" wrapText="1" readingOrder="1"/>
    </xf>
    <xf numFmtId="39" fontId="119" fillId="26" borderId="1" xfId="7" applyNumberFormat="1" applyFont="1" applyFill="1" applyBorder="1" applyAlignment="1">
      <alignment horizontal="right" vertical="center"/>
    </xf>
    <xf numFmtId="39" fontId="130" fillId="17" borderId="1" xfId="7" applyNumberFormat="1" applyFont="1" applyFill="1" applyBorder="1" applyAlignment="1">
      <alignment horizontal="center" vertical="center" wrapText="1" readingOrder="1"/>
    </xf>
    <xf numFmtId="0" fontId="129" fillId="3" borderId="1" xfId="7" applyNumberFormat="1" applyFont="1" applyFill="1" applyBorder="1" applyAlignment="1">
      <alignment horizontal="left" vertical="center" wrapText="1" readingOrder="1"/>
    </xf>
    <xf numFmtId="39" fontId="119" fillId="3" borderId="1" xfId="7" applyNumberFormat="1" applyFont="1" applyFill="1" applyBorder="1" applyAlignment="1">
      <alignment horizontal="center" vertical="center" wrapText="1"/>
    </xf>
    <xf numFmtId="39" fontId="46" fillId="16" borderId="0" xfId="7" applyNumberFormat="1" applyFont="1" applyFill="1" applyBorder="1" applyAlignment="1">
      <alignment horizontal="right" vertical="center" wrapText="1"/>
    </xf>
    <xf numFmtId="178" fontId="29" fillId="6" borderId="0" xfId="12" applyNumberFormat="1" applyFont="1" applyFill="1" applyBorder="1" applyAlignment="1">
      <alignment horizontal="right" vertical="center" wrapText="1"/>
    </xf>
    <xf numFmtId="178" fontId="51" fillId="16" borderId="0" xfId="12" applyNumberFormat="1" applyFont="1" applyFill="1" applyBorder="1" applyAlignment="1">
      <alignment horizontal="right" vertical="center" wrapText="1"/>
    </xf>
    <xf numFmtId="178" fontId="46" fillId="16" borderId="0" xfId="12" applyNumberFormat="1" applyFont="1" applyFill="1" applyBorder="1" applyAlignment="1">
      <alignment horizontal="right" vertical="center" wrapText="1"/>
    </xf>
    <xf numFmtId="178" fontId="46" fillId="7" borderId="0" xfId="12" applyNumberFormat="1" applyFont="1" applyFill="1" applyBorder="1" applyAlignment="1">
      <alignment horizontal="right" vertical="center" wrapText="1"/>
    </xf>
    <xf numFmtId="9" fontId="29" fillId="6" borderId="0" xfId="12" applyFont="1" applyFill="1" applyBorder="1" applyAlignment="1">
      <alignment horizontal="right" vertical="center" wrapText="1"/>
    </xf>
    <xf numFmtId="10" fontId="111" fillId="0" borderId="0" xfId="0" applyNumberFormat="1" applyFont="1" applyBorder="1" applyAlignment="1">
      <alignment horizontal="center" vertical="center" wrapText="1"/>
    </xf>
    <xf numFmtId="0" fontId="31" fillId="6" borderId="23" xfId="7" applyNumberFormat="1" applyFont="1" applyFill="1" applyBorder="1" applyAlignment="1">
      <alignment horizontal="left" vertical="center" wrapText="1"/>
    </xf>
    <xf numFmtId="10" fontId="13" fillId="3" borderId="1" xfId="12" applyNumberFormat="1" applyFont="1" applyFill="1" applyBorder="1" applyAlignment="1">
      <alignment horizontal="center" vertical="center" wrapText="1"/>
    </xf>
    <xf numFmtId="39" fontId="34" fillId="3" borderId="1" xfId="7" applyNumberFormat="1" applyFont="1" applyFill="1" applyBorder="1" applyAlignment="1">
      <alignment horizontal="right" vertical="center" wrapText="1" readingOrder="1"/>
    </xf>
    <xf numFmtId="0" fontId="27" fillId="0" borderId="0" xfId="7" applyFont="1" applyFill="1" applyBorder="1" applyAlignment="1">
      <alignment horizontal="center"/>
    </xf>
    <xf numFmtId="0" fontId="45" fillId="4" borderId="28" xfId="7" applyNumberFormat="1" applyFont="1" applyFill="1" applyBorder="1" applyAlignment="1">
      <alignment horizontal="center" vertical="center" wrapText="1" readingOrder="1"/>
    </xf>
    <xf numFmtId="0" fontId="49" fillId="4" borderId="7" xfId="7" applyNumberFormat="1" applyFont="1" applyFill="1" applyBorder="1" applyAlignment="1">
      <alignment horizontal="center" vertical="center" wrapText="1" readingOrder="1"/>
    </xf>
    <xf numFmtId="0" fontId="23" fillId="3" borderId="0" xfId="7" applyFont="1" applyFill="1" applyBorder="1" applyAlignment="1">
      <alignment horizontal="center" vertical="center"/>
    </xf>
    <xf numFmtId="0" fontId="104" fillId="4" borderId="7" xfId="7" applyNumberFormat="1" applyFont="1" applyFill="1" applyBorder="1" applyAlignment="1">
      <alignment horizontal="center" vertical="center" wrapText="1" readingOrder="1"/>
    </xf>
    <xf numFmtId="0" fontId="49" fillId="4" borderId="19" xfId="7" applyNumberFormat="1" applyFont="1" applyFill="1" applyBorder="1" applyAlignment="1">
      <alignment vertical="center" wrapText="1" readingOrder="1"/>
    </xf>
    <xf numFmtId="0" fontId="27" fillId="4" borderId="0" xfId="7" applyFont="1" applyFill="1" applyBorder="1" applyAlignment="1">
      <alignment vertical="center" wrapText="1"/>
    </xf>
    <xf numFmtId="0" fontId="49" fillId="4" borderId="7" xfId="7" applyNumberFormat="1" applyFont="1" applyFill="1" applyBorder="1" applyAlignment="1">
      <alignment vertical="center" wrapText="1" readingOrder="1"/>
    </xf>
    <xf numFmtId="0" fontId="27" fillId="13" borderId="0" xfId="7" applyFont="1" applyFill="1" applyBorder="1"/>
    <xf numFmtId="0" fontId="27" fillId="13" borderId="0" xfId="7" applyFont="1" applyFill="1" applyBorder="1" applyAlignment="1">
      <alignment horizontal="center" vertical="center"/>
    </xf>
    <xf numFmtId="164" fontId="119" fillId="4" borderId="0" xfId="13" applyFont="1" applyFill="1" applyBorder="1" applyAlignment="1">
      <alignment horizontal="center" vertical="center"/>
    </xf>
    <xf numFmtId="164" fontId="119" fillId="0" borderId="0" xfId="7" applyNumberFormat="1" applyFont="1" applyFill="1" applyBorder="1"/>
    <xf numFmtId="0" fontId="27" fillId="4" borderId="1" xfId="7" applyFont="1" applyFill="1" applyBorder="1" applyAlignment="1">
      <alignment vertical="center" wrapText="1"/>
    </xf>
    <xf numFmtId="0" fontId="23" fillId="4" borderId="1" xfId="7" applyFont="1" applyFill="1" applyBorder="1" applyAlignment="1">
      <alignment horizontal="center" vertical="center" wrapText="1"/>
    </xf>
    <xf numFmtId="0" fontId="97" fillId="3" borderId="28" xfId="0" applyFont="1" applyFill="1" applyBorder="1" applyAlignment="1">
      <alignment horizontal="center" vertical="center" wrapText="1"/>
    </xf>
    <xf numFmtId="0" fontId="27" fillId="4" borderId="1" xfId="7" applyFont="1" applyFill="1" applyBorder="1" applyAlignment="1">
      <alignment horizontal="center" vertical="center" wrapText="1"/>
    </xf>
    <xf numFmtId="10" fontId="119" fillId="3" borderId="0" xfId="7" applyNumberFormat="1" applyFont="1" applyFill="1" applyBorder="1" applyAlignment="1">
      <alignment horizontal="center" vertical="center"/>
    </xf>
    <xf numFmtId="10" fontId="120" fillId="3" borderId="1" xfId="12" applyNumberFormat="1" applyFont="1" applyFill="1" applyBorder="1" applyAlignment="1">
      <alignment horizontal="center" vertical="center"/>
    </xf>
    <xf numFmtId="10" fontId="119" fillId="3" borderId="0" xfId="12" applyNumberFormat="1" applyFont="1" applyFill="1" applyBorder="1" applyAlignment="1">
      <alignment horizontal="center" vertical="center"/>
    </xf>
    <xf numFmtId="176" fontId="94" fillId="19" borderId="1" xfId="7" applyNumberFormat="1" applyFont="1" applyFill="1" applyBorder="1" applyAlignment="1">
      <alignment horizontal="right" vertical="center" wrapText="1" readingOrder="1"/>
    </xf>
    <xf numFmtId="10" fontId="127" fillId="3" borderId="0" xfId="7" applyNumberFormat="1" applyFont="1" applyFill="1" applyBorder="1" applyAlignment="1">
      <alignment horizontal="center" vertical="center"/>
    </xf>
    <xf numFmtId="0" fontId="101" fillId="0" borderId="1" xfId="7" applyFont="1" applyFill="1" applyBorder="1"/>
    <xf numFmtId="10" fontId="121" fillId="3" borderId="0" xfId="7" applyNumberFormat="1" applyFont="1" applyFill="1" applyBorder="1" applyAlignment="1">
      <alignment horizontal="center" vertical="center"/>
    </xf>
    <xf numFmtId="0" fontId="101" fillId="3" borderId="1" xfId="7" applyFont="1" applyFill="1" applyBorder="1"/>
    <xf numFmtId="0" fontId="119" fillId="3" borderId="0" xfId="7" applyFont="1" applyFill="1" applyBorder="1" applyAlignment="1">
      <alignment horizontal="center" vertical="center"/>
    </xf>
    <xf numFmtId="39" fontId="128" fillId="3" borderId="0" xfId="7" applyNumberFormat="1" applyFont="1" applyFill="1" applyBorder="1" applyAlignment="1">
      <alignment horizontal="center" vertical="center" wrapText="1"/>
    </xf>
    <xf numFmtId="0" fontId="101" fillId="6" borderId="1" xfId="7" applyFont="1" applyFill="1" applyBorder="1"/>
    <xf numFmtId="0" fontId="103" fillId="17" borderId="1" xfId="7" applyFont="1" applyFill="1" applyBorder="1"/>
    <xf numFmtId="0" fontId="101" fillId="20" borderId="1" xfId="7" applyFont="1" applyFill="1" applyBorder="1"/>
    <xf numFmtId="10" fontId="120" fillId="3" borderId="0" xfId="7" applyNumberFormat="1" applyFont="1" applyFill="1" applyBorder="1" applyAlignment="1">
      <alignment horizontal="center" vertical="center"/>
    </xf>
    <xf numFmtId="168" fontId="101" fillId="0" borderId="0" xfId="7" applyNumberFormat="1" applyFont="1" applyFill="1" applyBorder="1"/>
    <xf numFmtId="10" fontId="121" fillId="3" borderId="0" xfId="12" applyNumberFormat="1" applyFont="1" applyFill="1" applyBorder="1" applyAlignment="1">
      <alignment horizontal="center" vertical="center"/>
    </xf>
    <xf numFmtId="176" fontId="118" fillId="29" borderId="1" xfId="7" applyNumberFormat="1" applyFont="1" applyFill="1" applyBorder="1" applyAlignment="1">
      <alignment horizontal="right" vertical="center" wrapText="1" readingOrder="1"/>
    </xf>
    <xf numFmtId="176" fontId="103" fillId="17" borderId="1" xfId="7" applyNumberFormat="1" applyFont="1" applyFill="1" applyBorder="1"/>
    <xf numFmtId="10" fontId="123" fillId="3" borderId="0" xfId="7" applyNumberFormat="1" applyFont="1" applyFill="1" applyBorder="1" applyAlignment="1">
      <alignment horizontal="center" vertical="center"/>
    </xf>
    <xf numFmtId="0" fontId="101" fillId="3" borderId="0" xfId="7" applyFont="1" applyFill="1" applyBorder="1" applyAlignment="1">
      <alignment horizontal="center" vertical="center"/>
    </xf>
    <xf numFmtId="10" fontId="119" fillId="21" borderId="1" xfId="12" applyNumberFormat="1" applyFont="1" applyFill="1" applyBorder="1" applyAlignment="1">
      <alignment horizontal="center" vertical="center"/>
    </xf>
    <xf numFmtId="39" fontId="119" fillId="21" borderId="1" xfId="7" applyNumberFormat="1" applyFont="1" applyFill="1" applyBorder="1" applyAlignment="1">
      <alignment horizontal="right" vertical="center"/>
    </xf>
    <xf numFmtId="39" fontId="119" fillId="21" borderId="1" xfId="7" applyNumberFormat="1" applyFont="1" applyFill="1" applyBorder="1" applyAlignment="1">
      <alignment horizontal="center" vertical="center" wrapText="1"/>
    </xf>
    <xf numFmtId="39" fontId="119" fillId="21" borderId="6" xfId="7" applyNumberFormat="1" applyFont="1" applyFill="1" applyBorder="1" applyAlignment="1">
      <alignment horizontal="right" vertical="center"/>
    </xf>
    <xf numFmtId="10" fontId="119" fillId="21" borderId="1" xfId="7" applyNumberFormat="1" applyFont="1" applyFill="1" applyBorder="1" applyAlignment="1">
      <alignment horizontal="center" vertical="center"/>
    </xf>
    <xf numFmtId="0" fontId="23" fillId="21" borderId="1" xfId="7" applyFont="1" applyFill="1" applyBorder="1"/>
    <xf numFmtId="10" fontId="99" fillId="3" borderId="0" xfId="7" applyNumberFormat="1" applyFont="1" applyFill="1" applyBorder="1" applyAlignment="1">
      <alignment horizontal="center" vertical="center"/>
    </xf>
    <xf numFmtId="179" fontId="99" fillId="3" borderId="0" xfId="7" applyNumberFormat="1" applyFont="1" applyFill="1" applyBorder="1" applyAlignment="1">
      <alignment horizontal="center" vertical="center"/>
    </xf>
    <xf numFmtId="39" fontId="14" fillId="3" borderId="1" xfId="11" applyNumberFormat="1" applyFont="1" applyFill="1" applyBorder="1" applyAlignment="1">
      <alignment horizontal="right" vertical="center" wrapText="1" readingOrder="1"/>
    </xf>
    <xf numFmtId="168" fontId="23" fillId="0" borderId="1" xfId="7" applyNumberFormat="1" applyFont="1" applyFill="1" applyBorder="1"/>
    <xf numFmtId="0" fontId="30" fillId="21" borderId="1" xfId="7" applyFont="1" applyFill="1" applyBorder="1"/>
    <xf numFmtId="0" fontId="30" fillId="3" borderId="0" xfId="7" applyFont="1" applyFill="1" applyBorder="1" applyAlignment="1">
      <alignment horizontal="center" vertical="center"/>
    </xf>
    <xf numFmtId="10" fontId="23" fillId="0" borderId="29" xfId="7" applyNumberFormat="1" applyFont="1" applyFill="1" applyBorder="1" applyAlignment="1">
      <alignment horizontal="center" vertical="center" wrapText="1"/>
    </xf>
    <xf numFmtId="39" fontId="27" fillId="3" borderId="1" xfId="7" applyNumberFormat="1" applyFont="1" applyFill="1" applyBorder="1" applyAlignment="1">
      <alignment horizontal="center" vertical="center"/>
    </xf>
    <xf numFmtId="10" fontId="128" fillId="33" borderId="1" xfId="12" applyNumberFormat="1" applyFont="1" applyFill="1" applyBorder="1" applyAlignment="1">
      <alignment horizontal="center" vertical="center"/>
    </xf>
    <xf numFmtId="39" fontId="128" fillId="33" borderId="1" xfId="7" applyNumberFormat="1" applyFont="1" applyFill="1" applyBorder="1" applyAlignment="1">
      <alignment horizontal="right" vertical="center"/>
    </xf>
    <xf numFmtId="39" fontId="128" fillId="33" borderId="1" xfId="7" applyNumberFormat="1" applyFont="1" applyFill="1" applyBorder="1" applyAlignment="1">
      <alignment horizontal="center" vertical="center" wrapText="1"/>
    </xf>
    <xf numFmtId="39" fontId="128" fillId="33" borderId="6" xfId="7" applyNumberFormat="1" applyFont="1" applyFill="1" applyBorder="1" applyAlignment="1">
      <alignment horizontal="right" vertical="center"/>
    </xf>
    <xf numFmtId="10" fontId="128" fillId="33" borderId="1" xfId="7" applyNumberFormat="1" applyFont="1" applyFill="1" applyBorder="1" applyAlignment="1">
      <alignment horizontal="center" vertical="center"/>
    </xf>
    <xf numFmtId="10" fontId="27" fillId="3" borderId="0" xfId="7" applyNumberFormat="1" applyFont="1" applyFill="1" applyBorder="1" applyAlignment="1">
      <alignment horizontal="center" vertical="center"/>
    </xf>
    <xf numFmtId="39" fontId="7" fillId="29" borderId="1" xfId="7" applyNumberFormat="1" applyFont="1" applyFill="1" applyBorder="1" applyAlignment="1">
      <alignment horizontal="right" vertical="center" wrapText="1" readingOrder="1"/>
    </xf>
    <xf numFmtId="39" fontId="23" fillId="29" borderId="1" xfId="7" applyNumberFormat="1" applyFont="1" applyFill="1" applyBorder="1" applyAlignment="1">
      <alignment horizontal="right" vertical="center"/>
    </xf>
    <xf numFmtId="39" fontId="23" fillId="17" borderId="1" xfId="7" applyNumberFormat="1" applyFont="1" applyFill="1" applyBorder="1" applyAlignment="1">
      <alignment horizontal="right" vertical="center"/>
    </xf>
    <xf numFmtId="39" fontId="23" fillId="17" borderId="1" xfId="7" applyNumberFormat="1" applyFont="1" applyFill="1" applyBorder="1" applyAlignment="1">
      <alignment horizontal="right"/>
    </xf>
    <xf numFmtId="0" fontId="23" fillId="17" borderId="1" xfId="7" applyFont="1" applyFill="1" applyBorder="1" applyAlignment="1">
      <alignment horizontal="right"/>
    </xf>
    <xf numFmtId="168" fontId="23" fillId="0" borderId="0" xfId="7" applyNumberFormat="1" applyFont="1" applyFill="1" applyBorder="1"/>
    <xf numFmtId="0" fontId="2"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5" fillId="4" borderId="0" xfId="0" applyFont="1" applyFill="1" applyBorder="1" applyAlignment="1">
      <alignment horizontal="center" vertical="center" wrapText="1"/>
    </xf>
    <xf numFmtId="10" fontId="119" fillId="5" borderId="1" xfId="12" applyNumberFormat="1" applyFont="1" applyFill="1" applyBorder="1" applyAlignment="1">
      <alignment horizontal="center" vertical="center"/>
    </xf>
    <xf numFmtId="39" fontId="119" fillId="5" borderId="1" xfId="7" applyNumberFormat="1" applyFont="1" applyFill="1" applyBorder="1" applyAlignment="1">
      <alignment horizontal="right" vertical="center"/>
    </xf>
    <xf numFmtId="39" fontId="119" fillId="5" borderId="1" xfId="7" applyNumberFormat="1" applyFont="1" applyFill="1" applyBorder="1" applyAlignment="1">
      <alignment horizontal="center" vertical="center" wrapText="1"/>
    </xf>
    <xf numFmtId="39" fontId="119" fillId="5" borderId="6" xfId="7" applyNumberFormat="1" applyFont="1" applyFill="1" applyBorder="1" applyAlignment="1">
      <alignment horizontal="right" vertical="center"/>
    </xf>
    <xf numFmtId="10" fontId="119" fillId="5" borderId="1" xfId="7" applyNumberFormat="1" applyFont="1" applyFill="1" applyBorder="1" applyAlignment="1">
      <alignment horizontal="center" vertical="center"/>
    </xf>
    <xf numFmtId="0" fontId="19" fillId="3" borderId="1" xfId="7" applyNumberFormat="1" applyFont="1" applyFill="1" applyBorder="1" applyAlignment="1">
      <alignment horizontal="left" vertical="center" wrapText="1" readingOrder="1"/>
    </xf>
    <xf numFmtId="0" fontId="19" fillId="3" borderId="1" xfId="7" applyNumberFormat="1" applyFont="1" applyFill="1" applyBorder="1" applyAlignment="1">
      <alignment vertical="center" wrapText="1" readingOrder="1"/>
    </xf>
    <xf numFmtId="164" fontId="119" fillId="33" borderId="1" xfId="13" applyFont="1" applyFill="1" applyBorder="1" applyAlignment="1">
      <alignment horizontal="center" vertical="center"/>
    </xf>
    <xf numFmtId="0" fontId="19" fillId="19" borderId="1" xfId="7" applyNumberFormat="1" applyFont="1" applyFill="1" applyBorder="1" applyAlignment="1">
      <alignment horizontal="left" vertical="center" wrapText="1" readingOrder="1"/>
    </xf>
    <xf numFmtId="0" fontId="17" fillId="19" borderId="1" xfId="7" applyNumberFormat="1" applyFont="1" applyFill="1" applyBorder="1" applyAlignment="1">
      <alignment horizontal="left" vertical="center" wrapText="1" readingOrder="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27" fillId="0" borderId="8" xfId="7" applyFont="1" applyFill="1" applyBorder="1"/>
    <xf numFmtId="0" fontId="27" fillId="0" borderId="8" xfId="7" applyFont="1" applyFill="1" applyBorder="1" applyAlignment="1">
      <alignment horizontal="center" vertical="center"/>
    </xf>
    <xf numFmtId="0" fontId="27" fillId="0" borderId="45" xfId="7" applyFont="1" applyFill="1" applyBorder="1" applyAlignment="1">
      <alignment horizontal="center" vertical="center" wrapText="1"/>
    </xf>
    <xf numFmtId="39" fontId="27" fillId="4" borderId="45" xfId="7" applyNumberFormat="1" applyFont="1" applyFill="1" applyBorder="1" applyAlignment="1">
      <alignment horizontal="center" vertical="center" wrapText="1"/>
    </xf>
    <xf numFmtId="0" fontId="49" fillId="4" borderId="45" xfId="7" applyNumberFormat="1" applyFont="1" applyFill="1" applyBorder="1" applyAlignment="1">
      <alignment horizontal="center" vertical="center" wrapText="1" readingOrder="1"/>
    </xf>
    <xf numFmtId="0" fontId="49" fillId="4" borderId="8" xfId="7" applyNumberFormat="1" applyFont="1" applyFill="1" applyBorder="1" applyAlignment="1">
      <alignment horizontal="center" vertical="center" wrapText="1" readingOrder="1"/>
    </xf>
    <xf numFmtId="39" fontId="27" fillId="4" borderId="8" xfId="7" applyNumberFormat="1" applyFont="1" applyFill="1" applyBorder="1" applyAlignment="1">
      <alignment horizontal="center" vertical="center" wrapText="1"/>
    </xf>
    <xf numFmtId="0" fontId="99" fillId="3" borderId="0" xfId="7" applyFont="1" applyFill="1" applyBorder="1" applyAlignment="1">
      <alignment horizontal="center" vertical="center"/>
    </xf>
    <xf numFmtId="0" fontId="27" fillId="0" borderId="28"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3" borderId="0" xfId="7" applyFont="1" applyFill="1" applyBorder="1" applyAlignment="1">
      <alignment horizontal="center" vertical="center" wrapText="1"/>
    </xf>
    <xf numFmtId="0" fontId="27" fillId="3" borderId="0" xfId="7" applyFont="1" applyFill="1" applyBorder="1" applyAlignment="1">
      <alignment horizontal="left" vertical="center" wrapText="1"/>
    </xf>
    <xf numFmtId="0" fontId="49" fillId="3" borderId="0" xfId="7" applyNumberFormat="1" applyFont="1" applyFill="1" applyBorder="1" applyAlignment="1">
      <alignment horizontal="center" vertical="center" wrapText="1" readingOrder="1"/>
    </xf>
    <xf numFmtId="0" fontId="27" fillId="3" borderId="0" xfId="7" applyFont="1" applyFill="1" applyBorder="1" applyAlignment="1">
      <alignment horizontal="center" vertical="center" wrapText="1"/>
    </xf>
    <xf numFmtId="0" fontId="98" fillId="3" borderId="0" xfId="0" applyFont="1" applyFill="1" applyBorder="1" applyAlignment="1">
      <alignment horizontal="center" vertical="center" wrapText="1"/>
    </xf>
    <xf numFmtId="0" fontId="27" fillId="3" borderId="0" xfId="7" applyFont="1" applyFill="1" applyBorder="1" applyAlignment="1">
      <alignment wrapText="1"/>
    </xf>
    <xf numFmtId="39" fontId="27" fillId="3" borderId="0" xfId="7" applyNumberFormat="1" applyFont="1" applyFill="1" applyBorder="1" applyAlignment="1">
      <alignment horizontal="center" vertical="center"/>
    </xf>
    <xf numFmtId="39" fontId="49" fillId="3" borderId="0" xfId="7" applyNumberFormat="1" applyFont="1" applyFill="1" applyBorder="1" applyAlignment="1">
      <alignment horizontal="center" vertical="center" wrapText="1"/>
    </xf>
    <xf numFmtId="10" fontId="128" fillId="3" borderId="0" xfId="12" applyNumberFormat="1" applyFont="1" applyFill="1" applyBorder="1" applyAlignment="1">
      <alignment horizontal="center" vertical="center"/>
    </xf>
    <xf numFmtId="39" fontId="128" fillId="3" borderId="0" xfId="7" applyNumberFormat="1" applyFont="1" applyFill="1" applyBorder="1" applyAlignment="1">
      <alignment horizontal="right" vertical="center"/>
    </xf>
    <xf numFmtId="10" fontId="128" fillId="3" borderId="0" xfId="7" applyNumberFormat="1" applyFont="1" applyFill="1" applyBorder="1" applyAlignment="1">
      <alignment horizontal="center" vertical="center"/>
    </xf>
    <xf numFmtId="39" fontId="27" fillId="3" borderId="0" xfId="7" applyNumberFormat="1" applyFont="1" applyFill="1" applyBorder="1" applyAlignment="1">
      <alignment horizontal="left" vertical="center" wrapText="1"/>
    </xf>
    <xf numFmtId="39" fontId="27" fillId="3" borderId="0" xfId="7" applyNumberFormat="1" applyFont="1" applyFill="1" applyBorder="1" applyAlignment="1">
      <alignment horizontal="right" vertical="center"/>
    </xf>
    <xf numFmtId="39" fontId="27" fillId="3" borderId="75" xfId="7" applyNumberFormat="1" applyFont="1" applyFill="1" applyBorder="1"/>
    <xf numFmtId="39" fontId="27" fillId="3" borderId="76" xfId="7" applyNumberFormat="1" applyFont="1" applyFill="1" applyBorder="1"/>
    <xf numFmtId="39" fontId="27" fillId="3" borderId="69" xfId="7" applyNumberFormat="1" applyFont="1" applyFill="1" applyBorder="1"/>
    <xf numFmtId="39" fontId="27" fillId="3" borderId="77" xfId="7" applyNumberFormat="1" applyFont="1" applyFill="1" applyBorder="1"/>
    <xf numFmtId="39" fontId="27" fillId="3" borderId="78" xfId="7" applyNumberFormat="1" applyFont="1" applyFill="1" applyBorder="1"/>
    <xf numFmtId="39" fontId="27" fillId="3" borderId="64" xfId="7" applyNumberFormat="1" applyFont="1" applyFill="1" applyBorder="1"/>
    <xf numFmtId="39" fontId="27" fillId="3" borderId="14" xfId="7" applyNumberFormat="1" applyFont="1" applyFill="1" applyBorder="1"/>
    <xf numFmtId="39" fontId="27" fillId="3" borderId="65" xfId="7" applyNumberFormat="1" applyFont="1" applyFill="1" applyBorder="1"/>
    <xf numFmtId="0" fontId="0" fillId="4" borderId="1" xfId="0" applyFill="1" applyBorder="1"/>
    <xf numFmtId="14" fontId="7"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justify" vertical="center" wrapText="1"/>
      <protection locked="0"/>
    </xf>
    <xf numFmtId="0" fontId="8"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5" fillId="0" borderId="28"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14" fontId="7" fillId="0" borderId="28" xfId="0" applyNumberFormat="1" applyFont="1" applyFill="1" applyBorder="1" applyAlignment="1">
      <alignment horizontal="center" vertical="center" wrapText="1"/>
    </xf>
    <xf numFmtId="14" fontId="7" fillId="0" borderId="29" xfId="0" applyNumberFormat="1" applyFont="1" applyFill="1" applyBorder="1" applyAlignment="1">
      <alignment horizontal="center" vertical="center" wrapText="1"/>
    </xf>
    <xf numFmtId="169" fontId="7" fillId="0" borderId="28" xfId="0" applyNumberFormat="1" applyFont="1" applyFill="1" applyBorder="1" applyAlignment="1">
      <alignment horizontal="center" vertical="center" wrapText="1"/>
    </xf>
    <xf numFmtId="169" fontId="7" fillId="0" borderId="29" xfId="0" applyNumberFormat="1" applyFont="1" applyFill="1" applyBorder="1" applyAlignment="1">
      <alignment horizontal="center" vertical="center" wrapText="1"/>
    </xf>
    <xf numFmtId="166" fontId="8" fillId="0" borderId="28" xfId="1" applyNumberFormat="1" applyFont="1" applyFill="1" applyBorder="1" applyAlignment="1">
      <alignment horizontal="center" vertical="center" wrapText="1"/>
    </xf>
    <xf numFmtId="166" fontId="8" fillId="0" borderId="29" xfId="1" applyNumberFormat="1" applyFont="1" applyFill="1" applyBorder="1" applyAlignment="1">
      <alignment horizontal="center" vertical="center" wrapText="1"/>
    </xf>
    <xf numFmtId="164" fontId="7" fillId="0" borderId="28" xfId="0" applyNumberFormat="1" applyFont="1" applyFill="1" applyBorder="1" applyAlignment="1">
      <alignment horizontal="center" vertical="center" wrapText="1"/>
    </xf>
    <xf numFmtId="9" fontId="88" fillId="24" borderId="1" xfId="1" applyNumberFormat="1" applyFont="1" applyFill="1" applyBorder="1" applyAlignment="1">
      <alignment horizontal="center" vertical="center"/>
    </xf>
    <xf numFmtId="0" fontId="77" fillId="0" borderId="47" xfId="5" applyFont="1" applyFill="1" applyBorder="1" applyAlignment="1">
      <alignment horizontal="center" vertical="center" wrapText="1"/>
    </xf>
    <xf numFmtId="0" fontId="77" fillId="0" borderId="48" xfId="5" applyFont="1" applyFill="1" applyBorder="1" applyAlignment="1">
      <alignment horizontal="center" vertical="center" wrapText="1"/>
    </xf>
    <xf numFmtId="0" fontId="77" fillId="0" borderId="49" xfId="5" applyFont="1" applyFill="1" applyBorder="1" applyAlignment="1">
      <alignment horizontal="center" vertical="center" wrapText="1"/>
    </xf>
    <xf numFmtId="0" fontId="81" fillId="0" borderId="50" xfId="5" applyFont="1" applyFill="1" applyBorder="1" applyAlignment="1">
      <alignment horizontal="center"/>
    </xf>
    <xf numFmtId="0" fontId="81" fillId="0" borderId="49" xfId="5" applyFont="1" applyFill="1" applyBorder="1" applyAlignment="1">
      <alignment horizontal="center"/>
    </xf>
    <xf numFmtId="0" fontId="77" fillId="0" borderId="67" xfId="5" applyFont="1" applyFill="1" applyBorder="1" applyAlignment="1">
      <alignment horizontal="center" vertical="center" wrapText="1"/>
    </xf>
    <xf numFmtId="0" fontId="77" fillId="0" borderId="14" xfId="5" applyFont="1" applyFill="1" applyBorder="1" applyAlignment="1">
      <alignment horizontal="center" vertical="center" wrapText="1"/>
    </xf>
    <xf numFmtId="0" fontId="77" fillId="0" borderId="65" xfId="5" applyFont="1" applyFill="1" applyBorder="1" applyAlignment="1">
      <alignment horizontal="center" vertical="center" wrapText="1"/>
    </xf>
    <xf numFmtId="0" fontId="77" fillId="0" borderId="50" xfId="5" applyFont="1" applyFill="1" applyBorder="1" applyAlignment="1">
      <alignment horizontal="center" vertical="center" wrapText="1"/>
    </xf>
    <xf numFmtId="0" fontId="77" fillId="0" borderId="64" xfId="5" applyFont="1" applyFill="1" applyBorder="1" applyAlignment="1">
      <alignment horizontal="center" vertical="center" wrapText="1"/>
    </xf>
    <xf numFmtId="175" fontId="79" fillId="0" borderId="0" xfId="10" applyFont="1" applyFill="1" applyBorder="1" applyAlignment="1">
      <alignment horizontal="left" vertical="center"/>
    </xf>
    <xf numFmtId="43" fontId="79" fillId="0" borderId="0" xfId="5" applyNumberFormat="1" applyFont="1" applyFill="1" applyBorder="1" applyAlignment="1">
      <alignment horizontal="center"/>
    </xf>
    <xf numFmtId="175" fontId="79" fillId="0" borderId="0" xfId="10" applyFont="1" applyFill="1" applyBorder="1" applyAlignment="1">
      <alignment horizontal="center"/>
    </xf>
    <xf numFmtId="175" fontId="35" fillId="0" borderId="0" xfId="5" applyNumberFormat="1" applyFont="1" applyFill="1" applyBorder="1" applyAlignment="1">
      <alignment horizontal="center"/>
    </xf>
    <xf numFmtId="0" fontId="45" fillId="0" borderId="50" xfId="5" applyFont="1" applyFill="1" applyBorder="1" applyAlignment="1">
      <alignment horizontal="center"/>
    </xf>
    <xf numFmtId="0" fontId="45" fillId="0" borderId="49" xfId="5" applyFont="1" applyFill="1" applyBorder="1" applyAlignment="1">
      <alignment horizontal="center"/>
    </xf>
    <xf numFmtId="0" fontId="52" fillId="0" borderId="50" xfId="5" applyFont="1" applyFill="1" applyBorder="1" applyAlignment="1">
      <alignment horizontal="center"/>
    </xf>
    <xf numFmtId="0" fontId="52" fillId="0" borderId="49" xfId="5" applyFont="1" applyFill="1" applyBorder="1" applyAlignment="1">
      <alignment horizontal="center"/>
    </xf>
    <xf numFmtId="43" fontId="22" fillId="0" borderId="0" xfId="7" applyNumberFormat="1" applyAlignment="1">
      <alignment horizontal="center" vertical="center"/>
    </xf>
    <xf numFmtId="10" fontId="111" fillId="0" borderId="3" xfId="0" applyNumberFormat="1" applyFont="1" applyBorder="1" applyAlignment="1">
      <alignment horizontal="center" vertical="center" wrapText="1"/>
    </xf>
    <xf numFmtId="10" fontId="111" fillId="0" borderId="8" xfId="0" applyNumberFormat="1" applyFont="1" applyBorder="1" applyAlignment="1">
      <alignment horizontal="center" vertical="center" wrapText="1"/>
    </xf>
    <xf numFmtId="0" fontId="55" fillId="16" borderId="44" xfId="0" applyFont="1" applyFill="1" applyBorder="1" applyAlignment="1">
      <alignment horizontal="center" wrapText="1"/>
    </xf>
    <xf numFmtId="168" fontId="2" fillId="0" borderId="1" xfId="0" applyNumberFormat="1" applyFont="1" applyBorder="1" applyAlignment="1">
      <alignment horizontal="center" wrapText="1"/>
    </xf>
    <xf numFmtId="0" fontId="2" fillId="0" borderId="1" xfId="0" applyFont="1" applyBorder="1" applyAlignment="1">
      <alignment horizontal="center" wrapText="1"/>
    </xf>
    <xf numFmtId="168" fontId="2" fillId="0" borderId="6" xfId="0" applyNumberFormat="1" applyFont="1" applyBorder="1" applyAlignment="1">
      <alignment horizontal="center" wrapText="1"/>
    </xf>
    <xf numFmtId="0" fontId="2" fillId="0" borderId="7" xfId="0" applyFont="1" applyBorder="1" applyAlignment="1">
      <alignment horizontal="center" wrapText="1"/>
    </xf>
    <xf numFmtId="0" fontId="115" fillId="3" borderId="1" xfId="7" applyNumberFormat="1" applyFont="1" applyFill="1" applyBorder="1" applyAlignment="1">
      <alignment horizontal="center" vertical="center" wrapText="1" readingOrder="1"/>
    </xf>
    <xf numFmtId="0" fontId="27" fillId="0" borderId="0" xfId="7" applyFont="1" applyFill="1" applyBorder="1" applyAlignment="1">
      <alignment horizontal="center"/>
    </xf>
    <xf numFmtId="0" fontId="99" fillId="0" borderId="0" xfId="7" applyFont="1" applyFill="1" applyBorder="1" applyAlignment="1">
      <alignment horizontal="center"/>
    </xf>
    <xf numFmtId="0" fontId="45" fillId="4" borderId="1" xfId="7" applyNumberFormat="1" applyFont="1" applyFill="1" applyBorder="1" applyAlignment="1">
      <alignment horizontal="center" vertical="center" wrapText="1" readingOrder="1"/>
    </xf>
    <xf numFmtId="0" fontId="45" fillId="4" borderId="28" xfId="7" applyNumberFormat="1" applyFont="1" applyFill="1" applyBorder="1" applyAlignment="1">
      <alignment horizontal="center" vertical="center" wrapText="1" readingOrder="1"/>
    </xf>
    <xf numFmtId="0" fontId="49" fillId="13" borderId="11" xfId="7" applyNumberFormat="1" applyFont="1" applyFill="1" applyBorder="1" applyAlignment="1">
      <alignment horizontal="center" vertical="center" wrapText="1" readingOrder="1"/>
    </xf>
    <xf numFmtId="0" fontId="49" fillId="13" borderId="12" xfId="7" applyNumberFormat="1" applyFont="1" applyFill="1" applyBorder="1" applyAlignment="1">
      <alignment horizontal="center" vertical="center" wrapText="1" readingOrder="1"/>
    </xf>
    <xf numFmtId="0" fontId="131" fillId="4" borderId="0" xfId="0" applyFont="1" applyFill="1" applyBorder="1" applyAlignment="1">
      <alignment horizontal="center" vertical="center" wrapText="1"/>
    </xf>
    <xf numFmtId="0" fontId="131" fillId="4" borderId="12" xfId="0" applyFont="1" applyFill="1" applyBorder="1" applyAlignment="1">
      <alignment horizontal="center" vertical="center" wrapText="1"/>
    </xf>
    <xf numFmtId="164" fontId="120" fillId="4" borderId="1" xfId="13" applyFont="1" applyFill="1" applyBorder="1" applyAlignment="1">
      <alignment horizontal="center" vertical="center" wrapText="1"/>
    </xf>
    <xf numFmtId="0" fontId="115" fillId="3" borderId="6" xfId="7" applyNumberFormat="1" applyFont="1" applyFill="1" applyBorder="1" applyAlignment="1">
      <alignment horizontal="center" vertical="center" wrapText="1" readingOrder="1"/>
    </xf>
    <xf numFmtId="0" fontId="115" fillId="3" borderId="19" xfId="7" applyNumberFormat="1" applyFont="1" applyFill="1" applyBorder="1" applyAlignment="1">
      <alignment horizontal="center" vertical="center" wrapText="1" readingOrder="1"/>
    </xf>
    <xf numFmtId="0" fontId="115" fillId="3" borderId="7" xfId="7" applyNumberFormat="1" applyFont="1" applyFill="1" applyBorder="1" applyAlignment="1">
      <alignment horizontal="center" vertical="center" wrapText="1" readingOrder="1"/>
    </xf>
    <xf numFmtId="39" fontId="34" fillId="3" borderId="1" xfId="7" applyNumberFormat="1" applyFont="1" applyFill="1" applyBorder="1" applyAlignment="1">
      <alignment horizontal="right" vertical="center" wrapText="1" readingOrder="1"/>
    </xf>
    <xf numFmtId="0" fontId="131" fillId="3" borderId="0" xfId="0" applyFont="1" applyFill="1" applyBorder="1" applyAlignment="1">
      <alignment horizontal="center" vertical="center" wrapText="1"/>
    </xf>
    <xf numFmtId="39" fontId="102" fillId="17" borderId="1" xfId="7" applyNumberFormat="1" applyFont="1" applyFill="1" applyBorder="1" applyAlignment="1">
      <alignment horizontal="center" vertical="center" wrapText="1" readingOrder="1"/>
    </xf>
    <xf numFmtId="0" fontId="88" fillId="21" borderId="6" xfId="7" applyNumberFormat="1" applyFont="1" applyFill="1" applyBorder="1" applyAlignment="1">
      <alignment horizontal="center" vertical="center" wrapText="1" readingOrder="1"/>
    </xf>
    <xf numFmtId="0" fontId="88" fillId="21" borderId="19" xfId="7" applyNumberFormat="1" applyFont="1" applyFill="1" applyBorder="1" applyAlignment="1">
      <alignment horizontal="center" vertical="center" wrapText="1" readingOrder="1"/>
    </xf>
    <xf numFmtId="0" fontId="88" fillId="21" borderId="7" xfId="7" applyNumberFormat="1" applyFont="1" applyFill="1" applyBorder="1" applyAlignment="1">
      <alignment horizontal="center" vertical="center" wrapText="1" readingOrder="1"/>
    </xf>
    <xf numFmtId="0" fontId="46" fillId="17" borderId="3" xfId="7" applyNumberFormat="1" applyFont="1" applyFill="1" applyBorder="1" applyAlignment="1">
      <alignment horizontal="center" vertical="center" wrapText="1" readingOrder="1"/>
    </xf>
    <xf numFmtId="0" fontId="46" fillId="17" borderId="4" xfId="7" applyNumberFormat="1" applyFont="1" applyFill="1" applyBorder="1" applyAlignment="1">
      <alignment horizontal="center" vertical="center" wrapText="1" readingOrder="1"/>
    </xf>
    <xf numFmtId="0" fontId="46" fillId="17" borderId="5" xfId="7" applyNumberFormat="1" applyFont="1" applyFill="1" applyBorder="1" applyAlignment="1">
      <alignment horizontal="center" vertical="center" wrapText="1" readingOrder="1"/>
    </xf>
    <xf numFmtId="0" fontId="46" fillId="17" borderId="8" xfId="7" applyNumberFormat="1" applyFont="1" applyFill="1" applyBorder="1" applyAlignment="1">
      <alignment horizontal="center" vertical="center" wrapText="1" readingOrder="1"/>
    </xf>
    <xf numFmtId="0" fontId="46" fillId="17" borderId="0" xfId="7" applyNumberFormat="1" applyFont="1" applyFill="1" applyBorder="1" applyAlignment="1">
      <alignment horizontal="center" vertical="center" wrapText="1" readingOrder="1"/>
    </xf>
    <xf numFmtId="0" fontId="46" fillId="17" borderId="9" xfId="7" applyNumberFormat="1" applyFont="1" applyFill="1" applyBorder="1" applyAlignment="1">
      <alignment horizontal="center" vertical="center" wrapText="1" readingOrder="1"/>
    </xf>
    <xf numFmtId="0" fontId="46" fillId="17" borderId="11" xfId="7" applyNumberFormat="1" applyFont="1" applyFill="1" applyBorder="1" applyAlignment="1">
      <alignment horizontal="center" vertical="center" wrapText="1" readingOrder="1"/>
    </xf>
    <xf numFmtId="0" fontId="46" fillId="17" borderId="12" xfId="7" applyNumberFormat="1" applyFont="1" applyFill="1" applyBorder="1" applyAlignment="1">
      <alignment horizontal="center" vertical="center" wrapText="1" readingOrder="1"/>
    </xf>
    <xf numFmtId="0" fontId="46" fillId="17" borderId="13" xfId="7" applyNumberFormat="1" applyFont="1" applyFill="1" applyBorder="1" applyAlignment="1">
      <alignment horizontal="center" vertical="center" wrapText="1" readingOrder="1"/>
    </xf>
    <xf numFmtId="0" fontId="49" fillId="3" borderId="0" xfId="7" applyNumberFormat="1" applyFont="1" applyFill="1" applyBorder="1" applyAlignment="1">
      <alignment horizontal="center" vertical="center" wrapText="1" readingOrder="1"/>
    </xf>
    <xf numFmtId="0" fontId="99" fillId="5" borderId="1" xfId="7" applyFont="1" applyFill="1" applyBorder="1" applyAlignment="1">
      <alignment horizontal="center" vertical="center" wrapText="1"/>
    </xf>
    <xf numFmtId="39" fontId="120" fillId="4" borderId="1" xfId="7" applyNumberFormat="1" applyFont="1" applyFill="1" applyBorder="1" applyAlignment="1">
      <alignment horizontal="center" vertical="center" wrapText="1"/>
    </xf>
    <xf numFmtId="39" fontId="135" fillId="3" borderId="11" xfId="7" applyNumberFormat="1" applyFont="1" applyFill="1" applyBorder="1" applyAlignment="1">
      <alignment horizontal="center" vertical="center"/>
    </xf>
    <xf numFmtId="39" fontId="135" fillId="3" borderId="12" xfId="7" applyNumberFormat="1" applyFont="1" applyFill="1" applyBorder="1" applyAlignment="1">
      <alignment horizontal="center" vertical="center"/>
    </xf>
    <xf numFmtId="39" fontId="135" fillId="3" borderId="13" xfId="7" applyNumberFormat="1" applyFont="1" applyFill="1" applyBorder="1" applyAlignment="1">
      <alignment horizontal="center" vertical="center"/>
    </xf>
    <xf numFmtId="39" fontId="134" fillId="4" borderId="11" xfId="7" applyNumberFormat="1" applyFont="1" applyFill="1" applyBorder="1" applyAlignment="1">
      <alignment horizontal="center" vertical="center" wrapText="1"/>
    </xf>
    <xf numFmtId="39" fontId="134" fillId="4" borderId="12" xfId="7" applyNumberFormat="1" applyFont="1" applyFill="1" applyBorder="1" applyAlignment="1">
      <alignment horizontal="center" vertical="center" wrapText="1"/>
    </xf>
    <xf numFmtId="39" fontId="134" fillId="4" borderId="13" xfId="7" applyNumberFormat="1" applyFont="1" applyFill="1" applyBorder="1" applyAlignment="1">
      <alignment horizontal="center" vertical="center" wrapText="1"/>
    </xf>
    <xf numFmtId="0" fontId="138" fillId="4" borderId="1" xfId="7" applyFont="1" applyFill="1" applyBorder="1" applyAlignment="1">
      <alignment horizontal="center" vertical="center"/>
    </xf>
    <xf numFmtId="0" fontId="139"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14" fillId="0" borderId="6" xfId="0" applyNumberFormat="1" applyFont="1" applyFill="1" applyBorder="1" applyAlignment="1">
      <alignment horizontal="right" vertical="center" wrapText="1"/>
    </xf>
    <xf numFmtId="14" fontId="14" fillId="0" borderId="7" xfId="0" applyNumberFormat="1" applyFont="1" applyFill="1" applyBorder="1" applyAlignment="1">
      <alignment horizontal="right" vertical="center" wrapText="1"/>
    </xf>
    <xf numFmtId="0" fontId="65" fillId="0" borderId="28" xfId="0" applyFont="1" applyFill="1" applyBorder="1" applyAlignment="1">
      <alignment horizontal="center" vertical="center" wrapText="1"/>
    </xf>
    <xf numFmtId="0" fontId="65" fillId="0" borderId="29"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164" fontId="7" fillId="0" borderId="28" xfId="0" applyNumberFormat="1" applyFont="1" applyFill="1" applyBorder="1" applyAlignment="1">
      <alignment horizontal="center" vertical="center" wrapText="1"/>
    </xf>
    <xf numFmtId="164" fontId="7" fillId="0" borderId="29" xfId="0" applyNumberFormat="1" applyFont="1" applyFill="1" applyBorder="1" applyAlignment="1">
      <alignment horizontal="center" vertical="center" wrapText="1"/>
    </xf>
    <xf numFmtId="0" fontId="71" fillId="0" borderId="28" xfId="0" applyFont="1" applyFill="1" applyBorder="1" applyAlignment="1">
      <alignment horizontal="center" vertical="center" wrapText="1"/>
    </xf>
    <xf numFmtId="0" fontId="71" fillId="0" borderId="29" xfId="0" applyFont="1" applyFill="1" applyBorder="1" applyAlignment="1">
      <alignment horizontal="center" vertical="center" wrapText="1"/>
    </xf>
    <xf numFmtId="166" fontId="8" fillId="0" borderId="28" xfId="1" applyNumberFormat="1" applyFont="1" applyFill="1" applyBorder="1" applyAlignment="1">
      <alignment horizontal="center" vertical="center" wrapText="1"/>
    </xf>
    <xf numFmtId="166" fontId="8" fillId="0" borderId="29" xfId="1" applyNumberFormat="1" applyFont="1" applyFill="1" applyBorder="1" applyAlignment="1">
      <alignment horizontal="center" vertical="center" wrapText="1"/>
    </xf>
    <xf numFmtId="169" fontId="7" fillId="0" borderId="28" xfId="0" applyNumberFormat="1" applyFont="1" applyFill="1" applyBorder="1" applyAlignment="1">
      <alignment horizontal="center" vertical="center" wrapText="1"/>
    </xf>
    <xf numFmtId="169" fontId="7" fillId="0" borderId="29" xfId="0" applyNumberFormat="1" applyFont="1" applyFill="1" applyBorder="1" applyAlignment="1">
      <alignment horizontal="center" vertical="center" wrapText="1"/>
    </xf>
    <xf numFmtId="15" fontId="7" fillId="0" borderId="28" xfId="0" applyNumberFormat="1" applyFont="1" applyFill="1" applyBorder="1" applyAlignment="1" applyProtection="1">
      <alignment horizontal="center" vertical="center" wrapText="1"/>
      <protection locked="0"/>
    </xf>
    <xf numFmtId="15" fontId="7" fillId="0" borderId="29" xfId="0" applyNumberFormat="1" applyFont="1" applyFill="1" applyBorder="1" applyAlignment="1" applyProtection="1">
      <alignment horizontal="center" vertical="center" wrapText="1"/>
      <protection locked="0"/>
    </xf>
    <xf numFmtId="0" fontId="7" fillId="0" borderId="2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9" xfId="0" applyFont="1" applyFill="1" applyBorder="1" applyAlignment="1">
      <alignment horizontal="left" vertical="center" wrapText="1"/>
    </xf>
    <xf numFmtId="0" fontId="11" fillId="0" borderId="29" xfId="0" applyFont="1" applyFill="1" applyBorder="1" applyAlignment="1">
      <alignment horizontal="center" vertical="center" wrapText="1"/>
    </xf>
    <xf numFmtId="171" fontId="7" fillId="0" borderId="29" xfId="0" applyNumberFormat="1" applyFont="1" applyFill="1" applyBorder="1" applyAlignment="1">
      <alignment horizontal="center" vertical="center" wrapText="1"/>
    </xf>
    <xf numFmtId="0" fontId="8" fillId="0" borderId="28"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center" vertical="center" wrapText="1"/>
      <protection locked="0"/>
    </xf>
    <xf numFmtId="14" fontId="7" fillId="0" borderId="28" xfId="0" applyNumberFormat="1" applyFont="1" applyFill="1" applyBorder="1" applyAlignment="1">
      <alignment horizontal="center" vertical="center" wrapText="1"/>
    </xf>
    <xf numFmtId="14" fontId="7" fillId="0" borderId="29" xfId="0" applyNumberFormat="1" applyFont="1" applyFill="1" applyBorder="1" applyAlignment="1">
      <alignment horizontal="center" vertical="center" wrapText="1"/>
    </xf>
    <xf numFmtId="0" fontId="6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5" fillId="4" borderId="0" xfId="0" applyFont="1" applyFill="1" applyBorder="1" applyAlignment="1">
      <alignment horizontal="center" vertical="center" wrapText="1"/>
    </xf>
    <xf numFmtId="0" fontId="65" fillId="4" borderId="12" xfId="0" applyFont="1" applyFill="1" applyBorder="1" applyAlignment="1">
      <alignment horizontal="center" vertical="center" wrapText="1"/>
    </xf>
    <xf numFmtId="0" fontId="141" fillId="34" borderId="4" xfId="0" applyFont="1" applyFill="1" applyBorder="1" applyAlignment="1">
      <alignment horizontal="center" vertical="center" wrapText="1"/>
    </xf>
    <xf numFmtId="0" fontId="140" fillId="34" borderId="4" xfId="0" applyFont="1" applyFill="1" applyBorder="1" applyAlignment="1">
      <alignment horizontal="center" vertical="center" wrapText="1"/>
    </xf>
    <xf numFmtId="0" fontId="140" fillId="34" borderId="0" xfId="0" applyFont="1" applyFill="1" applyBorder="1" applyAlignment="1">
      <alignment horizontal="center" vertical="center" wrapText="1"/>
    </xf>
    <xf numFmtId="0" fontId="0" fillId="34" borderId="28" xfId="0" applyFill="1" applyBorder="1" applyAlignment="1">
      <alignment horizontal="center"/>
    </xf>
    <xf numFmtId="0" fontId="0" fillId="34" borderId="45" xfId="0" applyFill="1" applyBorder="1" applyAlignment="1">
      <alignment horizontal="center"/>
    </xf>
    <xf numFmtId="0" fontId="0" fillId="34" borderId="29" xfId="0" applyFill="1" applyBorder="1" applyAlignment="1">
      <alignment horizontal="center"/>
    </xf>
    <xf numFmtId="10" fontId="0" fillId="0" borderId="1" xfId="0" applyNumberFormat="1" applyBorder="1" applyAlignment="1">
      <alignment horizontal="center" vertical="center" wrapText="1"/>
    </xf>
    <xf numFmtId="0" fontId="35" fillId="3" borderId="6" xfId="7" applyNumberFormat="1" applyFont="1" applyFill="1" applyBorder="1" applyAlignment="1">
      <alignment horizontal="center" vertical="center" wrapText="1" readingOrder="1"/>
    </xf>
    <xf numFmtId="0" fontId="35" fillId="3" borderId="7" xfId="7" applyNumberFormat="1" applyFont="1" applyFill="1" applyBorder="1" applyAlignment="1">
      <alignment horizontal="center" vertical="center" wrapText="1" readingOrder="1"/>
    </xf>
    <xf numFmtId="0" fontId="6" fillId="0" borderId="0" xfId="0" applyFont="1" applyFill="1"/>
    <xf numFmtId="0" fontId="43"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6" xfId="0" applyNumberFormat="1" applyFont="1" applyFill="1" applyBorder="1" applyAlignment="1">
      <alignment horizontal="right" vertical="center" wrapText="1"/>
    </xf>
    <xf numFmtId="44" fontId="6" fillId="0" borderId="6" xfId="1" applyFont="1" applyFill="1" applyBorder="1" applyAlignment="1">
      <alignment horizontal="right" vertical="center" wrapText="1"/>
    </xf>
    <xf numFmtId="0" fontId="8" fillId="0" borderId="28" xfId="0" applyFont="1" applyFill="1" applyBorder="1" applyAlignment="1">
      <alignment horizontal="center" vertical="center" wrapText="1"/>
    </xf>
    <xf numFmtId="0" fontId="6" fillId="0" borderId="28" xfId="0" applyFont="1" applyFill="1" applyBorder="1" applyAlignment="1">
      <alignment vertical="center" wrapText="1"/>
    </xf>
    <xf numFmtId="167" fontId="6" fillId="0" borderId="28" xfId="6" applyNumberFormat="1" applyFont="1" applyFill="1" applyBorder="1" applyAlignment="1">
      <alignment horizontal="center" vertical="center" wrapText="1"/>
    </xf>
    <xf numFmtId="167" fontId="6" fillId="0" borderId="28"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59" fillId="0" borderId="1" xfId="0" applyFont="1" applyFill="1" applyBorder="1" applyAlignment="1">
      <alignment horizontal="left" vertical="center" wrapText="1"/>
    </xf>
    <xf numFmtId="0" fontId="65" fillId="0" borderId="4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7" fillId="0" borderId="45" xfId="0" applyNumberFormat="1" applyFont="1" applyFill="1" applyBorder="1" applyAlignment="1">
      <alignment horizontal="center" vertical="center" wrapText="1"/>
    </xf>
    <xf numFmtId="169" fontId="7" fillId="0" borderId="45" xfId="0" applyNumberFormat="1" applyFont="1" applyFill="1" applyBorder="1" applyAlignment="1">
      <alignment horizontal="center" vertical="center" wrapText="1"/>
    </xf>
    <xf numFmtId="167" fontId="6" fillId="0" borderId="45" xfId="6" applyNumberFormat="1" applyFont="1" applyFill="1" applyBorder="1" applyAlignment="1">
      <alignment horizontal="center" vertical="center" wrapText="1"/>
    </xf>
    <xf numFmtId="167" fontId="6" fillId="0" borderId="45" xfId="1" applyNumberFormat="1" applyFont="1" applyFill="1" applyBorder="1" applyAlignment="1">
      <alignment horizontal="center" vertical="center" wrapText="1"/>
    </xf>
    <xf numFmtId="0" fontId="6" fillId="0" borderId="66" xfId="0" applyFont="1" applyFill="1" applyBorder="1" applyAlignment="1">
      <alignment horizontal="center" vertical="center" wrapText="1"/>
    </xf>
    <xf numFmtId="0" fontId="42" fillId="0" borderId="1" xfId="0" applyFont="1" applyFill="1" applyBorder="1" applyAlignment="1">
      <alignment horizontal="center" vertical="center"/>
    </xf>
    <xf numFmtId="44" fontId="11" fillId="0" borderId="1" xfId="1" applyFont="1" applyFill="1" applyBorder="1" applyAlignment="1">
      <alignment horizontal="center" vertical="center" wrapText="1"/>
    </xf>
    <xf numFmtId="0" fontId="8" fillId="0" borderId="29" xfId="0" applyFont="1" applyFill="1" applyBorder="1" applyAlignment="1">
      <alignment horizontal="center" vertical="center" wrapText="1"/>
    </xf>
    <xf numFmtId="167" fontId="6" fillId="0" borderId="29" xfId="6" applyNumberFormat="1" applyFont="1" applyFill="1" applyBorder="1" applyAlignment="1">
      <alignment horizontal="center" vertical="center" wrapText="1"/>
    </xf>
    <xf numFmtId="167" fontId="6" fillId="0" borderId="29" xfId="1"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44" fontId="6" fillId="0" borderId="1" xfId="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44" fontId="6" fillId="0" borderId="6" xfId="1" applyFont="1" applyFill="1" applyBorder="1" applyAlignment="1">
      <alignment horizontal="center" vertical="center" wrapText="1"/>
    </xf>
    <xf numFmtId="0" fontId="36" fillId="0"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166" fontId="11" fillId="0" borderId="1" xfId="1" applyNumberFormat="1" applyFont="1" applyFill="1" applyBorder="1" applyAlignment="1">
      <alignment vertical="center" wrapText="1"/>
    </xf>
    <xf numFmtId="166" fontId="11" fillId="0" borderId="28" xfId="1" applyNumberFormat="1" applyFont="1" applyFill="1" applyBorder="1" applyAlignment="1">
      <alignment horizontal="center" vertical="center" wrapText="1"/>
    </xf>
    <xf numFmtId="15" fontId="11" fillId="0" borderId="28" xfId="0" applyNumberFormat="1"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2" fillId="0" borderId="29" xfId="0" applyFont="1" applyFill="1" applyBorder="1" applyAlignment="1">
      <alignment horizontal="center" vertical="center" wrapText="1"/>
    </xf>
    <xf numFmtId="14" fontId="11" fillId="0" borderId="29" xfId="0" applyNumberFormat="1" applyFont="1" applyFill="1" applyBorder="1" applyAlignment="1">
      <alignment horizontal="center" vertical="center" wrapText="1"/>
    </xf>
    <xf numFmtId="166" fontId="11" fillId="0" borderId="29" xfId="1" applyNumberFormat="1" applyFont="1" applyFill="1" applyBorder="1" applyAlignment="1">
      <alignment horizontal="center" vertical="center" wrapText="1"/>
    </xf>
    <xf numFmtId="15" fontId="11" fillId="0" borderId="29" xfId="0" applyNumberFormat="1"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0" fillId="0" borderId="18" xfId="0" applyFont="1" applyFill="1" applyBorder="1" applyAlignment="1">
      <alignment vertical="center" wrapText="1"/>
    </xf>
    <xf numFmtId="15" fontId="8" fillId="0" borderId="28" xfId="0" applyNumberFormat="1" applyFont="1" applyFill="1" applyBorder="1" applyAlignment="1">
      <alignment horizontal="center" vertical="center" wrapText="1"/>
    </xf>
    <xf numFmtId="0" fontId="59" fillId="0" borderId="28" xfId="0" applyFont="1" applyFill="1" applyBorder="1" applyAlignment="1">
      <alignment horizontal="center" vertical="center" wrapText="1"/>
    </xf>
    <xf numFmtId="0" fontId="8" fillId="0" borderId="39" xfId="0" applyFont="1" applyFill="1" applyBorder="1" applyAlignment="1">
      <alignment horizontal="center" vertical="center" wrapText="1"/>
    </xf>
    <xf numFmtId="166" fontId="6" fillId="0" borderId="74" xfId="1" applyNumberFormat="1" applyFont="1" applyFill="1" applyBorder="1" applyAlignment="1">
      <alignment horizontal="center" vertical="center" wrapText="1"/>
    </xf>
    <xf numFmtId="44" fontId="6" fillId="0" borderId="7" xfId="1" applyFont="1" applyFill="1" applyBorder="1" applyAlignment="1">
      <alignment vertical="center" wrapText="1"/>
    </xf>
    <xf numFmtId="15" fontId="8" fillId="0" borderId="29" xfId="0" applyNumberFormat="1" applyFont="1" applyFill="1" applyBorder="1" applyAlignment="1">
      <alignment horizontal="center" vertical="center" wrapText="1"/>
    </xf>
    <xf numFmtId="0" fontId="59" fillId="0" borderId="29" xfId="0" applyFont="1" applyFill="1" applyBorder="1" applyAlignment="1">
      <alignment horizontal="center" vertical="center" wrapText="1"/>
    </xf>
    <xf numFmtId="0" fontId="8" fillId="0" borderId="40" xfId="0" applyFont="1" applyFill="1" applyBorder="1" applyAlignment="1">
      <alignment horizontal="center" vertical="center" wrapText="1"/>
    </xf>
    <xf numFmtId="166" fontId="6" fillId="0" borderId="43" xfId="1" applyNumberFormat="1" applyFont="1" applyFill="1" applyBorder="1" applyAlignment="1">
      <alignment horizontal="center" vertical="center" wrapText="1"/>
    </xf>
    <xf numFmtId="166" fontId="10" fillId="0" borderId="7" xfId="0" applyNumberFormat="1" applyFont="1" applyFill="1" applyBorder="1" applyAlignment="1">
      <alignment vertical="center" wrapText="1"/>
    </xf>
    <xf numFmtId="166"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167" fontId="6" fillId="0" borderId="6" xfId="0" applyNumberFormat="1" applyFont="1" applyFill="1" applyBorder="1" applyAlignment="1">
      <alignment vertical="center" wrapText="1"/>
    </xf>
    <xf numFmtId="0" fontId="88" fillId="0" borderId="1" xfId="0" applyFont="1" applyFill="1" applyBorder="1"/>
    <xf numFmtId="166" fontId="6" fillId="0" borderId="6" xfId="1" applyNumberFormat="1" applyFont="1" applyFill="1" applyBorder="1" applyAlignment="1">
      <alignment horizontal="center" vertical="center" wrapText="1"/>
    </xf>
    <xf numFmtId="167" fontId="6" fillId="0" borderId="6" xfId="0" applyNumberFormat="1" applyFont="1" applyFill="1" applyBorder="1" applyAlignment="1">
      <alignment horizontal="center" vertical="center" wrapText="1"/>
    </xf>
    <xf numFmtId="6" fontId="11" fillId="0" borderId="1" xfId="0" applyNumberFormat="1" applyFont="1" applyFill="1" applyBorder="1" applyAlignment="1">
      <alignment horizontal="right" vertical="center" wrapText="1"/>
    </xf>
    <xf numFmtId="0" fontId="70" fillId="0" borderId="1" xfId="0" applyFont="1" applyFill="1" applyBorder="1" applyAlignment="1">
      <alignment horizontal="center" vertical="center" wrapText="1"/>
    </xf>
    <xf numFmtId="44" fontId="7" fillId="0" borderId="1" xfId="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166" fontId="70" fillId="0" borderId="1" xfId="1" applyNumberFormat="1" applyFont="1" applyFill="1" applyBorder="1" applyAlignment="1">
      <alignment horizontal="center" vertical="center" wrapText="1"/>
    </xf>
    <xf numFmtId="0" fontId="70" fillId="0" borderId="1" xfId="0" applyFont="1" applyFill="1" applyBorder="1"/>
    <xf numFmtId="0" fontId="11" fillId="0" borderId="21" xfId="0" applyFont="1" applyFill="1" applyBorder="1" applyAlignment="1">
      <alignment horizontal="justify" vertical="center" wrapText="1"/>
    </xf>
    <xf numFmtId="0" fontId="17" fillId="0" borderId="0" xfId="0" applyFont="1" applyFill="1"/>
    <xf numFmtId="166" fontId="49"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36" xfId="0" applyFont="1" applyFill="1" applyBorder="1" applyAlignment="1">
      <alignment horizontal="justify" vertical="center" wrapText="1"/>
    </xf>
    <xf numFmtId="44" fontId="49" fillId="0" borderId="1" xfId="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4" fontId="10" fillId="0" borderId="1" xfId="1" applyFont="1" applyFill="1" applyBorder="1" applyAlignment="1">
      <alignment horizontal="center" vertical="center" wrapText="1"/>
    </xf>
    <xf numFmtId="0" fontId="6" fillId="0" borderId="20" xfId="0" applyFont="1" applyFill="1" applyBorder="1" applyAlignment="1">
      <alignment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6"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38" xfId="0" applyFont="1" applyFill="1" applyBorder="1" applyAlignment="1">
      <alignment horizontal="center" vertical="center" wrapText="1"/>
    </xf>
    <xf numFmtId="0" fontId="7" fillId="0" borderId="0" xfId="0" applyFont="1" applyFill="1" applyAlignment="1">
      <alignment vertical="center" wrapText="1"/>
    </xf>
    <xf numFmtId="0" fontId="43"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44" fontId="10" fillId="0" borderId="1" xfId="1" applyFont="1" applyFill="1" applyBorder="1" applyAlignment="1">
      <alignment horizontal="center" vertical="center"/>
    </xf>
    <xf numFmtId="0" fontId="7" fillId="0" borderId="0" xfId="0" applyFont="1" applyFill="1"/>
    <xf numFmtId="14" fontId="8" fillId="0" borderId="28" xfId="0" applyNumberFormat="1" applyFont="1" applyFill="1" applyBorder="1" applyAlignment="1">
      <alignment horizontal="center" vertical="center" wrapText="1"/>
    </xf>
    <xf numFmtId="166" fontId="7" fillId="0" borderId="5" xfId="1" applyNumberFormat="1" applyFont="1" applyFill="1" applyBorder="1" applyAlignment="1">
      <alignment horizontal="center" vertical="center" wrapText="1"/>
    </xf>
    <xf numFmtId="14" fontId="8" fillId="0" borderId="29" xfId="0" applyNumberFormat="1" applyFont="1" applyFill="1" applyBorder="1" applyAlignment="1">
      <alignment horizontal="center" vertical="center" wrapText="1"/>
    </xf>
    <xf numFmtId="166" fontId="7" fillId="0" borderId="13" xfId="1" applyNumberFormat="1" applyFont="1" applyFill="1" applyBorder="1" applyAlignment="1">
      <alignment horizontal="center" vertical="center" wrapText="1"/>
    </xf>
    <xf numFmtId="0" fontId="43" fillId="0" borderId="2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59" fillId="0" borderId="1" xfId="0" applyFont="1" applyFill="1" applyBorder="1" applyAlignment="1">
      <alignment horizontal="center" vertical="center" wrapText="1"/>
    </xf>
    <xf numFmtId="166" fontId="8" fillId="0" borderId="38" xfId="1"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9"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7"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14" fillId="0" borderId="28" xfId="0" applyFont="1" applyFill="1" applyBorder="1"/>
    <xf numFmtId="0" fontId="59" fillId="0" borderId="0" xfId="0" applyFont="1" applyFill="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0" fontId="14" fillId="0" borderId="1" xfId="0" applyFont="1" applyFill="1" applyBorder="1"/>
    <xf numFmtId="44" fontId="2" fillId="0" borderId="1" xfId="1" applyFont="1" applyFill="1" applyBorder="1" applyAlignment="1">
      <alignment horizontal="center" vertical="center"/>
    </xf>
    <xf numFmtId="167" fontId="0" fillId="0" borderId="1" xfId="0" applyNumberFormat="1" applyFill="1" applyBorder="1" applyAlignment="1">
      <alignment vertical="center"/>
    </xf>
    <xf numFmtId="44" fontId="11" fillId="0" borderId="28" xfId="1" applyFont="1" applyFill="1" applyBorder="1" applyAlignment="1">
      <alignment horizontal="center" vertical="center" wrapText="1"/>
    </xf>
    <xf numFmtId="0" fontId="73" fillId="0" borderId="1" xfId="0" applyFont="1" applyFill="1" applyBorder="1"/>
    <xf numFmtId="44" fontId="98" fillId="0" borderId="1" xfId="1" applyFont="1" applyFill="1" applyBorder="1" applyAlignment="1">
      <alignment horizontal="center" vertical="center"/>
    </xf>
    <xf numFmtId="167" fontId="14" fillId="0" borderId="1" xfId="0" applyNumberFormat="1" applyFont="1" applyFill="1" applyBorder="1" applyAlignment="1">
      <alignment horizontal="center" vertical="center"/>
    </xf>
    <xf numFmtId="166" fontId="7" fillId="0" borderId="5" xfId="1" applyNumberFormat="1" applyFont="1" applyFill="1" applyBorder="1" applyAlignment="1">
      <alignment horizontal="center" vertical="center" wrapText="1"/>
    </xf>
    <xf numFmtId="44" fontId="6" fillId="0" borderId="28" xfId="1" applyFont="1" applyFill="1" applyBorder="1" applyAlignment="1">
      <alignment horizontal="center" vertical="center" wrapText="1"/>
    </xf>
    <xf numFmtId="44" fontId="2" fillId="0" borderId="28" xfId="1" applyFont="1" applyFill="1" applyBorder="1" applyAlignment="1">
      <alignment horizontal="center" vertical="center"/>
    </xf>
    <xf numFmtId="167" fontId="0" fillId="0" borderId="28" xfId="1" applyNumberFormat="1" applyFont="1" applyFill="1" applyBorder="1" applyAlignment="1">
      <alignment vertical="center"/>
    </xf>
    <xf numFmtId="0" fontId="0" fillId="0" borderId="28" xfId="0" applyFill="1" applyBorder="1"/>
    <xf numFmtId="167" fontId="6" fillId="0" borderId="1" xfId="1" applyNumberFormat="1" applyFont="1" applyFill="1" applyBorder="1" applyAlignment="1">
      <alignment horizontal="center" vertical="center" wrapText="1"/>
    </xf>
    <xf numFmtId="166" fontId="8" fillId="0" borderId="6" xfId="1" applyNumberFormat="1" applyFont="1" applyFill="1" applyBorder="1" applyAlignment="1">
      <alignment horizontal="center" vertical="center" wrapText="1"/>
    </xf>
    <xf numFmtId="44" fontId="6" fillId="0" borderId="29" xfId="1" applyFont="1" applyFill="1" applyBorder="1" applyAlignment="1">
      <alignment horizontal="center" vertical="center" wrapText="1"/>
    </xf>
    <xf numFmtId="44" fontId="2" fillId="0" borderId="1" xfId="1" applyFont="1" applyFill="1" applyBorder="1" applyAlignment="1">
      <alignment vertical="center"/>
    </xf>
    <xf numFmtId="0" fontId="14" fillId="0" borderId="0" xfId="0" applyFont="1" applyFill="1"/>
    <xf numFmtId="0" fontId="0" fillId="0" borderId="0" xfId="0" applyFill="1" applyAlignment="1">
      <alignment wrapText="1"/>
    </xf>
    <xf numFmtId="0" fontId="8" fillId="0" borderId="29" xfId="0" applyFont="1" applyFill="1" applyBorder="1" applyAlignment="1">
      <alignment horizontal="justify" vertical="center" wrapText="1"/>
    </xf>
    <xf numFmtId="0" fontId="6" fillId="0" borderId="13" xfId="0" applyFont="1" applyFill="1" applyBorder="1" applyAlignment="1">
      <alignment horizontal="center" vertical="center" wrapText="1"/>
    </xf>
    <xf numFmtId="0" fontId="6" fillId="0" borderId="29" xfId="0" applyFont="1" applyFill="1" applyBorder="1" applyAlignment="1">
      <alignment horizontal="center" vertical="center"/>
    </xf>
    <xf numFmtId="167" fontId="7" fillId="0" borderId="29" xfId="6" applyNumberFormat="1" applyFont="1" applyFill="1" applyBorder="1" applyAlignment="1">
      <alignment horizontal="right" vertical="center" wrapText="1"/>
    </xf>
    <xf numFmtId="0" fontId="6" fillId="0" borderId="68" xfId="0" applyFont="1" applyFill="1" applyBorder="1" applyAlignment="1">
      <alignment vertical="center" wrapText="1"/>
    </xf>
    <xf numFmtId="0" fontId="88" fillId="0" borderId="1" xfId="0" applyFont="1" applyFill="1" applyBorder="1" applyAlignment="1">
      <alignment vertical="center" wrapText="1"/>
    </xf>
    <xf numFmtId="166" fontId="6" fillId="0" borderId="4" xfId="1" applyNumberFormat="1" applyFont="1" applyFill="1" applyBorder="1" applyAlignment="1">
      <alignment horizontal="center" vertical="center" wrapText="1"/>
    </xf>
    <xf numFmtId="166" fontId="6" fillId="0" borderId="28"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9" xfId="0" applyFont="1" applyFill="1" applyBorder="1" applyAlignment="1">
      <alignment vertical="center" wrapText="1"/>
    </xf>
    <xf numFmtId="0" fontId="72" fillId="0" borderId="1" xfId="0" applyFont="1" applyFill="1" applyBorder="1" applyAlignment="1">
      <alignment horizontal="center" vertical="center" wrapText="1"/>
    </xf>
    <xf numFmtId="15" fontId="11" fillId="0" borderId="7" xfId="0" applyNumberFormat="1" applyFont="1" applyFill="1" applyBorder="1" applyAlignment="1">
      <alignment horizontal="center" vertical="center" wrapText="1"/>
    </xf>
    <xf numFmtId="0" fontId="11" fillId="0" borderId="29"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41" xfId="0" applyFont="1" applyFill="1" applyBorder="1" applyAlignment="1">
      <alignment vertical="center" wrapText="1"/>
    </xf>
    <xf numFmtId="0" fontId="11" fillId="0" borderId="6" xfId="0" applyFont="1" applyFill="1" applyBorder="1" applyAlignment="1">
      <alignment horizontal="center" vertical="center" wrapText="1"/>
    </xf>
    <xf numFmtId="0" fontId="64" fillId="0" borderId="28" xfId="0" applyFont="1" applyFill="1" applyBorder="1" applyAlignment="1">
      <alignment horizontal="center" vertical="center" wrapText="1"/>
    </xf>
    <xf numFmtId="0" fontId="0" fillId="0" borderId="28" xfId="0" applyFill="1" applyBorder="1" applyAlignment="1">
      <alignment horizontal="center" vertical="center" wrapText="1"/>
    </xf>
    <xf numFmtId="0" fontId="38" fillId="0" borderId="37"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64" fillId="0" borderId="29" xfId="0" applyFont="1" applyFill="1" applyBorder="1" applyAlignment="1">
      <alignment horizontal="center" vertical="center" wrapText="1"/>
    </xf>
    <xf numFmtId="0" fontId="0" fillId="0" borderId="29" xfId="0" applyFill="1" applyBorder="1" applyAlignment="1">
      <alignment horizontal="center" vertical="center" wrapText="1"/>
    </xf>
    <xf numFmtId="0" fontId="38" fillId="0" borderId="0" xfId="0" applyFont="1" applyFill="1" applyBorder="1" applyAlignment="1">
      <alignment horizontal="center" vertical="center" wrapText="1"/>
    </xf>
    <xf numFmtId="0" fontId="42" fillId="0" borderId="13"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166" fontId="12" fillId="0" borderId="1" xfId="1" applyNumberFormat="1" applyFont="1" applyFill="1" applyBorder="1" applyAlignment="1">
      <alignment horizontal="center" vertical="center" wrapText="1"/>
    </xf>
    <xf numFmtId="0" fontId="0" fillId="0" borderId="7" xfId="0" applyFill="1" applyBorder="1" applyAlignment="1">
      <alignment horizontal="center" vertical="center"/>
    </xf>
    <xf numFmtId="44" fontId="0" fillId="0" borderId="1" xfId="1" applyFont="1" applyFill="1" applyBorder="1" applyAlignment="1">
      <alignment horizontal="center" vertical="center"/>
    </xf>
    <xf numFmtId="0" fontId="0" fillId="0" borderId="1" xfId="0" applyFill="1" applyBorder="1" applyAlignment="1"/>
    <xf numFmtId="0" fontId="11" fillId="0" borderId="28" xfId="0" applyNumberFormat="1" applyFont="1" applyFill="1" applyBorder="1" applyAlignment="1">
      <alignment horizontal="center" vertical="center" wrapText="1"/>
    </xf>
    <xf numFmtId="0" fontId="0" fillId="0" borderId="42" xfId="0" applyFill="1" applyBorder="1" applyAlignment="1">
      <alignment horizontal="center" vertical="center"/>
    </xf>
    <xf numFmtId="0" fontId="0" fillId="0" borderId="28" xfId="0" applyFill="1" applyBorder="1" applyAlignment="1">
      <alignment horizontal="center" vertical="center"/>
    </xf>
    <xf numFmtId="44" fontId="0" fillId="0" borderId="28" xfId="1" applyFont="1" applyFill="1" applyBorder="1" applyAlignment="1">
      <alignment horizontal="center" vertical="center"/>
    </xf>
    <xf numFmtId="167" fontId="0" fillId="0" borderId="28" xfId="0" applyNumberFormat="1" applyFill="1" applyBorder="1" applyAlignment="1">
      <alignment horizontal="center" vertical="center"/>
    </xf>
    <xf numFmtId="0" fontId="0" fillId="0" borderId="28" xfId="0" applyFill="1" applyBorder="1" applyAlignment="1">
      <alignment horizontal="center"/>
    </xf>
    <xf numFmtId="0" fontId="11" fillId="0" borderId="29" xfId="0" applyNumberFormat="1" applyFont="1" applyFill="1" applyBorder="1" applyAlignment="1">
      <alignment horizontal="center" vertical="center" wrapText="1"/>
    </xf>
    <xf numFmtId="0" fontId="0" fillId="0" borderId="43" xfId="0" applyFill="1" applyBorder="1" applyAlignment="1">
      <alignment horizontal="center" vertical="center" wrapText="1"/>
    </xf>
    <xf numFmtId="0" fontId="0" fillId="0" borderId="29" xfId="0" applyFill="1" applyBorder="1" applyAlignment="1">
      <alignment horizontal="center" vertical="center"/>
    </xf>
    <xf numFmtId="44" fontId="0" fillId="0" borderId="29" xfId="1" applyFont="1" applyFill="1" applyBorder="1" applyAlignment="1">
      <alignment horizontal="center" vertical="center" wrapText="1"/>
    </xf>
    <xf numFmtId="167" fontId="0" fillId="0" borderId="29" xfId="0" applyNumberFormat="1" applyFill="1" applyBorder="1" applyAlignment="1">
      <alignment horizontal="center" vertical="center" wrapText="1"/>
    </xf>
    <xf numFmtId="0" fontId="0" fillId="0" borderId="29" xfId="0" applyFill="1" applyBorder="1" applyAlignment="1">
      <alignment horizontal="center" wrapText="1"/>
    </xf>
    <xf numFmtId="44" fontId="2" fillId="0" borderId="28" xfId="1" applyFont="1" applyFill="1" applyBorder="1" applyAlignment="1">
      <alignment horizontal="center" vertical="center"/>
    </xf>
    <xf numFmtId="44" fontId="0" fillId="0" borderId="28" xfId="1" applyFont="1" applyFill="1" applyBorder="1" applyAlignment="1">
      <alignment vertical="center"/>
    </xf>
    <xf numFmtId="167" fontId="0" fillId="0" borderId="28" xfId="12" applyNumberFormat="1" applyFont="1" applyFill="1" applyBorder="1" applyAlignment="1">
      <alignment horizontal="center" vertical="center"/>
    </xf>
    <xf numFmtId="0" fontId="0" fillId="0" borderId="43" xfId="0" applyFill="1" applyBorder="1" applyAlignment="1">
      <alignment horizontal="center" vertical="center"/>
    </xf>
    <xf numFmtId="0" fontId="0" fillId="0" borderId="29" xfId="0" applyFill="1" applyBorder="1" applyAlignment="1">
      <alignment vertical="center"/>
    </xf>
    <xf numFmtId="167" fontId="0" fillId="0" borderId="29" xfId="12" applyNumberFormat="1" applyFont="1" applyFill="1" applyBorder="1" applyAlignment="1">
      <alignment horizontal="center" vertical="center"/>
    </xf>
    <xf numFmtId="0" fontId="0" fillId="0" borderId="29" xfId="0" applyFill="1" applyBorder="1" applyAlignment="1">
      <alignment horizontal="center"/>
    </xf>
    <xf numFmtId="167" fontId="0" fillId="0" borderId="1" xfId="0" applyNumberFormat="1" applyFill="1" applyBorder="1"/>
    <xf numFmtId="0" fontId="0" fillId="0" borderId="5" xfId="0" applyFill="1" applyBorder="1" applyAlignment="1">
      <alignment horizontal="center" vertical="center"/>
    </xf>
    <xf numFmtId="44" fontId="0" fillId="0" borderId="28" xfId="1" applyFont="1" applyFill="1" applyBorder="1" applyAlignment="1">
      <alignment horizontal="center" vertical="center"/>
    </xf>
    <xf numFmtId="167" fontId="0" fillId="0" borderId="28" xfId="0" applyNumberFormat="1" applyFill="1" applyBorder="1" applyAlignment="1">
      <alignment vertical="center"/>
    </xf>
    <xf numFmtId="0" fontId="66" fillId="0" borderId="1" xfId="0" applyFont="1" applyFill="1" applyBorder="1" applyAlignment="1">
      <alignment horizontal="center" vertical="center" wrapText="1"/>
    </xf>
    <xf numFmtId="44" fontId="7" fillId="0" borderId="1" xfId="1" applyFont="1" applyFill="1" applyBorder="1" applyAlignment="1">
      <alignment horizontal="right" vertical="center" wrapText="1"/>
    </xf>
    <xf numFmtId="0" fontId="67" fillId="0" borderId="0" xfId="0" applyFont="1" applyFill="1"/>
    <xf numFmtId="166" fontId="93" fillId="0" borderId="1" xfId="1"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44" fontId="14" fillId="0" borderId="29" xfId="1" applyFont="1" applyFill="1" applyBorder="1" applyAlignment="1">
      <alignment horizontal="center" vertical="center"/>
    </xf>
    <xf numFmtId="0" fontId="3" fillId="0" borderId="29" xfId="0" applyFont="1" applyFill="1" applyBorder="1"/>
    <xf numFmtId="44" fontId="0" fillId="0" borderId="7" xfId="1" applyFont="1" applyFill="1" applyBorder="1" applyAlignment="1">
      <alignment horizontal="center" vertical="center"/>
    </xf>
    <xf numFmtId="0" fontId="8" fillId="0" borderId="28" xfId="0" applyFont="1" applyFill="1" applyBorder="1" applyAlignment="1">
      <alignment horizontal="justify" vertical="center" wrapText="1"/>
    </xf>
    <xf numFmtId="167" fontId="7" fillId="0" borderId="28" xfId="6" applyNumberFormat="1" applyFont="1" applyFill="1" applyBorder="1" applyAlignment="1">
      <alignment horizontal="right" vertical="center" wrapText="1"/>
    </xf>
    <xf numFmtId="44" fontId="6" fillId="0" borderId="28" xfId="1" applyFont="1" applyFill="1" applyBorder="1" applyAlignment="1">
      <alignment horizontal="right" vertical="center" wrapText="1"/>
    </xf>
    <xf numFmtId="166" fontId="11" fillId="0" borderId="38" xfId="1" applyNumberFormat="1" applyFont="1" applyFill="1" applyBorder="1" applyAlignment="1">
      <alignment horizontal="center" vertical="center" wrapText="1"/>
    </xf>
    <xf numFmtId="0" fontId="11" fillId="0" borderId="28"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167" fontId="6" fillId="0" borderId="1" xfId="6" applyNumberFormat="1" applyFont="1" applyFill="1" applyBorder="1" applyAlignment="1">
      <alignment horizontal="center" vertical="center" wrapText="1"/>
    </xf>
    <xf numFmtId="44" fontId="11" fillId="0" borderId="1" xfId="1" applyFont="1" applyFill="1" applyBorder="1" applyAlignment="1">
      <alignment vertical="center" wrapText="1"/>
    </xf>
    <xf numFmtId="0" fontId="14" fillId="0" borderId="28" xfId="0" applyFont="1" applyFill="1" applyBorder="1" applyAlignment="1">
      <alignment horizontal="center" wrapText="1"/>
    </xf>
    <xf numFmtId="0" fontId="0" fillId="0" borderId="28" xfId="0" applyFill="1" applyBorder="1" applyAlignment="1">
      <alignment horizontal="center" wrapText="1"/>
    </xf>
    <xf numFmtId="0" fontId="4" fillId="0" borderId="28" xfId="0" applyFont="1" applyFill="1" applyBorder="1" applyAlignment="1">
      <alignment horizontal="center" vertical="center" wrapText="1"/>
    </xf>
    <xf numFmtId="14" fontId="0" fillId="0" borderId="28" xfId="0" applyNumberFormat="1" applyFill="1" applyBorder="1" applyAlignment="1">
      <alignment horizontal="center" vertical="center" wrapText="1"/>
    </xf>
    <xf numFmtId="14" fontId="4" fillId="0" borderId="28"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42" xfId="0" applyFill="1" applyBorder="1" applyAlignment="1">
      <alignment horizontal="center" wrapText="1"/>
    </xf>
    <xf numFmtId="0" fontId="11" fillId="0" borderId="29" xfId="0" applyFont="1" applyFill="1" applyBorder="1" applyAlignment="1">
      <alignment horizontal="left" vertical="center" wrapText="1"/>
    </xf>
    <xf numFmtId="14" fontId="6" fillId="0" borderId="29" xfId="0" applyNumberFormat="1" applyFont="1" applyFill="1" applyBorder="1" applyAlignment="1">
      <alignment horizontal="center" vertical="center" wrapText="1"/>
    </xf>
    <xf numFmtId="0" fontId="6" fillId="0" borderId="29" xfId="0" applyFont="1" applyFill="1" applyBorder="1" applyAlignment="1">
      <alignment horizontal="center" wrapText="1"/>
    </xf>
    <xf numFmtId="167" fontId="0" fillId="0" borderId="29" xfId="6" applyNumberFormat="1" applyFont="1" applyFill="1" applyBorder="1" applyAlignment="1">
      <alignment horizontal="center" vertical="center"/>
    </xf>
    <xf numFmtId="167" fontId="0" fillId="0" borderId="29" xfId="0" applyNumberFormat="1" applyFill="1" applyBorder="1" applyAlignment="1">
      <alignment horizontal="center" vertical="center"/>
    </xf>
    <xf numFmtId="44" fontId="8" fillId="0" borderId="1" xfId="1" applyFont="1" applyFill="1" applyBorder="1" applyAlignment="1">
      <alignment vertical="center" wrapText="1"/>
    </xf>
    <xf numFmtId="0" fontId="14" fillId="0" borderId="29" xfId="0" applyFont="1" applyFill="1" applyBorder="1" applyAlignment="1">
      <alignment horizontal="center" wrapText="1"/>
    </xf>
    <xf numFmtId="166" fontId="8" fillId="0" borderId="1" xfId="1" applyNumberFormat="1" applyFont="1" applyFill="1" applyBorder="1" applyAlignment="1">
      <alignment vertical="center" wrapText="1"/>
    </xf>
    <xf numFmtId="0" fontId="0" fillId="0" borderId="40" xfId="0" applyFill="1" applyBorder="1" applyAlignment="1">
      <alignment horizontal="center" vertical="center" wrapText="1"/>
    </xf>
    <xf numFmtId="0" fontId="0" fillId="0" borderId="43" xfId="0" applyFill="1" applyBorder="1" applyAlignment="1">
      <alignment horizontal="center" wrapText="1"/>
    </xf>
    <xf numFmtId="0" fontId="11" fillId="0" borderId="28" xfId="0" applyFont="1" applyFill="1" applyBorder="1" applyAlignment="1">
      <alignment horizontal="justify" vertical="center" wrapText="1"/>
    </xf>
    <xf numFmtId="0" fontId="7" fillId="0" borderId="45" xfId="0" applyFont="1" applyFill="1" applyBorder="1" applyAlignment="1">
      <alignment vertical="center" wrapText="1"/>
    </xf>
    <xf numFmtId="0" fontId="39" fillId="0" borderId="1" xfId="0" applyFont="1" applyFill="1" applyBorder="1" applyAlignment="1">
      <alignment horizontal="center" vertical="center"/>
    </xf>
    <xf numFmtId="0" fontId="4" fillId="0" borderId="7" xfId="0" applyFont="1" applyFill="1" applyBorder="1" applyAlignment="1">
      <alignment horizontal="center" vertical="center"/>
    </xf>
    <xf numFmtId="44" fontId="0" fillId="0" borderId="1" xfId="1" applyFont="1" applyFill="1" applyBorder="1" applyAlignment="1">
      <alignment vertical="center"/>
    </xf>
    <xf numFmtId="0" fontId="88" fillId="0" borderId="1" xfId="0" applyNumberFormat="1" applyFont="1" applyFill="1" applyBorder="1" applyAlignment="1">
      <alignment horizontal="center" vertical="center" wrapText="1"/>
    </xf>
    <xf numFmtId="0" fontId="136" fillId="0" borderId="1" xfId="0" applyFont="1" applyFill="1" applyBorder="1" applyAlignment="1">
      <alignment horizontal="center" vertical="center" wrapText="1"/>
    </xf>
    <xf numFmtId="14" fontId="93" fillId="0" borderId="1" xfId="0" applyNumberFormat="1" applyFont="1" applyFill="1" applyBorder="1" applyAlignment="1">
      <alignment horizontal="center" vertical="center" wrapText="1"/>
    </xf>
    <xf numFmtId="0" fontId="93" fillId="0" borderId="1" xfId="0" applyFont="1" applyFill="1" applyBorder="1" applyAlignment="1">
      <alignment vertical="center" wrapText="1"/>
    </xf>
    <xf numFmtId="0" fontId="93" fillId="0" borderId="1" xfId="0" applyFont="1" applyFill="1" applyBorder="1" applyAlignment="1">
      <alignment horizontal="center" vertical="center" wrapText="1"/>
    </xf>
    <xf numFmtId="44" fontId="93" fillId="0" borderId="1" xfId="1" applyFont="1" applyFill="1" applyBorder="1" applyAlignment="1">
      <alignment horizontal="center" vertical="center" wrapText="1"/>
    </xf>
    <xf numFmtId="0" fontId="132" fillId="0" borderId="1" xfId="0" applyFont="1" applyFill="1" applyBorder="1"/>
    <xf numFmtId="0" fontId="137" fillId="0" borderId="1" xfId="0" applyFont="1" applyFill="1" applyBorder="1" applyAlignment="1">
      <alignment horizontal="left" vertical="center" wrapText="1"/>
    </xf>
    <xf numFmtId="0" fontId="133" fillId="0" borderId="1" xfId="0" applyFont="1" applyFill="1" applyBorder="1" applyAlignment="1">
      <alignment horizontal="center" vertical="center" wrapText="1"/>
    </xf>
    <xf numFmtId="0" fontId="133" fillId="0" borderId="1" xfId="0" applyNumberFormat="1" applyFont="1" applyFill="1" applyBorder="1" applyAlignment="1">
      <alignment horizontal="center" vertical="center" wrapText="1"/>
    </xf>
    <xf numFmtId="15" fontId="133" fillId="0" borderId="1" xfId="0" applyNumberFormat="1" applyFont="1" applyFill="1" applyBorder="1" applyAlignment="1">
      <alignment horizontal="center" vertical="center" wrapText="1"/>
    </xf>
    <xf numFmtId="166" fontId="133" fillId="0" borderId="1" xfId="1" applyNumberFormat="1" applyFont="1" applyFill="1" applyBorder="1" applyAlignment="1">
      <alignment horizontal="center" vertical="center" wrapText="1"/>
    </xf>
    <xf numFmtId="0" fontId="132" fillId="0" borderId="7" xfId="0" applyFont="1" applyFill="1" applyBorder="1" applyAlignment="1">
      <alignment horizontal="center" vertical="center"/>
    </xf>
    <xf numFmtId="0" fontId="132" fillId="0" borderId="1" xfId="0" applyFont="1" applyFill="1" applyBorder="1" applyAlignment="1">
      <alignment horizontal="center" vertical="center"/>
    </xf>
    <xf numFmtId="167" fontId="132" fillId="0" borderId="1" xfId="0" applyNumberFormat="1" applyFont="1" applyFill="1" applyBorder="1" applyAlignment="1">
      <alignment vertical="center"/>
    </xf>
    <xf numFmtId="167" fontId="6" fillId="0" borderId="28" xfId="6" applyNumberFormat="1" applyFont="1" applyFill="1" applyBorder="1" applyAlignment="1">
      <alignment horizontal="right" vertical="center" wrapText="1"/>
    </xf>
    <xf numFmtId="0" fontId="139" fillId="0" borderId="1" xfId="0" applyFont="1" applyFill="1" applyBorder="1"/>
    <xf numFmtId="0" fontId="0" fillId="0" borderId="1" xfId="1" applyNumberFormat="1" applyFont="1" applyFill="1" applyBorder="1"/>
    <xf numFmtId="44" fontId="7" fillId="0" borderId="28" xfId="1" applyFont="1" applyFill="1" applyBorder="1" applyAlignment="1">
      <alignment horizontal="right" vertical="center" wrapText="1"/>
    </xf>
    <xf numFmtId="167" fontId="0" fillId="0" borderId="1" xfId="0" applyNumberFormat="1" applyFill="1" applyBorder="1" applyAlignment="1">
      <alignment vertical="center" wrapText="1"/>
    </xf>
    <xf numFmtId="167" fontId="0" fillId="0" borderId="1" xfId="0" applyNumberFormat="1" applyFill="1" applyBorder="1" applyAlignment="1">
      <alignment horizontal="center" vertical="center"/>
    </xf>
    <xf numFmtId="167"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173" fontId="7" fillId="0" borderId="1" xfId="0" applyNumberFormat="1" applyFont="1" applyFill="1" applyBorder="1" applyAlignment="1">
      <alignment horizontal="center" vertical="center" wrapText="1"/>
    </xf>
    <xf numFmtId="166" fontId="11" fillId="0" borderId="39" xfId="1" applyNumberFormat="1" applyFont="1" applyFill="1" applyBorder="1" applyAlignment="1">
      <alignment horizontal="center" vertical="center" wrapText="1"/>
    </xf>
    <xf numFmtId="166"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4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7" xfId="0" applyFont="1" applyFill="1" applyBorder="1" applyAlignment="1">
      <alignment horizontal="center" vertical="center" wrapText="1"/>
    </xf>
    <xf numFmtId="44" fontId="8" fillId="0" borderId="28" xfId="1" applyFont="1" applyFill="1" applyBorder="1" applyAlignment="1">
      <alignment horizontal="center" vertical="center" wrapText="1"/>
    </xf>
    <xf numFmtId="44" fontId="8" fillId="0" borderId="1" xfId="1" applyFont="1" applyFill="1" applyBorder="1" applyAlignment="1">
      <alignment horizontal="center" vertical="center" wrapText="1"/>
    </xf>
    <xf numFmtId="0" fontId="0" fillId="0" borderId="45" xfId="0" applyFill="1" applyBorder="1" applyAlignment="1">
      <alignment horizontal="center"/>
    </xf>
    <xf numFmtId="0" fontId="11" fillId="0" borderId="38"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1" fillId="0" borderId="1" xfId="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65" fillId="0" borderId="5" xfId="0" applyFont="1" applyFill="1" applyBorder="1" applyAlignment="1">
      <alignment horizontal="center" vertical="center" wrapText="1"/>
    </xf>
    <xf numFmtId="171" fontId="7" fillId="0" borderId="28" xfId="0" applyNumberFormat="1" applyFont="1" applyFill="1" applyBorder="1" applyAlignment="1">
      <alignment horizontal="center" vertical="center" wrapText="1"/>
    </xf>
    <xf numFmtId="166" fontId="11" fillId="0" borderId="3" xfId="1" applyNumberFormat="1" applyFont="1" applyFill="1" applyBorder="1" applyAlignment="1">
      <alignment horizontal="center" vertical="center" wrapText="1"/>
    </xf>
    <xf numFmtId="0" fontId="65" fillId="0" borderId="13" xfId="0" applyFont="1" applyFill="1" applyBorder="1" applyAlignment="1">
      <alignment horizontal="center" vertical="center" wrapText="1"/>
    </xf>
    <xf numFmtId="0" fontId="36" fillId="0" borderId="1" xfId="0" applyFont="1" applyFill="1" applyBorder="1" applyAlignment="1">
      <alignment horizontal="left" vertical="center" wrapText="1"/>
    </xf>
    <xf numFmtId="167" fontId="7" fillId="0" borderId="1" xfId="6"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166" fontId="8" fillId="0" borderId="1"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29" xfId="0" applyNumberFormat="1" applyFont="1" applyFill="1" applyBorder="1" applyAlignment="1">
      <alignment horizontal="center" vertical="center" wrapText="1"/>
    </xf>
    <xf numFmtId="166" fontId="8" fillId="0" borderId="11" xfId="1" applyNumberFormat="1" applyFont="1" applyFill="1" applyBorder="1" applyAlignment="1">
      <alignment horizontal="center" vertical="center" wrapText="1"/>
    </xf>
    <xf numFmtId="0" fontId="0" fillId="0" borderId="13" xfId="0" applyFill="1" applyBorder="1" applyAlignment="1">
      <alignment horizontal="center" vertical="center"/>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8"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15" fontId="8" fillId="0" borderId="28" xfId="0" applyNumberFormat="1" applyFont="1" applyFill="1" applyBorder="1" applyAlignment="1">
      <alignment horizontal="center" vertical="center" wrapText="1"/>
    </xf>
    <xf numFmtId="167" fontId="0" fillId="0" borderId="28" xfId="0" applyNumberFormat="1" applyFill="1" applyBorder="1" applyAlignment="1">
      <alignment horizontal="center" vertical="center"/>
    </xf>
    <xf numFmtId="0" fontId="8" fillId="0" borderId="28" xfId="0" applyFont="1" applyFill="1" applyBorder="1" applyAlignment="1">
      <alignment wrapText="1"/>
    </xf>
    <xf numFmtId="0" fontId="8" fillId="0" borderId="7" xfId="0" applyFont="1" applyFill="1" applyBorder="1" applyAlignment="1">
      <alignment horizontal="center" vertical="center" wrapText="1"/>
    </xf>
    <xf numFmtId="0" fontId="43"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8" xfId="1" applyNumberFormat="1" applyFont="1" applyFill="1" applyBorder="1" applyAlignment="1">
      <alignment horizontal="center" vertical="center" wrapText="1"/>
    </xf>
    <xf numFmtId="44" fontId="0" fillId="0" borderId="28" xfId="1" applyFont="1" applyFill="1" applyBorder="1" applyAlignment="1">
      <alignment horizontal="center" vertical="center" wrapText="1"/>
    </xf>
    <xf numFmtId="0" fontId="8" fillId="0" borderId="29" xfId="1"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1"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0" fillId="0" borderId="28" xfId="0" applyFill="1" applyBorder="1" applyAlignment="1"/>
    <xf numFmtId="14" fontId="6" fillId="0" borderId="11"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0" fillId="0" borderId="29" xfId="0" applyFill="1" applyBorder="1" applyAlignment="1"/>
    <xf numFmtId="0" fontId="8" fillId="0" borderId="28" xfId="0" applyFont="1" applyFill="1" applyBorder="1" applyAlignment="1">
      <alignment horizontal="left" vertical="center" wrapText="1"/>
    </xf>
    <xf numFmtId="171" fontId="7" fillId="0" borderId="28" xfId="0" applyNumberFormat="1" applyFont="1" applyFill="1" applyBorder="1" applyAlignment="1">
      <alignment horizontal="center" vertical="center" wrapText="1"/>
    </xf>
    <xf numFmtId="0" fontId="11" fillId="0" borderId="28" xfId="0" applyFont="1" applyFill="1" applyBorder="1" applyAlignment="1" applyProtection="1">
      <alignment vertical="center" wrapText="1"/>
      <protection locked="0"/>
    </xf>
    <xf numFmtId="15" fontId="7" fillId="0" borderId="3" xfId="0" applyNumberFormat="1" applyFont="1" applyFill="1" applyBorder="1" applyAlignment="1" applyProtection="1">
      <alignment horizontal="center" vertical="center" wrapText="1"/>
      <protection locked="0"/>
    </xf>
    <xf numFmtId="0" fontId="139" fillId="0" borderId="28" xfId="0" applyFont="1" applyFill="1" applyBorder="1"/>
    <xf numFmtId="0" fontId="139" fillId="0" borderId="29" xfId="0" applyFont="1" applyFill="1" applyBorder="1"/>
  </cellXfs>
  <cellStyles count="14">
    <cellStyle name="Buena" xfId="11" builtinId="26"/>
    <cellStyle name="Énfasis1" xfId="2" builtinId="29"/>
    <cellStyle name="Hipervínculo" xfId="3" builtinId="8"/>
    <cellStyle name="Millares [0]" xfId="6" builtinId="6"/>
    <cellStyle name="Millares 2" xfId="8"/>
    <cellStyle name="Millares 3" xfId="9"/>
    <cellStyle name="Moneda" xfId="1" builtinId="4"/>
    <cellStyle name="Moneda [0]" xfId="13" builtinId="7"/>
    <cellStyle name="Moneda 2" xfId="10"/>
    <cellStyle name="Normal" xfId="0" builtinId="0"/>
    <cellStyle name="Normal 2" xfId="7"/>
    <cellStyle name="Normal 3" xfId="5"/>
    <cellStyle name="Normal 6" xfId="4"/>
    <cellStyle name="Porcentaje" xfId="12" builtinId="5"/>
  </cellStyles>
  <dxfs count="16">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numFmt numFmtId="35" formatCode="_(* #,##0.00_);_(* \(#,##0.00\);_(* &quot;-&quot;??_);_(@_)"/>
    </dxf>
    <dxf>
      <fill>
        <patternFill patternType="solid">
          <bgColor rgb="FFFFC000"/>
        </patternFill>
      </fill>
    </dxf>
    <dxf>
      <fill>
        <patternFill patternType="solid">
          <bgColor rgb="FFFFC000"/>
        </patternFill>
      </fill>
    </dxf>
    <dxf>
      <numFmt numFmtId="35" formatCode="_(* #,##0.00_);_(* \(#,##0.00\);_(* &quot;-&quot;??_);_(@_)"/>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numFmt numFmtId="35" formatCode="_(* #,##0.00_);_(* \(#,##0.00\);_(* &quot;-&quot;??_);_(@_)"/>
    </dxf>
    <dxf>
      <fill>
        <patternFill patternType="solid">
          <bgColor rgb="FFFFC000"/>
        </patternFill>
      </fill>
    </dxf>
    <dxf>
      <fill>
        <patternFill patternType="solid">
          <bgColor rgb="FFFFC000"/>
        </patternFill>
      </fill>
    </dxf>
    <dxf>
      <numFmt numFmtId="35" formatCode="_(* #,##0.00_);_(* \(#,##0.00\);_(* &quot;-&quot;??_);_(@_)"/>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bg2">
                  <a:lumMod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'control caja menor'!$Z$3</c:f>
              <c:strCache>
                <c:ptCount val="1"/>
                <c:pt idx="0">
                  <c:v>% de ejecución por rubro presupuestal al 30 de mayo de 2016</c:v>
                </c:pt>
              </c:strCache>
            </c:strRef>
          </c:tx>
          <c:spPr>
            <a:solidFill>
              <a:schemeClr val="accent6">
                <a:lumMod val="60000"/>
                <a:lumOff val="40000"/>
              </a:schemeClr>
            </a:solidFill>
            <a:ln>
              <a:noFill/>
            </a:ln>
            <a:effectLst>
              <a:outerShdw blurRad="88900" dist="25400" dir="5400000" rotWithShape="0">
                <a:srgbClr val="000000">
                  <a:alpha val="39000"/>
                </a:srgb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'control caja menor'!$Y$4:$Y$9</c:f>
              <c:strCache>
                <c:ptCount val="6"/>
                <c:pt idx="0">
                  <c:v>SUBTOTAL COMPRA DE EQUIPO</c:v>
                </c:pt>
                <c:pt idx="1">
                  <c:v>SUBTOTAL MATERIALES Y SUMINISTROS</c:v>
                </c:pt>
                <c:pt idx="2">
                  <c:v>SUBTOTAL MANTENIMIENTO</c:v>
                </c:pt>
                <c:pt idx="3">
                  <c:v>SUBTOTAL COMUNICACIONES Y TRANSPORTE</c:v>
                </c:pt>
                <c:pt idx="4">
                  <c:v>SUBTOTAL IMPRESOS Y PUBLICACIONES</c:v>
                </c:pt>
                <c:pt idx="5">
                  <c:v>SUBTOTAL VIATICOS Y GASTOS DE VIAJE</c:v>
                </c:pt>
              </c:strCache>
            </c:strRef>
          </c:cat>
          <c:val>
            <c:numRef>
              <c:f>'control caja menor'!$Z$4:$Z$9</c:f>
              <c:numCache>
                <c:formatCode>0%</c:formatCode>
                <c:ptCount val="6"/>
                <c:pt idx="0">
                  <c:v>8.3333333333333329E-2</c:v>
                </c:pt>
                <c:pt idx="1">
                  <c:v>0.65445862499999996</c:v>
                </c:pt>
                <c:pt idx="2">
                  <c:v>0.56519525000000004</c:v>
                </c:pt>
                <c:pt idx="3">
                  <c:v>0.7820972727272727</c:v>
                </c:pt>
                <c:pt idx="4">
                  <c:v>0.71247249999999995</c:v>
                </c:pt>
                <c:pt idx="5">
                  <c:v>0.35119692307692307</c:v>
                </c:pt>
              </c:numCache>
            </c:numRef>
          </c:val>
        </c:ser>
        <c:dLbls>
          <c:dLblPos val="outEnd"/>
          <c:showLegendKey val="0"/>
          <c:showVal val="1"/>
          <c:showCatName val="0"/>
          <c:showSerName val="0"/>
          <c:showPercent val="0"/>
          <c:showBubbleSize val="0"/>
        </c:dLbls>
        <c:gapWidth val="100"/>
        <c:axId val="47349760"/>
        <c:axId val="47353216"/>
      </c:barChart>
      <c:catAx>
        <c:axId val="4734976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accent2">
                    <a:lumMod val="50000"/>
                  </a:schemeClr>
                </a:solidFill>
                <a:latin typeface="+mn-lt"/>
                <a:ea typeface="+mn-ea"/>
                <a:cs typeface="+mn-cs"/>
              </a:defRPr>
            </a:pPr>
            <a:endParaRPr lang="es-CO"/>
          </a:p>
        </c:txPr>
        <c:crossAx val="47353216"/>
        <c:crosses val="autoZero"/>
        <c:auto val="1"/>
        <c:lblAlgn val="ctr"/>
        <c:lblOffset val="100"/>
        <c:noMultiLvlLbl val="0"/>
      </c:catAx>
      <c:valAx>
        <c:axId val="47353216"/>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47349760"/>
        <c:crosses val="autoZero"/>
        <c:crossBetween val="between"/>
      </c:valAx>
      <c:spPr>
        <a:noFill/>
        <a:ln>
          <a:noFill/>
        </a:ln>
        <a:effectLst/>
      </c:spPr>
    </c:plotArea>
    <c:plotVisOnly val="1"/>
    <c:dispBlanksAs val="gap"/>
    <c:showDLblsOverMax val="0"/>
  </c:chart>
  <c:spPr>
    <a:solidFill>
      <a:schemeClr val="bg1"/>
    </a:solidFill>
    <a:ln w="44450" cap="flat" cmpd="sng" algn="ctr">
      <a:solidFill>
        <a:schemeClr val="tx2">
          <a:lumMod val="15000"/>
          <a:lumOff val="85000"/>
        </a:schemeClr>
      </a:solidFill>
      <a:round/>
    </a:ln>
    <a:effectLst>
      <a:outerShdw blurRad="152400" dist="127000" dir="8400000" sx="105000" sy="105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bg2">
                  <a:lumMod val="50000"/>
                </a:schemeClr>
              </a:solidFill>
              <a:latin typeface="+mn-lt"/>
              <a:ea typeface="+mn-ea"/>
              <a:cs typeface="+mn-cs"/>
            </a:defRPr>
          </a:pPr>
          <a:endParaRPr lang="es-CO"/>
        </a:p>
      </c:txPr>
    </c:title>
    <c:autoTitleDeleted val="0"/>
    <c:plotArea>
      <c:layout>
        <c:manualLayout>
          <c:layoutTarget val="inner"/>
          <c:xMode val="edge"/>
          <c:yMode val="edge"/>
          <c:x val="0.12070999340072694"/>
          <c:y val="1.3841730191110157E-2"/>
          <c:w val="0.87929000659927303"/>
          <c:h val="0.4669427208386423"/>
        </c:manualLayout>
      </c:layout>
      <c:barChart>
        <c:barDir val="col"/>
        <c:grouping val="clustered"/>
        <c:varyColors val="0"/>
        <c:ser>
          <c:idx val="0"/>
          <c:order val="0"/>
          <c:tx>
            <c:strRef>
              <c:f>'control caja menor'!$W$4</c:f>
              <c:strCache>
                <c:ptCount val="1"/>
                <c:pt idx="0">
                  <c:v>% de ejecución por subrubro al 30 de mayo de 2016</c:v>
                </c:pt>
              </c:strCache>
            </c:strRef>
          </c:tx>
          <c:spPr>
            <a:solidFill>
              <a:schemeClr val="accent6"/>
            </a:solidFill>
            <a:ln>
              <a:noFill/>
            </a:ln>
            <a:effectLst>
              <a:glow rad="38100">
                <a:schemeClr val="accent1">
                  <a:alpha val="40000"/>
                </a:schemeClr>
              </a:glow>
              <a:outerShdw blurRad="101600" dist="88900" dir="7800000" sx="101000" sy="101000" algn="ctr" rotWithShape="0">
                <a:srgbClr val="000000">
                  <a:alpha val="43137"/>
                </a:srgbClr>
              </a:outerShdw>
            </a:effectLst>
            <a:scene3d>
              <a:camera prst="orthographicFront"/>
              <a:lightRig rig="threePt" dir="t">
                <a:rot lat="0" lon="0" rev="5400000"/>
              </a:lightRig>
            </a:scene3d>
            <a:sp3d>
              <a:bevelT w="8255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caja menor'!$V$5:$V$22</c:f>
              <c:strCache>
                <c:ptCount val="18"/>
                <c:pt idx="0">
                  <c:v>OTROS COMPRA DE EQUIPO</c:v>
                </c:pt>
                <c:pt idx="1">
                  <c:v>EQUIPO DE COMUNICACIONES</c:v>
                </c:pt>
                <c:pt idx="2">
                  <c:v>PAPELERÍA UTILES DE ESCRITORIO Y OFICINA </c:v>
                </c:pt>
                <c:pt idx="3">
                  <c:v>PRODUCTOS DE ASEO Y LIMPIEZA</c:v>
                </c:pt>
                <c:pt idx="4">
                  <c:v>PRODUCTOS DE CAFETERÍA Y RESTAURANTE</c:v>
                </c:pt>
                <c:pt idx="5">
                  <c:v>REPUESTOS</c:v>
                </c:pt>
                <c:pt idx="6">
                  <c:v>UTENSILIOS DE CAFETERÍA</c:v>
                </c:pt>
                <c:pt idx="7">
                  <c:v>OTROS MATERIALES Y SUMINISTROS </c:v>
                </c:pt>
                <c:pt idx="8">
                  <c:v>MANTENIMIENTO DE BIENES INMUEBLES</c:v>
                </c:pt>
                <c:pt idx="9">
                  <c:v>MANTENIMIENTO DE BIENES MUEBLES, EQUIPOS Y ENSERES</c:v>
                </c:pt>
                <c:pt idx="10">
                  <c:v>MANTENIMIENTO EQUIPO COMUNICACIÓN Y COMPUTACION</c:v>
                </c:pt>
                <c:pt idx="11">
                  <c:v>MANTENIMIENTO DE OTROS BIENES</c:v>
                </c:pt>
                <c:pt idx="12">
                  <c:v>CORREO</c:v>
                </c:pt>
                <c:pt idx="13">
                  <c:v>TRANSPORTE</c:v>
                </c:pt>
                <c:pt idx="14">
                  <c:v>ADQUISICION DE LIBROS Y REVISTAS</c:v>
                </c:pt>
                <c:pt idx="15">
                  <c:v>EDICION DE LIBROS,REVISTAS,ESCRITOS Y TRABAJOS TIPOGRAFICOS</c:v>
                </c:pt>
                <c:pt idx="16">
                  <c:v>OTROS GASTOS POR IMPRESOS Y PUBLICACIONES </c:v>
                </c:pt>
                <c:pt idx="17">
                  <c:v>VIATICOS AL INTERIOR</c:v>
                </c:pt>
              </c:strCache>
            </c:strRef>
          </c:cat>
          <c:val>
            <c:numRef>
              <c:f>'control caja menor'!$W$5:$W$22</c:f>
              <c:numCache>
                <c:formatCode>0.0%</c:formatCode>
                <c:ptCount val="18"/>
                <c:pt idx="0">
                  <c:v>0</c:v>
                </c:pt>
                <c:pt idx="1">
                  <c:v>1</c:v>
                </c:pt>
                <c:pt idx="2">
                  <c:v>0.72944444444444445</c:v>
                </c:pt>
                <c:pt idx="3">
                  <c:v>0.66488888888888886</c:v>
                </c:pt>
                <c:pt idx="4">
                  <c:v>0.6205701785714286</c:v>
                </c:pt>
                <c:pt idx="5">
                  <c:v>2.5714285714285714E-2</c:v>
                </c:pt>
                <c:pt idx="6">
                  <c:v>0.52759999999999996</c:v>
                </c:pt>
                <c:pt idx="7">
                  <c:v>0.84508000000000005</c:v>
                </c:pt>
                <c:pt idx="8">
                  <c:v>0.39070050000000001</c:v>
                </c:pt>
                <c:pt idx="9">
                  <c:v>0.6645833333333333</c:v>
                </c:pt>
                <c:pt idx="10">
                  <c:v>1</c:v>
                </c:pt>
                <c:pt idx="11">
                  <c:v>0.71876190476190471</c:v>
                </c:pt>
                <c:pt idx="12">
                  <c:v>0.37522800000000001</c:v>
                </c:pt>
                <c:pt idx="13">
                  <c:v>0.90176470588235291</c:v>
                </c:pt>
                <c:pt idx="14">
                  <c:v>0</c:v>
                </c:pt>
                <c:pt idx="15">
                  <c:v>0</c:v>
                </c:pt>
                <c:pt idx="16">
                  <c:v>0.85582282282282285</c:v>
                </c:pt>
                <c:pt idx="17">
                  <c:v>0.35119692307692307</c:v>
                </c:pt>
              </c:numCache>
            </c:numRef>
          </c:val>
        </c:ser>
        <c:dLbls>
          <c:dLblPos val="outEnd"/>
          <c:showLegendKey val="0"/>
          <c:showVal val="1"/>
          <c:showCatName val="0"/>
          <c:showSerName val="0"/>
          <c:showPercent val="0"/>
          <c:showBubbleSize val="0"/>
        </c:dLbls>
        <c:gapWidth val="202"/>
        <c:overlap val="-28"/>
        <c:axId val="83390464"/>
        <c:axId val="172012672"/>
      </c:barChart>
      <c:catAx>
        <c:axId val="833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72012672"/>
        <c:crosses val="autoZero"/>
        <c:auto val="1"/>
        <c:lblAlgn val="ctr"/>
        <c:lblOffset val="100"/>
        <c:noMultiLvlLbl val="0"/>
      </c:catAx>
      <c:valAx>
        <c:axId val="172012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83390464"/>
        <c:crossesAt val="2"/>
        <c:crossBetween val="between"/>
      </c:valAx>
      <c:spPr>
        <a:noFill/>
        <a:ln>
          <a:noFill/>
        </a:ln>
        <a:effectLst/>
      </c:spPr>
    </c:plotArea>
    <c:plotVisOnly val="1"/>
    <c:dispBlanksAs val="gap"/>
    <c:showDLblsOverMax val="0"/>
  </c:chart>
  <c:spPr>
    <a:solidFill>
      <a:schemeClr val="bg1"/>
    </a:solidFill>
    <a:ln w="19050" cap="flat" cmpd="sng" algn="ctr">
      <a:solidFill>
        <a:schemeClr val="tx2"/>
      </a:solidFill>
      <a:round/>
    </a:ln>
    <a:effectLst>
      <a:outerShdw blurRad="88900" dist="50800" dir="11400000" sx="103000" sy="103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193261</xdr:colOff>
      <xdr:row>5</xdr:row>
      <xdr:rowOff>159996</xdr:rowOff>
    </xdr:from>
    <xdr:to>
      <xdr:col>34</xdr:col>
      <xdr:colOff>759238</xdr:colOff>
      <xdr:row>13</xdr:row>
      <xdr:rowOff>262281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709543</xdr:colOff>
      <xdr:row>5</xdr:row>
      <xdr:rowOff>345117</xdr:rowOff>
    </xdr:from>
    <xdr:to>
      <xdr:col>47</xdr:col>
      <xdr:colOff>469347</xdr:colOff>
      <xdr:row>22</xdr:row>
      <xdr:rowOff>41413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omateus\Mis%20documentos\DAFP\2016\EJECUCION%20CIERRE%20MES\PARA%20PUBLICAR\TABLERO%20DE%20CONTROL\MARZO%202016\COMPROMISO%20TABL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Exportar (36)"/>
      <sheetName val="Hoja4"/>
    </sheetNames>
    <sheetDataSet>
      <sheetData sheetId="0"/>
      <sheetData sheetId="1"/>
      <sheetData sheetId="2"/>
      <sheetData sheetId="3">
        <row r="1">
          <cell r="A1" t="str">
            <v>10116 C-123-1000-4-0-0000000</v>
          </cell>
          <cell r="B1">
            <v>17000000</v>
          </cell>
        </row>
        <row r="2">
          <cell r="A2" t="str">
            <v>1016 A-2-0-4-4-20</v>
          </cell>
          <cell r="B2">
            <v>19462509</v>
          </cell>
        </row>
        <row r="3">
          <cell r="A3" t="str">
            <v>1016 A-2-0-4-5-6</v>
          </cell>
          <cell r="B3">
            <v>15193282</v>
          </cell>
        </row>
        <row r="4">
          <cell r="A4" t="str">
            <v>10216 C-520-1403-1</v>
          </cell>
          <cell r="B4">
            <v>6600000</v>
          </cell>
        </row>
        <row r="5">
          <cell r="A5" t="str">
            <v>10516 C-123-1000-4-0-0000000</v>
          </cell>
          <cell r="B5">
            <v>7000000</v>
          </cell>
        </row>
        <row r="6">
          <cell r="A6" t="str">
            <v>10616 A-2-0-4-4-15</v>
          </cell>
          <cell r="B6">
            <v>4705929.4000000004</v>
          </cell>
        </row>
        <row r="7">
          <cell r="A7" t="str">
            <v>10716 C-520-1403-1</v>
          </cell>
          <cell r="B7">
            <v>1895618</v>
          </cell>
        </row>
        <row r="8">
          <cell r="A8" t="str">
            <v>10816 C-520-1403-1</v>
          </cell>
          <cell r="B8">
            <v>6600000</v>
          </cell>
        </row>
        <row r="9">
          <cell r="A9" t="str">
            <v>10916 C-123-1000-4-0-0000000</v>
          </cell>
          <cell r="B9">
            <v>10000000</v>
          </cell>
        </row>
        <row r="10">
          <cell r="A10" t="str">
            <v>10916 C-520-1403-1</v>
          </cell>
          <cell r="B10">
            <v>143000000</v>
          </cell>
        </row>
        <row r="11">
          <cell r="A11" t="str">
            <v>1116 A-2-0-4-4-1</v>
          </cell>
          <cell r="B11">
            <v>37000000</v>
          </cell>
        </row>
        <row r="12">
          <cell r="A12" t="str">
            <v>11316 C-520-1403-1</v>
          </cell>
          <cell r="B12">
            <v>45000000</v>
          </cell>
        </row>
        <row r="13">
          <cell r="A13" t="str">
            <v>116 A-2-0-4-5-10</v>
          </cell>
          <cell r="B13">
            <v>203120528.22999999</v>
          </cell>
        </row>
        <row r="14">
          <cell r="A14" t="str">
            <v>11616 A-2-0-4-4-15</v>
          </cell>
          <cell r="B14">
            <v>121700</v>
          </cell>
        </row>
        <row r="15">
          <cell r="A15" t="str">
            <v>11616 A-2-0-4-4-18</v>
          </cell>
          <cell r="B15">
            <v>1338407</v>
          </cell>
        </row>
        <row r="16">
          <cell r="A16" t="str">
            <v>11616 A-2-0-4-4-21</v>
          </cell>
          <cell r="B16">
            <v>4300</v>
          </cell>
        </row>
        <row r="17">
          <cell r="A17" t="str">
            <v>11616 A-2-0-4-4-23</v>
          </cell>
          <cell r="B17">
            <v>341814</v>
          </cell>
        </row>
        <row r="18">
          <cell r="A18" t="str">
            <v>11616 A-2-0-4-5-1</v>
          </cell>
          <cell r="B18">
            <v>181501</v>
          </cell>
        </row>
        <row r="19">
          <cell r="A19" t="str">
            <v>11616 A-2-0-4-5-2</v>
          </cell>
          <cell r="B19">
            <v>11000</v>
          </cell>
        </row>
        <row r="20">
          <cell r="A20" t="str">
            <v>11616 A-2-0-4-6-2</v>
          </cell>
          <cell r="B20">
            <v>26500</v>
          </cell>
        </row>
        <row r="21">
          <cell r="A21" t="str">
            <v>11616 A-2-0-4-6-7</v>
          </cell>
          <cell r="B21">
            <v>78500</v>
          </cell>
        </row>
        <row r="22">
          <cell r="A22" t="str">
            <v>11616 A-2-0-4-7-6</v>
          </cell>
          <cell r="B22">
            <v>124656</v>
          </cell>
        </row>
        <row r="23">
          <cell r="A23" t="str">
            <v>1216 C-123-1000-4-0-0000000</v>
          </cell>
          <cell r="B23">
            <v>20000000</v>
          </cell>
        </row>
        <row r="24">
          <cell r="A24" t="str">
            <v>1316 C-123-1000-4-0-0000000</v>
          </cell>
          <cell r="B24">
            <v>6180000</v>
          </cell>
        </row>
        <row r="25">
          <cell r="A25" t="str">
            <v>1416 C-123-1000-4-0-0000000</v>
          </cell>
          <cell r="B25">
            <v>11000000</v>
          </cell>
        </row>
        <row r="26">
          <cell r="A26" t="str">
            <v>1516 C-123-1000-4-0-0000000</v>
          </cell>
          <cell r="B26">
            <v>12000000</v>
          </cell>
        </row>
        <row r="27">
          <cell r="A27" t="str">
            <v>1616 C-123-1000-4-0-0000000</v>
          </cell>
          <cell r="B27">
            <v>4000000</v>
          </cell>
        </row>
        <row r="28">
          <cell r="A28" t="str">
            <v>1616 C-520-1403-1</v>
          </cell>
          <cell r="B28">
            <v>4000000</v>
          </cell>
        </row>
        <row r="29">
          <cell r="A29" t="str">
            <v>1816 C-123-1000-4-0-0000000</v>
          </cell>
          <cell r="B29">
            <v>10000000</v>
          </cell>
        </row>
        <row r="30">
          <cell r="A30" t="str">
            <v>1916 C-123-1000-4-0-0000000</v>
          </cell>
          <cell r="B30">
            <v>4000000</v>
          </cell>
        </row>
        <row r="31">
          <cell r="A31" t="str">
            <v>1916 C-520-1403-1</v>
          </cell>
          <cell r="B31">
            <v>4000000</v>
          </cell>
        </row>
        <row r="32">
          <cell r="A32" t="str">
            <v>2016 C-123-1000-4-0-0000000</v>
          </cell>
          <cell r="B32">
            <v>4600000</v>
          </cell>
        </row>
        <row r="33">
          <cell r="A33" t="str">
            <v>216 A-2-0-4-5-8</v>
          </cell>
          <cell r="B33">
            <v>47449288</v>
          </cell>
        </row>
        <row r="34">
          <cell r="A34" t="str">
            <v>2316 C-520-1403-1</v>
          </cell>
          <cell r="B34">
            <v>10300000</v>
          </cell>
        </row>
        <row r="35">
          <cell r="A35" t="str">
            <v>2516 C-123-1000-4-0-0000000</v>
          </cell>
          <cell r="B35">
            <v>6180000</v>
          </cell>
        </row>
        <row r="36">
          <cell r="A36" t="str">
            <v>2716 C-123-1000-4-0-0000000</v>
          </cell>
          <cell r="B36">
            <v>19000000</v>
          </cell>
        </row>
        <row r="37">
          <cell r="A37" t="str">
            <v>2816 A-2-0-4-11-2</v>
          </cell>
          <cell r="B37">
            <v>5000000</v>
          </cell>
        </row>
        <row r="38">
          <cell r="A38" t="str">
            <v>2816 A-2-0-4-1-25</v>
          </cell>
          <cell r="B38">
            <v>600000</v>
          </cell>
        </row>
        <row r="39">
          <cell r="A39" t="str">
            <v>2816 A-2-0-4-4-23</v>
          </cell>
          <cell r="B39">
            <v>4000000</v>
          </cell>
        </row>
        <row r="40">
          <cell r="A40" t="str">
            <v>2816 A-2-0-4-5-12</v>
          </cell>
          <cell r="B40">
            <v>1500000</v>
          </cell>
        </row>
        <row r="41">
          <cell r="A41" t="str">
            <v>2816 A-2-0-4-6-8</v>
          </cell>
          <cell r="B41">
            <v>1500000</v>
          </cell>
        </row>
        <row r="42">
          <cell r="A42" t="str">
            <v>2816 A-2-0-4-7-6</v>
          </cell>
          <cell r="B42">
            <v>800000</v>
          </cell>
        </row>
        <row r="43">
          <cell r="A43" t="str">
            <v>3016 A-2-0-4-8-2</v>
          </cell>
          <cell r="B43">
            <v>19432310</v>
          </cell>
        </row>
        <row r="44">
          <cell r="A44" t="str">
            <v>3116 A-2-0-4-8-5</v>
          </cell>
          <cell r="B44">
            <v>3244880</v>
          </cell>
        </row>
        <row r="45">
          <cell r="A45" t="str">
            <v>316 A-2-0-4-6-2</v>
          </cell>
          <cell r="B45">
            <v>53593030</v>
          </cell>
        </row>
        <row r="46">
          <cell r="A46" t="str">
            <v>3216 A-2-0-4-8-6</v>
          </cell>
          <cell r="B46">
            <v>21076330</v>
          </cell>
        </row>
        <row r="47">
          <cell r="A47" t="str">
            <v>3516 A-2-0-4-4-17</v>
          </cell>
          <cell r="B47">
            <v>3101205</v>
          </cell>
        </row>
        <row r="48">
          <cell r="A48" t="str">
            <v>3516 A-2-0-4-4-18</v>
          </cell>
          <cell r="B48">
            <v>5740453</v>
          </cell>
        </row>
        <row r="49">
          <cell r="A49" t="str">
            <v>3616 C-123-1000-4-0-0000000</v>
          </cell>
          <cell r="B49">
            <v>20000000</v>
          </cell>
        </row>
        <row r="50">
          <cell r="A50" t="str">
            <v>3716 C-123-1000-4-0-0000000</v>
          </cell>
          <cell r="B50">
            <v>11600000</v>
          </cell>
        </row>
        <row r="51">
          <cell r="A51" t="str">
            <v>3816 C-123-1000-4-0-0000000</v>
          </cell>
          <cell r="B51">
            <v>5000000</v>
          </cell>
        </row>
        <row r="52">
          <cell r="A52" t="str">
            <v>3916 C-520-1000-10-0-0000000</v>
          </cell>
          <cell r="B52">
            <v>40250000</v>
          </cell>
        </row>
        <row r="53">
          <cell r="A53" t="str">
            <v>4016 C-520-1000-10-0-0000000</v>
          </cell>
          <cell r="B53">
            <v>71300000</v>
          </cell>
        </row>
        <row r="54">
          <cell r="A54" t="str">
            <v>4116 C-520-1000-10-0-0000000</v>
          </cell>
          <cell r="B54">
            <v>71300000</v>
          </cell>
        </row>
        <row r="55">
          <cell r="A55" t="str">
            <v>416 A-2-0-4-5-1</v>
          </cell>
          <cell r="B55">
            <v>4678380</v>
          </cell>
        </row>
        <row r="56">
          <cell r="A56" t="str">
            <v>4216 C-520-1000-10-0-0000000</v>
          </cell>
          <cell r="B56">
            <v>71300000</v>
          </cell>
        </row>
        <row r="57">
          <cell r="A57" t="str">
            <v>4316 C-520-1000-10-0-0000000</v>
          </cell>
          <cell r="B57">
            <v>71300000</v>
          </cell>
        </row>
        <row r="58">
          <cell r="A58" t="str">
            <v>4416 C-520-1000-10-0-0000000</v>
          </cell>
          <cell r="B58">
            <v>20000000</v>
          </cell>
        </row>
        <row r="59">
          <cell r="A59" t="str">
            <v>4516 C-520-1000-10-0-0000000</v>
          </cell>
          <cell r="B59">
            <v>24800000</v>
          </cell>
        </row>
        <row r="60">
          <cell r="A60" t="str">
            <v>4616 C-520-1000-10-0-0000000</v>
          </cell>
          <cell r="B60">
            <v>24800000</v>
          </cell>
        </row>
        <row r="61">
          <cell r="A61" t="str">
            <v>4816 C-123-1000-4-0-0000000</v>
          </cell>
          <cell r="B61">
            <v>6000000</v>
          </cell>
        </row>
        <row r="62">
          <cell r="A62" t="str">
            <v>4916 C-123-1000-4-0-0000000</v>
          </cell>
          <cell r="B62">
            <v>6000000</v>
          </cell>
        </row>
        <row r="63">
          <cell r="A63" t="str">
            <v>5016 C-520-1403-1</v>
          </cell>
          <cell r="B63">
            <v>8000000</v>
          </cell>
        </row>
        <row r="64">
          <cell r="A64" t="str">
            <v>5116 C-123-1000-4-0-0000000</v>
          </cell>
          <cell r="B64">
            <v>12400000</v>
          </cell>
        </row>
        <row r="65">
          <cell r="A65" t="str">
            <v>516 A-2-0-4-5-5</v>
          </cell>
          <cell r="B65">
            <v>5000000</v>
          </cell>
        </row>
        <row r="66">
          <cell r="A66" t="str">
            <v>5216 C-123-1000-4-0-0000000</v>
          </cell>
          <cell r="B66">
            <v>3400000</v>
          </cell>
        </row>
        <row r="67">
          <cell r="A67" t="str">
            <v>5316 C-123-1000-4-0-0000000</v>
          </cell>
          <cell r="B67">
            <v>14000000</v>
          </cell>
        </row>
        <row r="68">
          <cell r="A68" t="str">
            <v>5416 A-1-0-2-12</v>
          </cell>
          <cell r="B68">
            <v>11552200</v>
          </cell>
        </row>
        <row r="69">
          <cell r="A69" t="str">
            <v>5516 C-520-1000-10-0-1010101</v>
          </cell>
          <cell r="B69">
            <v>84850844</v>
          </cell>
        </row>
        <row r="70">
          <cell r="A70" t="str">
            <v>5516 C-520-1000-10-0-1010102</v>
          </cell>
          <cell r="B70">
            <v>6460963</v>
          </cell>
        </row>
        <row r="71">
          <cell r="A71" t="str">
            <v>5516 C-520-1000-10-0-1010104</v>
          </cell>
          <cell r="B71">
            <v>712304</v>
          </cell>
        </row>
        <row r="72">
          <cell r="A72" t="str">
            <v>5516 C-520-1000-10-0-1010502</v>
          </cell>
          <cell r="B72">
            <v>6785197</v>
          </cell>
        </row>
        <row r="73">
          <cell r="A73" t="str">
            <v>5516 C-520-1000-10-0-1010505</v>
          </cell>
          <cell r="B73">
            <v>570448</v>
          </cell>
        </row>
        <row r="74">
          <cell r="A74" t="str">
            <v>5516 C-520-1000-10-0-1010515</v>
          </cell>
          <cell r="B74">
            <v>4569655</v>
          </cell>
        </row>
        <row r="75">
          <cell r="A75" t="str">
            <v>5516 C-520-1000-10-0-1010547</v>
          </cell>
          <cell r="B75">
            <v>3988898</v>
          </cell>
        </row>
        <row r="76">
          <cell r="A76" t="str">
            <v>5516 C-520-1000-10-0-1050101</v>
          </cell>
          <cell r="B76">
            <v>3959300</v>
          </cell>
        </row>
        <row r="77">
          <cell r="A77" t="str">
            <v>5516 C-520-1000-10-0-1050103</v>
          </cell>
          <cell r="B77">
            <v>10625000</v>
          </cell>
        </row>
        <row r="78">
          <cell r="A78" t="str">
            <v>5516 C-520-1000-10-0-1050104</v>
          </cell>
          <cell r="B78">
            <v>8505700</v>
          </cell>
        </row>
        <row r="79">
          <cell r="A79" t="str">
            <v>5516 C-520-1000-10-0-1050202</v>
          </cell>
          <cell r="B79">
            <v>8579996</v>
          </cell>
        </row>
        <row r="80">
          <cell r="A80" t="str">
            <v>5516 C-520-1000-10-0-1050203</v>
          </cell>
          <cell r="B80">
            <v>1329400</v>
          </cell>
        </row>
        <row r="81">
          <cell r="A81" t="str">
            <v>5516 C-520-1000-10-0-1050207</v>
          </cell>
          <cell r="B81">
            <v>462400</v>
          </cell>
        </row>
        <row r="82">
          <cell r="A82" t="str">
            <v>5516 C-520-1000-10-0-1050600</v>
          </cell>
          <cell r="B82">
            <v>2969500</v>
          </cell>
        </row>
        <row r="83">
          <cell r="A83" t="str">
            <v>5516 C-520-1000-10-0-1050700</v>
          </cell>
          <cell r="B83">
            <v>494600</v>
          </cell>
        </row>
        <row r="84">
          <cell r="A84" t="str">
            <v>5516 C-520-1000-10-0-1050800</v>
          </cell>
          <cell r="B84">
            <v>494600</v>
          </cell>
        </row>
        <row r="85">
          <cell r="A85" t="str">
            <v>5516 C-520-1000-10-0-1050900</v>
          </cell>
          <cell r="B85">
            <v>989900</v>
          </cell>
        </row>
        <row r="86">
          <cell r="A86" t="str">
            <v>5616 C-123-1000-4-0-1010101</v>
          </cell>
          <cell r="B86">
            <v>206397231</v>
          </cell>
        </row>
        <row r="87">
          <cell r="A87" t="str">
            <v>5616 C-123-1000-4-0-1010102</v>
          </cell>
          <cell r="B87">
            <v>7302302</v>
          </cell>
        </row>
        <row r="88">
          <cell r="A88" t="str">
            <v>5616 C-123-1000-4-0-1010104</v>
          </cell>
          <cell r="B88">
            <v>3398129</v>
          </cell>
        </row>
        <row r="89">
          <cell r="A89" t="str">
            <v>5616 C-123-1000-4-0-1010502</v>
          </cell>
          <cell r="B89">
            <v>25685259</v>
          </cell>
        </row>
        <row r="90">
          <cell r="A90" t="str">
            <v>5616 C-123-1000-4-0-1010505</v>
          </cell>
          <cell r="B90">
            <v>685017</v>
          </cell>
        </row>
        <row r="91">
          <cell r="A91" t="str">
            <v>5616 C-123-1000-4-0-1010514</v>
          </cell>
          <cell r="B91">
            <v>783162</v>
          </cell>
        </row>
        <row r="92">
          <cell r="A92" t="str">
            <v>5616 C-123-1000-4-0-1010515</v>
          </cell>
          <cell r="B92">
            <v>5460071</v>
          </cell>
        </row>
        <row r="93">
          <cell r="A93" t="str">
            <v>5616 C-123-1000-4-0-1010516</v>
          </cell>
          <cell r="B93">
            <v>53330</v>
          </cell>
        </row>
        <row r="94">
          <cell r="A94" t="str">
            <v>5616 C-123-1000-4-0-1010903</v>
          </cell>
          <cell r="B94">
            <v>1248708</v>
          </cell>
        </row>
        <row r="95">
          <cell r="A95" t="str">
            <v>5616 C-123-1000-4-0-1050101</v>
          </cell>
          <cell r="B95">
            <v>9390800</v>
          </cell>
        </row>
        <row r="96">
          <cell r="A96" t="str">
            <v>5616 C-123-1000-4-0-1050103</v>
          </cell>
          <cell r="B96">
            <v>17343200</v>
          </cell>
        </row>
        <row r="97">
          <cell r="A97" t="str">
            <v>5616 C-123-1000-4-0-1050104</v>
          </cell>
          <cell r="B97">
            <v>19241900</v>
          </cell>
        </row>
        <row r="98">
          <cell r="A98" t="str">
            <v>5616 C-123-1000-4-0-1050202</v>
          </cell>
          <cell r="B98">
            <v>9144134</v>
          </cell>
        </row>
        <row r="99">
          <cell r="A99" t="str">
            <v>5616 C-123-1000-4-0-1050203</v>
          </cell>
          <cell r="B99">
            <v>9732500</v>
          </cell>
        </row>
        <row r="100">
          <cell r="A100" t="str">
            <v>5616 C-123-1000-4-0-1050207</v>
          </cell>
          <cell r="B100">
            <v>1113600</v>
          </cell>
        </row>
        <row r="101">
          <cell r="A101" t="str">
            <v>5616 C-123-1000-4-0-1050600</v>
          </cell>
          <cell r="B101">
            <v>7042800</v>
          </cell>
        </row>
        <row r="102">
          <cell r="A102" t="str">
            <v>5616 C-123-1000-4-0-1050700</v>
          </cell>
          <cell r="B102">
            <v>1172900</v>
          </cell>
        </row>
        <row r="103">
          <cell r="A103" t="str">
            <v>5616 C-123-1000-4-0-1050800</v>
          </cell>
          <cell r="B103">
            <v>1172900</v>
          </cell>
        </row>
        <row r="104">
          <cell r="A104" t="str">
            <v>5616 C-123-1000-4-0-1050900</v>
          </cell>
          <cell r="B104">
            <v>2347700</v>
          </cell>
        </row>
        <row r="105">
          <cell r="A105" t="str">
            <v>5716 C-123-1000-4-0-0000000</v>
          </cell>
          <cell r="B105">
            <v>9000000</v>
          </cell>
        </row>
        <row r="106">
          <cell r="A106" t="str">
            <v>5816 C-520-1403-1</v>
          </cell>
          <cell r="B106">
            <v>8000000</v>
          </cell>
        </row>
        <row r="107">
          <cell r="A107" t="str">
            <v>5916 C-123-1000-4-0-0000000</v>
          </cell>
          <cell r="B107">
            <v>7800000</v>
          </cell>
        </row>
        <row r="108">
          <cell r="A108" t="str">
            <v>6016 C-123-1000-4-0-0000000</v>
          </cell>
          <cell r="B108">
            <v>16000000</v>
          </cell>
        </row>
        <row r="109">
          <cell r="A109" t="str">
            <v>616 A-2-0-4-6-5</v>
          </cell>
          <cell r="B109">
            <v>97810166.670000002</v>
          </cell>
        </row>
        <row r="110">
          <cell r="A110" t="str">
            <v>6216 A-1-0-2-12</v>
          </cell>
          <cell r="B110">
            <v>8800000</v>
          </cell>
        </row>
        <row r="111">
          <cell r="A111" t="str">
            <v>6316 C-123-1000-4-0-0000000</v>
          </cell>
          <cell r="B111">
            <v>9000000</v>
          </cell>
        </row>
        <row r="112">
          <cell r="A112" t="str">
            <v>6416 C-123-1000-4-0-0000000</v>
          </cell>
          <cell r="B112">
            <v>9000000</v>
          </cell>
        </row>
        <row r="113">
          <cell r="A113" t="str">
            <v>6516 C-123-1000-4-0-0000000</v>
          </cell>
          <cell r="B113">
            <v>10000000</v>
          </cell>
        </row>
        <row r="114">
          <cell r="A114" t="str">
            <v>6616 C-123-1000-4-0-0000000</v>
          </cell>
          <cell r="B114">
            <v>8600000</v>
          </cell>
        </row>
        <row r="115">
          <cell r="A115" t="str">
            <v>6716 A-1-0-2-12</v>
          </cell>
          <cell r="B115">
            <v>13500000</v>
          </cell>
        </row>
        <row r="116">
          <cell r="A116" t="str">
            <v>6916 C-520-1403-1</v>
          </cell>
          <cell r="B116">
            <v>20880000</v>
          </cell>
        </row>
        <row r="117">
          <cell r="A117" t="str">
            <v>7016 A-1-0-1-1-1</v>
          </cell>
          <cell r="B117">
            <v>1078325239</v>
          </cell>
        </row>
        <row r="118">
          <cell r="A118" t="str">
            <v>7016 A-1-0-1-1-2</v>
          </cell>
          <cell r="B118">
            <v>82078806</v>
          </cell>
        </row>
        <row r="119">
          <cell r="A119" t="str">
            <v>7016 A-1-0-1-1-4</v>
          </cell>
          <cell r="B119">
            <v>13209007</v>
          </cell>
        </row>
        <row r="120">
          <cell r="A120" t="str">
            <v>7016 A-1-0-1-4-1</v>
          </cell>
          <cell r="B120">
            <v>66445122</v>
          </cell>
        </row>
        <row r="121">
          <cell r="A121" t="str">
            <v>7016 A-1-0-1-4-2</v>
          </cell>
          <cell r="B121">
            <v>40960089</v>
          </cell>
        </row>
        <row r="122">
          <cell r="A122" t="str">
            <v>7016 A-1-0-1-5-1</v>
          </cell>
          <cell r="B122">
            <v>24019607</v>
          </cell>
        </row>
        <row r="123">
          <cell r="A123" t="str">
            <v>7016 A-1-0-1-5-12</v>
          </cell>
          <cell r="B123">
            <v>2663820</v>
          </cell>
        </row>
        <row r="124">
          <cell r="A124" t="str">
            <v>7016 A-1-0-1-5-13</v>
          </cell>
          <cell r="B124">
            <v>1851850</v>
          </cell>
        </row>
        <row r="125">
          <cell r="A125" t="str">
            <v>7016 A-1-0-1-5-14</v>
          </cell>
          <cell r="B125">
            <v>10817037</v>
          </cell>
        </row>
        <row r="126">
          <cell r="A126" t="str">
            <v>7016 A-1-0-1-5-15</v>
          </cell>
          <cell r="B126">
            <v>68484937</v>
          </cell>
        </row>
        <row r="127">
          <cell r="A127" t="str">
            <v>7016 A-1-0-1-5-16</v>
          </cell>
          <cell r="B127">
            <v>3311324</v>
          </cell>
        </row>
        <row r="128">
          <cell r="A128" t="str">
            <v>7016 A-1-0-1-5-19</v>
          </cell>
          <cell r="B128">
            <v>517404</v>
          </cell>
        </row>
        <row r="129">
          <cell r="A129" t="str">
            <v>7016 A-1-0-1-5-2</v>
          </cell>
          <cell r="B129">
            <v>54647566</v>
          </cell>
        </row>
        <row r="130">
          <cell r="A130" t="str">
            <v>7016 A-1-0-1-5-47</v>
          </cell>
          <cell r="B130">
            <v>16208822</v>
          </cell>
        </row>
        <row r="131">
          <cell r="A131" t="str">
            <v>7016 A-1-0-1-5-5</v>
          </cell>
          <cell r="B131">
            <v>8243236</v>
          </cell>
        </row>
        <row r="132">
          <cell r="A132" t="str">
            <v>7016 A-1-0-1-9-1</v>
          </cell>
          <cell r="B132">
            <v>4860989</v>
          </cell>
        </row>
        <row r="133">
          <cell r="A133" t="str">
            <v>7016 A-1-0-1-9-3</v>
          </cell>
          <cell r="B133">
            <v>30322506</v>
          </cell>
        </row>
        <row r="134">
          <cell r="A134" t="str">
            <v>7116 A-1-0-5-1-1</v>
          </cell>
          <cell r="B134">
            <v>56174400</v>
          </cell>
        </row>
        <row r="135">
          <cell r="A135" t="str">
            <v>7116 A-1-0-5-1-3</v>
          </cell>
          <cell r="B135">
            <v>76476800</v>
          </cell>
        </row>
        <row r="136">
          <cell r="A136" t="str">
            <v>7116 A-1-0-5-1-4</v>
          </cell>
          <cell r="B136">
            <v>111546400</v>
          </cell>
        </row>
        <row r="137">
          <cell r="A137" t="str">
            <v>7116 A-1-0-5-2-2</v>
          </cell>
          <cell r="B137">
            <v>111597577</v>
          </cell>
        </row>
        <row r="138">
          <cell r="A138" t="str">
            <v>7116 A-1-0-5-2-3</v>
          </cell>
          <cell r="B138">
            <v>80053281</v>
          </cell>
        </row>
        <row r="139">
          <cell r="A139" t="str">
            <v>7116 A-1-0-5-2-7</v>
          </cell>
          <cell r="B139">
            <v>6221072</v>
          </cell>
        </row>
        <row r="140">
          <cell r="A140" t="str">
            <v>7116 A-1-0-5-6</v>
          </cell>
          <cell r="B140">
            <v>42129500</v>
          </cell>
        </row>
        <row r="141">
          <cell r="A141" t="str">
            <v>7116 A-1-0-5-7</v>
          </cell>
          <cell r="B141">
            <v>7019600</v>
          </cell>
        </row>
        <row r="142">
          <cell r="A142" t="str">
            <v>7116 A-1-0-5-8</v>
          </cell>
          <cell r="B142">
            <v>7019600</v>
          </cell>
        </row>
        <row r="143">
          <cell r="A143" t="str">
            <v>7116 A-1-0-5-9</v>
          </cell>
          <cell r="B143">
            <v>14042900</v>
          </cell>
        </row>
        <row r="144">
          <cell r="A144" t="str">
            <v>716 A-2-0-4-1-8</v>
          </cell>
          <cell r="B144">
            <v>36000000</v>
          </cell>
        </row>
        <row r="145">
          <cell r="A145" t="str">
            <v>7216 A-3-5-1-1-0-2</v>
          </cell>
          <cell r="B145">
            <v>25773300</v>
          </cell>
        </row>
        <row r="146">
          <cell r="A146" t="str">
            <v>7316 A-1-0-2-100</v>
          </cell>
          <cell r="B146">
            <v>43200</v>
          </cell>
        </row>
        <row r="147">
          <cell r="A147" t="str">
            <v>7416 A-2-0-4-9-8</v>
          </cell>
          <cell r="B147">
            <v>2463538</v>
          </cell>
        </row>
        <row r="148">
          <cell r="A148" t="str">
            <v>7516 C-123-1000-4-0-0000000</v>
          </cell>
          <cell r="B148">
            <v>10000000</v>
          </cell>
        </row>
        <row r="149">
          <cell r="A149" t="str">
            <v>7616 C-123-1000-4-0-0000000</v>
          </cell>
          <cell r="B149">
            <v>3000000</v>
          </cell>
        </row>
        <row r="150">
          <cell r="A150" t="str">
            <v>7716 C-520-1000-10-0-0000000</v>
          </cell>
          <cell r="B150">
            <v>16400000</v>
          </cell>
        </row>
        <row r="151">
          <cell r="A151" t="str">
            <v>7816 C-520-1000-10-0-0000000</v>
          </cell>
          <cell r="B151">
            <v>8000000</v>
          </cell>
        </row>
        <row r="152">
          <cell r="A152" t="str">
            <v>7916 C-123-1000-4-0-0000000</v>
          </cell>
          <cell r="B152">
            <v>1700000</v>
          </cell>
        </row>
        <row r="153">
          <cell r="A153" t="str">
            <v>7916 C-520-1403-1</v>
          </cell>
          <cell r="B153">
            <v>1700000</v>
          </cell>
        </row>
        <row r="154">
          <cell r="A154" t="str">
            <v>8016 A-2-0-4-6-8</v>
          </cell>
          <cell r="B154">
            <v>2600000</v>
          </cell>
        </row>
        <row r="155">
          <cell r="A155" t="str">
            <v>8116 C-123-1000-4-0-0000000</v>
          </cell>
          <cell r="B155">
            <v>13000000</v>
          </cell>
        </row>
        <row r="156">
          <cell r="A156" t="str">
            <v>816 A-2-0-4-6-5</v>
          </cell>
          <cell r="B156">
            <v>527399361.66000003</v>
          </cell>
        </row>
        <row r="157">
          <cell r="A157" t="str">
            <v>8216 A-2-0-4-4-17</v>
          </cell>
          <cell r="B157">
            <v>299200</v>
          </cell>
        </row>
        <row r="158">
          <cell r="A158" t="str">
            <v>8216 A-2-0-4-4-18</v>
          </cell>
          <cell r="B158">
            <v>1267107</v>
          </cell>
        </row>
        <row r="159">
          <cell r="A159" t="str">
            <v>8216 A-2-0-4-4-21</v>
          </cell>
          <cell r="B159">
            <v>31220</v>
          </cell>
        </row>
        <row r="160">
          <cell r="A160" t="str">
            <v>8216 A-2-0-4-4-23</v>
          </cell>
          <cell r="B160">
            <v>272500</v>
          </cell>
        </row>
        <row r="161">
          <cell r="A161" t="str">
            <v>8216 A-2-0-4-5-1</v>
          </cell>
          <cell r="B161">
            <v>12000</v>
          </cell>
        </row>
        <row r="162">
          <cell r="A162" t="str">
            <v>8216 A-2-0-4-5-12</v>
          </cell>
          <cell r="B162">
            <v>66500</v>
          </cell>
        </row>
        <row r="163">
          <cell r="A163" t="str">
            <v>8216 A-2-0-4-5-2</v>
          </cell>
          <cell r="B163">
            <v>530000</v>
          </cell>
        </row>
        <row r="164">
          <cell r="A164" t="str">
            <v>8216 A-2-0-4-6-2</v>
          </cell>
          <cell r="B164">
            <v>22000</v>
          </cell>
        </row>
        <row r="165">
          <cell r="A165" t="str">
            <v>8216 A-2-0-4-6-7</v>
          </cell>
          <cell r="B165">
            <v>132700</v>
          </cell>
        </row>
        <row r="166">
          <cell r="A166" t="str">
            <v>8216 A-2-0-4-7-6</v>
          </cell>
          <cell r="B166">
            <v>64880</v>
          </cell>
        </row>
        <row r="167">
          <cell r="A167" t="str">
            <v>8316 C-123-1000-5</v>
          </cell>
          <cell r="B167">
            <v>8000000</v>
          </cell>
        </row>
        <row r="168">
          <cell r="A168" t="str">
            <v>8516 A-2-0-4-5-1</v>
          </cell>
          <cell r="B168">
            <v>550000</v>
          </cell>
        </row>
        <row r="169">
          <cell r="A169" t="str">
            <v>8616 A-2-0-4-5-5</v>
          </cell>
          <cell r="B169">
            <v>3750000</v>
          </cell>
        </row>
        <row r="170">
          <cell r="A170" t="str">
            <v>8816 C-520-1000-10-0-0000000</v>
          </cell>
          <cell r="B170">
            <v>219670546</v>
          </cell>
        </row>
        <row r="171">
          <cell r="A171" t="str">
            <v>8916 A-1-0-2-12</v>
          </cell>
          <cell r="B171">
            <v>14000000</v>
          </cell>
        </row>
        <row r="172">
          <cell r="A172" t="str">
            <v>9016 A-1-0-2-12</v>
          </cell>
          <cell r="B172">
            <v>14000000</v>
          </cell>
        </row>
        <row r="173">
          <cell r="A173" t="str">
            <v>9116 A-1-0-2-12</v>
          </cell>
          <cell r="B173">
            <v>17000000</v>
          </cell>
        </row>
        <row r="174">
          <cell r="A174" t="str">
            <v>916 A-2-0-4-5-5</v>
          </cell>
          <cell r="B174">
            <v>17933280</v>
          </cell>
        </row>
        <row r="175">
          <cell r="A175" t="str">
            <v>9216 A-1-0-2-12</v>
          </cell>
          <cell r="B175">
            <v>17000000</v>
          </cell>
        </row>
        <row r="176">
          <cell r="A176" t="str">
            <v>9316 C-123-1000-4-0-0000000</v>
          </cell>
          <cell r="B176">
            <v>17000000</v>
          </cell>
        </row>
        <row r="177">
          <cell r="A177" t="str">
            <v>9416 C-123-1000-4-0-0000000</v>
          </cell>
          <cell r="B177">
            <v>1500000</v>
          </cell>
        </row>
        <row r="178">
          <cell r="A178" t="str">
            <v>9516 C-123-1000-4-0-0000000</v>
          </cell>
          <cell r="B178">
            <v>1500000</v>
          </cell>
        </row>
        <row r="179">
          <cell r="A179" t="str">
            <v>9616 C-123-1000-4-0-0000000</v>
          </cell>
          <cell r="B179">
            <v>4000000</v>
          </cell>
        </row>
        <row r="180">
          <cell r="A180" t="str">
            <v>9716 C-123-1000-4-0-0000000</v>
          </cell>
          <cell r="B180">
            <v>4000000</v>
          </cell>
        </row>
        <row r="181">
          <cell r="A181" t="str">
            <v>9816 C-123-1000-4-0-0000000</v>
          </cell>
          <cell r="B181">
            <v>2300000</v>
          </cell>
        </row>
        <row r="182">
          <cell r="A182" t="str">
            <v>9916 C-123-1000-4-0-0000000</v>
          </cell>
          <cell r="B182">
            <v>2300000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yaksa\bdactiva\Users\jmartinez\AppData\Local\Microsoft\Windows\INetCache\Content.Outlook\IMF0U71H\TABLERO%20DE%20CONTROL%20EJECUCION%2002-06-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rlando Mateus Lopez" refreshedDate="42523.760166898152" createdVersion="4" refreshedVersion="4" minRefreshableVersion="3" recordCount="350">
  <cacheSource type="worksheet">
    <worksheetSource ref="B1:K351" sheet="DETALLE CDP" r:id="rId2"/>
  </cacheSource>
  <cacheFields count="10">
    <cacheField name="N. CDP" numFmtId="0">
      <sharedItems containsSemiMixedTypes="0" containsString="0" containsNumber="1" containsInteger="1" minValue="116" maxValue="22916"/>
    </cacheField>
    <cacheField name="FECHA" numFmtId="0">
      <sharedItems/>
    </cacheField>
    <cacheField name="TIPO DE GASTO" numFmtId="0">
      <sharedItems containsBlank="1" count="5">
        <s v="GASTOS GENERALES"/>
        <s v="INVERSION"/>
        <s v="GASTOS DE PERSONAL"/>
        <s v="TRANSFERENCIAS"/>
        <m u="1"/>
      </sharedItems>
    </cacheField>
    <cacheField name="RUBRO" numFmtId="49">
      <sharedItems count="116">
        <s v="A-2-0-4-5-10"/>
        <s v="A-2-0-4-5-8"/>
        <s v="A-2-0-4-6-2"/>
        <s v="A-2-0-4-5-1"/>
        <s v="A-2-0-4-5-5"/>
        <s v="A-2-0-4-6-5"/>
        <s v="A-2-0-4-1-8"/>
        <s v="A-2-0-4-4-20"/>
        <s v="A-2-0-4-5-6"/>
        <s v="A-2-0-4-4-1"/>
        <s v="C-123-1000-4-0-0000000"/>
        <s v="C-520-1403-1"/>
        <s v="A-2-0-4-1-25"/>
        <s v="A-2-0-4-11-2"/>
        <s v="A-2-0-4-4-23"/>
        <s v="A-2-0-4-5-12"/>
        <s v="A-2-0-4-6-8"/>
        <s v="A-2-0-4-7-6"/>
        <s v="A-2-0-4-8-1"/>
        <s v="A-2-0-4-8-2"/>
        <s v="A-2-0-4-8-5"/>
        <s v="A-2-0-4-8-6"/>
        <s v="A-2-0-4-5-2"/>
        <s v="A-2-0-4-4-17"/>
        <s v="A-2-0-4-4-18"/>
        <s v="C-520-1000-10-0-0000000"/>
        <s v="A-2-0-4-10-2"/>
        <s v="A-1-0-2-12"/>
        <s v="C-520-1000-10-0-1010101"/>
        <s v="C-520-1000-10-0-1010102"/>
        <s v="C-520-1000-10-0-1010104"/>
        <s v="C-520-1000-10-0-1010502"/>
        <s v="C-520-1000-10-0-1010505"/>
        <s v="C-520-1000-10-0-1010514"/>
        <s v="C-520-1000-10-0-1010515"/>
        <s v="C-520-1000-10-0-1010516"/>
        <s v="C-520-1000-10-0-1010547"/>
        <s v="C-520-1000-10-0-1010903"/>
        <s v="C-520-1000-10-0-1050101"/>
        <s v="C-520-1000-10-0-1050103"/>
        <s v="C-520-1000-10-0-1050104"/>
        <s v="C-520-1000-10-0-1050202"/>
        <s v="C-520-1000-10-0-1050203"/>
        <s v="C-520-1000-10-0-1050207"/>
        <s v="C-520-1000-10-0-1050600"/>
        <s v="C-520-1000-10-0-1050700"/>
        <s v="C-520-1000-10-0-1050800"/>
        <s v="C-520-1000-10-0-1050900"/>
        <s v="C-123-1000-4-0-1010101"/>
        <s v="C-123-1000-4-0-1010102"/>
        <s v="C-123-1000-4-0-1010104"/>
        <s v="C-123-1000-4-0-1010502"/>
        <s v="C-123-1000-4-0-1010505"/>
        <s v="C-123-1000-4-0-1010514"/>
        <s v="C-123-1000-4-0-1010515"/>
        <s v="C-123-1000-4-0-1010516"/>
        <s v="C-123-1000-4-0-1010903"/>
        <s v="C-123-1000-4-0-1050101"/>
        <s v="C-123-1000-4-0-1050103"/>
        <s v="C-123-1000-4-0-1050104"/>
        <s v="C-123-1000-4-0-1050202"/>
        <s v="C-123-1000-4-0-1050203"/>
        <s v="C-123-1000-4-0-1050207"/>
        <s v="C-123-1000-4-0-1050600"/>
        <s v="C-123-1000-4-0-1050700"/>
        <s v="C-123-1000-4-0-1050800"/>
        <s v="C-123-1000-4-0-1050900"/>
        <s v="A-1-0-1-1-1"/>
        <s v="A-1-0-1-1-2"/>
        <s v="A-1-0-1-1-4"/>
        <s v="A-1-0-1-4-1"/>
        <s v="A-1-0-1-4-2"/>
        <s v="A-1-0-1-5-1"/>
        <s v="A-1-0-1-5-12"/>
        <s v="A-1-0-1-5-13"/>
        <s v="A-1-0-1-5-14"/>
        <s v="A-1-0-1-5-15"/>
        <s v="A-1-0-1-5-16"/>
        <s v="A-1-0-1-5-19"/>
        <s v="A-1-0-1-5-2"/>
        <s v="A-1-0-1-5-47"/>
        <s v="A-1-0-1-5-5"/>
        <s v="A-1-0-1-5-92"/>
        <s v="A-1-0-1-9-1"/>
        <s v="A-1-0-1-9-3"/>
        <s v="A-1-0-5-1-1"/>
        <s v="A-1-0-5-1-3"/>
        <s v="A-1-0-5-1-4"/>
        <s v="A-1-0-5-2-2"/>
        <s v="A-1-0-5-2-3"/>
        <s v="A-1-0-5-2-6"/>
        <s v="A-1-0-5-2-7"/>
        <s v="A-1-0-5-6"/>
        <s v="A-1-0-5-7"/>
        <s v="A-1-0-5-8"/>
        <s v="A-1-0-5-9"/>
        <s v="A-3-5-1-1-0-2"/>
        <s v="A-1-0-2-100"/>
        <s v="A-2-0-4-9-8"/>
        <s v="A-2-0-4-4-21"/>
        <s v="A-2-0-4-6-7"/>
        <s v="C-123-1000-5"/>
        <s v="A-2-0-4-21-4"/>
        <s v="A-2-0-4-11-1"/>
        <s v="A-2-0-4-4-15"/>
        <s v="A-2-0-3-50-2"/>
        <s v="A-2-0-3-50-3"/>
        <s v="A-2-0-4-9-13"/>
        <s v="A-2-0-4-9-4"/>
        <s v="A-2-0-4-9-7"/>
        <s v="A-2-0-4-9-9"/>
        <s v="A-2-0-4-4-2"/>
        <s v="A-2-0-4-41-13"/>
        <s v="C-520-1000-11"/>
        <s v="A-2-0-4-4-6"/>
        <s v="A-2-0-4-1-26"/>
      </sharedItems>
    </cacheField>
    <cacheField name="DESCRIPCION" numFmtId="49">
      <sharedItems/>
    </cacheField>
    <cacheField name="CDP" numFmtId="44">
      <sharedItems containsSemiMixedTypes="0" containsString="0" containsNumber="1" minValue="4300" maxValue="6254728000"/>
    </cacheField>
    <cacheField name="COMPROMISO" numFmtId="44">
      <sharedItems containsSemiMixedTypes="0" containsString="0" containsNumber="1" minValue="0" maxValue="2761083251"/>
    </cacheField>
    <cacheField name="SALDO POR COMPROMETER" numFmtId="44">
      <sharedItems containsSemiMixedTypes="0" containsString="0" containsNumber="1" minValue="0" maxValue="3493644749"/>
    </cacheField>
    <cacheField name="OBSERVACION" numFmtId="0">
      <sharedItems/>
    </cacheField>
    <cacheField name="N. CONTRA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50">
  <r>
    <n v="116"/>
    <s v="2016-01-06"/>
    <x v="0"/>
    <x v="0"/>
    <s v="SERVICIO DE SEGURIDAD Y VIGILANCIA"/>
    <n v="203120528.22999999"/>
    <n v="203120528.22999999"/>
    <n v="0"/>
    <s v="Contrato de vigilancia 036"/>
    <s v="036"/>
  </r>
  <r>
    <n v="216"/>
    <s v="2016-01-06"/>
    <x v="0"/>
    <x v="1"/>
    <s v="SERVICIO DE ASEO"/>
    <n v="47449288"/>
    <n v="47449288"/>
    <n v="0"/>
    <s v="Prestar el servicio de aseo y cafetería en las instalaciones del DAFP"/>
    <s v="108-2014"/>
  </r>
  <r>
    <n v="316"/>
    <s v="2016-01-06"/>
    <x v="0"/>
    <x v="2"/>
    <s v="CORREO"/>
    <n v="80593030"/>
    <n v="80593030"/>
    <n v="0"/>
    <s v="Contrato 107 de 2014, Servicios Postales Nacionales."/>
    <s v="104-2014"/>
  </r>
  <r>
    <n v="416"/>
    <s v="2016-01-06"/>
    <x v="0"/>
    <x v="3"/>
    <s v="MANTENIMIENTO DE BIENES INMUEBLES"/>
    <n v="4678380"/>
    <n v="4678380"/>
    <n v="0"/>
    <s v="Prestar el servicio de mantenimiento preventivo y correctivo, incluido el suministro e instalación de repuestos de los dos ascensores."/>
    <s v="218-2015"/>
  </r>
  <r>
    <n v="516"/>
    <s v="2016-01-06"/>
    <x v="0"/>
    <x v="4"/>
    <s v="MANTENIMIENTO EQUIPO COMUNICACIONES Y COMPUTACION"/>
    <n v="5000000"/>
    <n v="5000000"/>
    <n v="0"/>
    <s v="Contratar la suscripcion al soporte y mantenimiento para el Sistema de Turnos Web de conformidad con las especificaciones."/>
    <s v="148-2015"/>
  </r>
  <r>
    <n v="616"/>
    <s v="2016-01-06"/>
    <x v="0"/>
    <x v="5"/>
    <s v="SERVICIOS DE TRANSMISION DE INFORMACION"/>
    <n v="97810166.670000002"/>
    <n v="97810166.670000002"/>
    <n v="0"/>
    <s v="Contrato 109 de 2014-Prestación de los servicios de canal de acceso dedicado a Internet, servicio de colocación y canal dedicado para el DAFP"/>
    <s v="109 de 2014"/>
  </r>
  <r>
    <n v="716"/>
    <s v="2016-01-06"/>
    <x v="0"/>
    <x v="6"/>
    <s v="SOFTWARE"/>
    <n v="36000000"/>
    <n v="36000000"/>
    <n v="0"/>
    <s v="Adquisición del Licenciamiento y soporte de la Herramienta de Antivirus AVIRA, de conformidad con las condiciones descritas en el Anexo de Especificaciones Técnicas."/>
    <s v="150-2015"/>
  </r>
  <r>
    <n v="816"/>
    <s v="2016-01-06"/>
    <x v="0"/>
    <x v="5"/>
    <s v="SERVICIOS DE TRANSMISION DE INFORMACION"/>
    <n v="527399361.66000003"/>
    <n v="527399361.66000003"/>
    <n v="0"/>
    <s v="Adquisición centro de datos-nube privada a través Colombia Compra Eficiente"/>
    <s v="113-2014"/>
  </r>
  <r>
    <n v="916"/>
    <s v="2016-01-06"/>
    <x v="0"/>
    <x v="4"/>
    <s v="MANTENIMIENTO EQUIPO COMUNICACIONES Y COMPUTACION"/>
    <n v="17933280"/>
    <n v="17933280"/>
    <n v="0"/>
    <s v="Soporte y mantenimiento de software y hardware del DAFP"/>
    <s v="114 de 2014"/>
  </r>
  <r>
    <n v="1016"/>
    <s v="2016-01-06"/>
    <x v="0"/>
    <x v="7"/>
    <s v="REPUESTOS"/>
    <n v="19462509"/>
    <n v="19462509"/>
    <n v="0"/>
    <s v="Adquirir el servicio de mantenimiento preventivo y correctivo, suministro e instalación de repuestos y mano de obra, para los vehículos del DAFP."/>
    <s v="122"/>
  </r>
  <r>
    <n v="1016"/>
    <s v="2016-01-06"/>
    <x v="0"/>
    <x v="8"/>
    <s v="MANTENIMIENTO EQUIPO DE NAVEGACION Y TRANSPORTE"/>
    <n v="15193282"/>
    <n v="15193282"/>
    <n v="0"/>
    <s v="Adquirir el servicio de mantenimiento preventivo y correctivo, suministro e instalación de repuestos y mano de obra, para los vehículos del DAFP."/>
    <s v="122"/>
  </r>
  <r>
    <n v="1116"/>
    <s v="2016-01-06"/>
    <x v="0"/>
    <x v="9"/>
    <s v="COMBUSTIBLE Y LUBRICANTES"/>
    <n v="37000000"/>
    <n v="37000000"/>
    <n v="0"/>
    <s v="Sumistrar en estaciones de servicio gasolina corriente para el funcionamiento de los Vehiculos por los cuales sea legalmente responsable la Funcion Publica."/>
    <s v="01-2016"/>
  </r>
  <r>
    <n v="1216"/>
    <s v="2016-01-06"/>
    <x v="1"/>
    <x v="10"/>
    <s v="MEJORAMIENTO FORTALECIMIENTO DE LA CAPACIDAD INSTITUCIONAL PARA EL DESARROLLO DE LAS POLITICAS PUBLICAS NACIONAL"/>
    <n v="26670000"/>
    <n v="26670000"/>
    <n v="0"/>
    <s v="Prestar Servicios Profesionales para apoyar la definicion de planes y actividades a adelantar por la Funcion Publica para la implementacion de la estrategia de Enlace Estado-Ciudadano en los temas relacionados con Transparencia durante el 2016."/>
    <s v="002-2016"/>
  </r>
  <r>
    <n v="1316"/>
    <s v="2016-01-06"/>
    <x v="1"/>
    <x v="10"/>
    <s v="MEJORAMIENTO FORTALECIMIENTO DE LA CAPACIDAD INSTITUCIONAL PARA EL DESARROLLO DE LAS POLITICAS PUBLICAS NACIONAL"/>
    <n v="6180000"/>
    <n v="6180000"/>
    <n v="0"/>
    <s v="Prestar los Servicios Profesionales para fortalecer la Presencia de la Funcion Publica en las Redes Sociales en el Marco del Proyecto de Inversion"/>
    <s v="013-2016"/>
  </r>
  <r>
    <n v="1416"/>
    <s v="2016-01-06"/>
    <x v="1"/>
    <x v="10"/>
    <s v="MEJORAMIENTO FORTALECIMIENTO DE LA CAPACIDAD INSTITUCIONAL PARA EL DESARROLLO DE LAS POLITICAS PUBLICAS NACIONAL"/>
    <n v="11000000"/>
    <n v="11000000"/>
    <n v="0"/>
    <s v="Prestar los Servicios Profesionales para apoyar el diseño y la implementación de la segunda fase de la estrategia de pedagogía y construcción de paz en la Administración Publica en el Marco del Proyecto de Inversión"/>
    <s v="006-2016"/>
  </r>
  <r>
    <n v="1516"/>
    <s v="2016-01-06"/>
    <x v="1"/>
    <x v="10"/>
    <s v="MEJORAMIENTO FORTALECIMIENTO DE LA CAPACIDAD INSTITUCIONAL PARA EL DESARROLLO DE LAS POLITICAS PUBLICAS NACIONAL"/>
    <n v="12000000"/>
    <n v="12000000"/>
    <n v="0"/>
    <s v="Prestar los Servicios Profesionales para apoyar el diseño y validacion de una metodologia de asistencia tecnica a entidades nacionales y territoriales para la implementación de la estrategia de Enlace Estado-Ciudadano del Departamento Administrativo"/>
    <s v="029-2016"/>
  </r>
  <r>
    <n v="16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4-2016"/>
  </r>
  <r>
    <n v="1616"/>
    <s v="2016-01-06"/>
    <x v="1"/>
    <x v="11"/>
    <s v="DESARROLLO CAPACIDAD INSTITUCIONAL DE LAS ENTIDADES PÚBLICAS DEL ORDEN TERRITORIAL"/>
    <n v="1333333"/>
    <n v="1333333"/>
    <n v="0"/>
    <s v="Prestar los Servicios Profesionales en el Grupo de Gestión Contractual, para apoyar jurídicamente los procesos de contratación en el marco del proyecto de Inversión."/>
    <s v="004-2016"/>
  </r>
  <r>
    <n v="1816"/>
    <s v="2016-01-06"/>
    <x v="1"/>
    <x v="10"/>
    <s v="MEJORAMIENTO FORTALECIMIENTO DE LA CAPACIDAD INSTITUCIONAL PARA EL DESARROLLO DE LAS POLITICAS PUBLICAS NACIONAL"/>
    <n v="10000000"/>
    <n v="10000000"/>
    <n v="0"/>
    <s v="Prestar los Servicios Profesionales para apoyar el diseño y la implementación de la segunda fase de la estrategia de pedagogía y construcción de paz en la Administración Publica en el Marco del Proyecto de Inversión"/>
    <s v="007-2016"/>
  </r>
  <r>
    <n v="19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3-2016"/>
  </r>
  <r>
    <n v="1916"/>
    <s v="2016-01-06"/>
    <x v="1"/>
    <x v="11"/>
    <s v="DESARROLLO CAPACIDAD INSTITUCIONAL DE LAS ENTIDADES PÚBLICAS DEL ORDEN TERRITORIAL"/>
    <n v="6666667"/>
    <n v="6666667"/>
    <n v="0"/>
    <s v="Prestar los Servicios Profesionales en el Grupo de Gestión Contractual, para apoyar jurídicamente los procesos de contratación en el marco del proyecto de Inversión."/>
    <s v="003-2016"/>
  </r>
  <r>
    <n v="2016"/>
    <s v="2016-01-06"/>
    <x v="1"/>
    <x v="10"/>
    <s v="MEJORAMIENTO FORTALECIMIENTO DE LA CAPACIDAD INSTITUCIONAL PARA EL DESARROLLO DE LAS POLITICAS PUBLICAS NACIONAL"/>
    <n v="4600000"/>
    <n v="4600000"/>
    <n v="0"/>
    <s v="Prestar los Servicios Profesionales para apoyar el proceso de elaboración del Plan de Acción Institucional 2016 en los temas relacionados con: Participación y Servicio al Ciudadano."/>
    <s v="014-2016"/>
  </r>
  <r>
    <n v="2316"/>
    <s v="2016-01-06"/>
    <x v="1"/>
    <x v="11"/>
    <s v="DESARROLLO CAPACIDAD INSTITUCIONAL DE LAS ENTIDADES PÚBLICAS DEL ORDEN TERRITORIAL"/>
    <n v="10300000"/>
    <n v="10300000"/>
    <n v="0"/>
    <s v="Prestar los Servicios Profesionales para apoyar la implementación de la estrategia de comunicaciones externa y territorial del DAFP en el marco del Proyecto de Inversion"/>
    <s v="008-2016"/>
  </r>
  <r>
    <n v="2516"/>
    <s v="2016-01-06"/>
    <x v="1"/>
    <x v="10"/>
    <s v="MEJORAMIENTO FORTALECIMIENTO DE LA CAPACIDAD INSTITUCIONAL PARA EL DESARROLLO DE LAS POLITICAS PUBLICAS NACIONAL"/>
    <n v="6180000"/>
    <n v="6180000"/>
    <n v="0"/>
    <s v="Prestar los Servicios Profesionales para apoyar la estrategia de comunicaciones con los Servidores publicos a traves de Comunicaciones directas entre el DAFP y las Entidades Estatales, en el marco del Proyecto de Inversion."/>
    <s v="009-2016"/>
  </r>
  <r>
    <n v="2716"/>
    <s v="2016-01-06"/>
    <x v="1"/>
    <x v="10"/>
    <s v="MEJORAMIENTO FORTALECIMIENTO DE LA CAPACIDAD INSTITUCIONAL PARA EL DESARROLLO DE LAS POLITICAS PUBLICAS NACIONAL"/>
    <n v="19000000"/>
    <n v="19000000"/>
    <n v="0"/>
    <s v="Servicios Profesionales para aplicar una estrategia de Comunicaciones a Servidores Públicos, en el marco del proyecto de Inversión."/>
    <s v="005-2016"/>
  </r>
  <r>
    <n v="2816"/>
    <s v="2016-01-07"/>
    <x v="0"/>
    <x v="12"/>
    <s v="OTRAS COMPRAS DE EQUIPOS"/>
    <n v="600000"/>
    <n v="600000"/>
    <n v="0"/>
    <s v="Compromiso Caja Menor 01 de 2016, según resolución 16 de 07-01-2015"/>
    <s v="16"/>
  </r>
  <r>
    <n v="2816"/>
    <s v="2016-01-07"/>
    <x v="0"/>
    <x v="13"/>
    <s v="VIATICOS Y GASTOS DE VIAJE AL INTERIOR"/>
    <n v="5000000"/>
    <n v="5000000"/>
    <n v="0"/>
    <s v="Compromiso Caja Menor 01 de 2016, según resolución 16 de 07-01-2015"/>
    <s v="16"/>
  </r>
  <r>
    <n v="2816"/>
    <s v="2016-01-07"/>
    <x v="0"/>
    <x v="14"/>
    <s v="OTROS MATERIALES Y SUMINISTROS"/>
    <n v="4000000"/>
    <n v="4000000"/>
    <n v="0"/>
    <s v="Compromiso Caja Menor 01 de 2016, según resolución 16 de 07-01-2015"/>
    <s v="16"/>
  </r>
  <r>
    <n v="2816"/>
    <s v="2016-01-07"/>
    <x v="0"/>
    <x v="15"/>
    <s v="MANTENIMIENTO DE OTROS BIENES"/>
    <n v="1500000"/>
    <n v="1500000"/>
    <n v="0"/>
    <s v="Compromiso Caja Menor 01 de 2016, según resolución 16 de 07-01-2015"/>
    <s v="16"/>
  </r>
  <r>
    <n v="2816"/>
    <s v="2016-01-07"/>
    <x v="0"/>
    <x v="16"/>
    <s v="OTROS COMUNICACIONES Y TRANSPORTE"/>
    <n v="1500000"/>
    <n v="1500000"/>
    <n v="0"/>
    <s v="Compromiso Caja Menor 01 de 2016, según resolución 16 de 07-01-2015"/>
    <s v="16"/>
  </r>
  <r>
    <n v="2816"/>
    <s v="2016-01-07"/>
    <x v="0"/>
    <x v="17"/>
    <s v="OTROS GASTOS POR IMPRESOS Y PUBLICACIONES"/>
    <n v="800000"/>
    <n v="800000"/>
    <n v="0"/>
    <s v="Compromiso Caja Menor 01 de 2016, según resolución 16 de 07-01-2015"/>
    <s v="16"/>
  </r>
  <r>
    <n v="2916"/>
    <s v="2016-01-07"/>
    <x v="0"/>
    <x v="18"/>
    <s v="ACUEDUCTO ALCANTARILLADO Y ASEO"/>
    <n v="10200000"/>
    <n v="2625388"/>
    <n v="7574612"/>
    <s v="Pago servicio de acueducto y alcantarillado, periodo facturado 26 de noviembre de 2015 a 22 de enero de 2016."/>
    <s v="4231222615"/>
  </r>
  <r>
    <n v="3016"/>
    <s v="2016-01-07"/>
    <x v="0"/>
    <x v="19"/>
    <s v="ENERGIA"/>
    <n v="99000000"/>
    <n v="44358420"/>
    <n v="54641580"/>
    <s v="Servicio de energía por el período del 01 Dic. 2015 a 05 Enero 2016."/>
    <s v="417088679-5"/>
  </r>
  <r>
    <n v="3116"/>
    <s v="2016-01-07"/>
    <x v="0"/>
    <x v="20"/>
    <s v="TELEFONIA MOVIL CELULAR"/>
    <n v="25200000"/>
    <n v="8392466"/>
    <n v="16807534"/>
    <s v="Servicio telefonía móvil del 01 enero 2016 a 31 enero 2016"/>
    <s v="FCM3075206"/>
  </r>
  <r>
    <n v="3216"/>
    <s v="2016-01-07"/>
    <x v="0"/>
    <x v="21"/>
    <s v="TELEFONO,FAX Y OTROS"/>
    <n v="104500000"/>
    <n v="55379991"/>
    <n v="49120009"/>
    <s v="Pago servicio telefónico, periodo facturado diciembre de 2015."/>
    <s v="55808-00000016877245"/>
  </r>
  <r>
    <n v="3316"/>
    <s v="2016-01-07"/>
    <x v="0"/>
    <x v="7"/>
    <s v="REPUESTOS"/>
    <n v="1350000"/>
    <n v="1350000"/>
    <n v="0"/>
    <s v="Prestar el servicio de mantenimiento preventivo y correctivo a los equipos y sistemas hidrosanitarios y complementarios del Edificio sede, de la Función Publica de acuerdo con las condiciones técnicas establecidas en el contrato"/>
    <s v="075-2016"/>
  </r>
  <r>
    <n v="3316"/>
    <s v="2016-01-07"/>
    <x v="0"/>
    <x v="22"/>
    <s v="MANTENIMIENTO DE BIENES MUEBLES, EQUIPOS Y ENSERES"/>
    <n v="8100000"/>
    <n v="8100000"/>
    <n v="0"/>
    <s v="Prestar el servicio de mantenimiento preventivo y correctivo a los equipos y sistemas hidrosanitarios y complementarios del Edificio sede, de la Función Publica de acuerdo con las condiciones técnicas establecidas en el contrato"/>
    <s v="075-2016"/>
  </r>
  <r>
    <n v="3516"/>
    <s v="2016-01-07"/>
    <x v="0"/>
    <x v="23"/>
    <s v="PRODUCTOS DE ASEO Y LIMPIEZA"/>
    <n v="3101205"/>
    <n v="3101205"/>
    <n v="0"/>
    <s v="Adquirir los elementos de aseo y cafetería necesarios para el normal funcionamiento de la entidad, según las especificaciones mínimas establecidas en el anexo técnico."/>
    <s v="Cto. 043 del 28 Enero 2016"/>
  </r>
  <r>
    <n v="3516"/>
    <s v="2016-01-07"/>
    <x v="0"/>
    <x v="24"/>
    <s v="PRODUCTOS DE CAFETERIA Y RESTAURANTE"/>
    <n v="5740453"/>
    <n v="5740453"/>
    <n v="0"/>
    <s v="Adquirir los elementos de aseo y cafetería necesarios para el normal funcionamiento de la entidad, según las especificaciones mínimas establecidas en el anexo técnico."/>
    <s v="Cto. 043 del 28 Enero 2016"/>
  </r>
  <r>
    <n v="3616"/>
    <s v="2016-01-07"/>
    <x v="1"/>
    <x v="10"/>
    <s v="MEJORAMIENTO FORTALECIMIENTO DE LA CAPACIDAD INSTITUCIONAL PARA EL DESARROLLO DE LAS POLITICAS PUBLICAS NACIONAL"/>
    <n v="20000000"/>
    <n v="20000000"/>
    <n v="0"/>
    <s v="Prestar los Servicios Profesionales para apoyar la planeación y formulación de los Proyectos planes y programas que estén a cargo de la Subdirección y de la Direcciones Técnicas en el marco del Proyecto de Inversión."/>
    <s v="010-2016"/>
  </r>
  <r>
    <n v="3716"/>
    <s v="2016-01-07"/>
    <x v="1"/>
    <x v="10"/>
    <s v="MEJORAMIENTO FORTALECIMIENTO DE LA CAPACIDAD INSTITUCIONAL PARA EL DESARROLLO DE LAS POLITICAS PUBLICAS NACIONAL"/>
    <n v="15270000"/>
    <n v="15270000"/>
    <n v="0"/>
    <s v="Prestar los Servicios Profesionales para apoyar la planeación y puesta en marcha de los objetivos y estrategias esbozadas en el capitulo de Buen Gobierno del Plan Nacional de Desarrollo en el marco del Proyecto de Inversión."/>
    <s v="012-2016"/>
  </r>
  <r>
    <n v="3816"/>
    <s v="2016-01-08"/>
    <x v="1"/>
    <x v="10"/>
    <s v="MEJORAMIENTO FORTALECIMIENTO DE LA CAPACIDAD INSTITUCIONAL PARA EL DESARROLLO DE LAS POLITICAS PUBLICAS NACIONAL"/>
    <n v="5000000"/>
    <n v="5000000"/>
    <n v="0"/>
    <s v="Prestar los servicios profesionales en la Direc. Gral. del DAFP, para apoyar el desarrollo del modelo de Invest. de la Función Pública e implementación del modelo Gestión del Conoc. en el marco del proyecto 123 1000 4."/>
    <s v="Cto. 015 del 15 Enero 2016"/>
  </r>
  <r>
    <n v="3916"/>
    <s v="2016-01-08"/>
    <x v="1"/>
    <x v="25"/>
    <s v="MEJORAMIENTO DE LA GESTION DE LAS POLITICAS PUBLICAS A TRAVES DE LAS TECNOLOGIAS DE INFORMACION TICS"/>
    <n v="40250000"/>
    <n v="40250000"/>
    <n v="0"/>
    <s v="Prestar los servicios profesionales para apoyar la ejecución de las actividades y tareas tendientes a la adquisición de bienes y contratación de servicios de Tecnologías de la Información para la Entidad en el marco del Proyecto de Inversión"/>
    <s v="022-2016"/>
  </r>
  <r>
    <n v="4016"/>
    <s v="2016-01-08"/>
    <x v="1"/>
    <x v="25"/>
    <s v="MEJORAMIENTO DE LA GESTION DE LAS POLITICAS PUBLICAS A TRAVES DE LAS TECNOLOGIAS DE INFORMACION TICS"/>
    <n v="71300000"/>
    <n v="71300000"/>
    <n v="0"/>
    <s v="Prestar los servicios profesionales para apoyar el proceso de Administracion de la Tecnologia Informática, en el desarrollo, optimización, mejoramiento, actualización , monitoreo y mantenimiento de los Sistemas en el marco del Proyecto de Inversión"/>
    <s v="025-2016"/>
  </r>
  <r>
    <n v="4116"/>
    <s v="2016-01-08"/>
    <x v="1"/>
    <x v="25"/>
    <s v="MEJORAMIENTO DE LA GESTION DE LAS POLITICAS PUBLICAS A TRAVES DE LAS TECNOLOGIAS DE INFORMACION TICS"/>
    <n v="71300000"/>
    <n v="71300000"/>
    <n v="0"/>
    <s v="Serv. Profes. para apoyar el Proceso de la Admon.de la Tec. Informática , desarrollo, Optimiz., actualiz., monitoreo y Mantto. de los Sistemas de Inform., y Portales del DAFP en el marco del proyecto de Inversión."/>
    <s v="Cto. 026 del 18 Enero 2016"/>
  </r>
  <r>
    <n v="4216"/>
    <s v="2016-01-08"/>
    <x v="1"/>
    <x v="25"/>
    <s v="MEJORAMIENTO DE LA GESTION DE LAS POLITICAS PUBLICAS A TRAVES DE LAS TECNOLOGIAS DE INFORMACION TICS"/>
    <n v="71300000"/>
    <n v="71300000"/>
    <n v="0"/>
    <s v="Prestar los servicios profesionales para para apoyar el proceso de la Tecnología Información, en el desarrollo, optimización, mejoramiento, actualización de herramientas, que permitan la visualización en el marco del Proyecto de Inversión"/>
    <s v="021-2016"/>
  </r>
  <r>
    <n v="4316"/>
    <s v="2016-01-08"/>
    <x v="1"/>
    <x v="25"/>
    <s v="MEJORAMIENTO DE LA GESTION DE LAS POLITICAS PUBLICAS A TRAVES DE LAS TECNOLOGIAS DE INFORMACION TICS"/>
    <n v="71300000"/>
    <n v="71300000"/>
    <n v="0"/>
    <s v="Serv Profes para apoyar el Proceso de Admón de la Tecnol Informática en el desarrollo, Optimiz, Mejoram, Actuliz, Monitoreo y Mantto de los Sistemas de Inform y Gestión teniendo en cuenta los lineam de Gobierno en Línea en el marco del proyecto Inver"/>
    <s v="Cto. 027 del 18 Enero 2016"/>
  </r>
  <r>
    <n v="4416"/>
    <s v="2016-01-08"/>
    <x v="1"/>
    <x v="25"/>
    <s v="MEJORAMIENTO DE LA GESTION DE LAS POLITICAS PUBLICAS A TRAVES DE LAS TECNOLOGIAS DE INFORMACION TICS"/>
    <n v="20000000"/>
    <n v="20000000"/>
    <n v="0"/>
    <s v="Prestar los servicios profesionales para realizar los ajustes y actualizaciones en el diseño de Gestor Normativo y del Micrositio denominado EVA del DAFP con cargo al Proyecto de Inversión"/>
    <s v="040-2016"/>
  </r>
  <r>
    <n v="4516"/>
    <s v="2016-01-08"/>
    <x v="1"/>
    <x v="25"/>
    <s v="MEJORAMIENTO DE LA GESTION DE LAS POLITICAS PUBLICAS A TRAVES DE LAS TECNOLOGIAS DE INFORMACION TICS"/>
    <n v="24800000"/>
    <n v="24800000"/>
    <n v="0"/>
    <s v="Prestar los servicios profesionales para la actualizacion, soporte y monitoreo del procedimiento de construccion y mantenimiento del Micrositio Web, denominado EVA del DAFP en el marco del Proyecto de Inversión"/>
    <s v="023-2016"/>
  </r>
  <r>
    <n v="4616"/>
    <s v="2016-01-08"/>
    <x v="1"/>
    <x v="25"/>
    <s v="MEJORAMIENTO DE LA GESTION DE LAS POLITICAS PUBLICAS A TRAVES DE LAS TECNOLOGIAS DE INFORMACION TICS"/>
    <n v="24800000"/>
    <n v="24800000"/>
    <n v="0"/>
    <s v="Prestar los servicios profesionales para el mantenimiento, actualizacion, soporte y monitoreo del Micrositio Web, denominado EVA del DAFP teniendo en cuenta los Lineamientos de Gobierno en Linea con cargo al Proyecto de Inversión"/>
    <s v="024-2016"/>
  </r>
  <r>
    <n v="4716"/>
    <s v="2016-01-13"/>
    <x v="0"/>
    <x v="26"/>
    <s v="ARRENDAMIENTOS BIENES INMUEBLES"/>
    <n v="5900000"/>
    <n v="2359980"/>
    <n v="3540020"/>
    <s v="Servicio de parqueadero correspondiente a los meses de Febrero y Marzo de 2016."/>
    <s v="29 del 14 Enero 2016"/>
  </r>
  <r>
    <n v="4816"/>
    <s v="2016-01-13"/>
    <x v="1"/>
    <x v="10"/>
    <s v="MEJORAMIENTO FORTALECIMIENTO DE LA CAPACIDAD INSTITUCIONAL PARA EL DESARROLLO DE LAS POLITICAS PUBLICAS NACIONAL"/>
    <n v="6000000"/>
    <n v="6000000"/>
    <n v="0"/>
    <s v="Servic. Profes. en la Dirección para apoyar la gestión de actividades relacionadas con los componentes de visibilidad, Coop. Técnica y Financ. , contemplados en la Estrategia Gestion Intern. en el marco del proyecto 123 1000 4"/>
    <s v="Cto. 016 del 15 Enero 2016"/>
  </r>
  <r>
    <n v="4916"/>
    <s v="2016-01-13"/>
    <x v="1"/>
    <x v="10"/>
    <s v="MEJORAMIENTO FORTALECIMIENTO DE LA CAPACIDAD INSTITUCIONAL PARA EL DESARROLLO DE LAS POLITICAS PUBLICAS NACIONAL"/>
    <n v="6000000"/>
    <n v="6000000"/>
    <n v="0"/>
    <s v=". Profes. en la Subdirección para apoyar la planeación, producción de reportes e informes, sobre la propuesta del Modelo Serv. al Ciudadano, Estrategia Rac. de Trámites y Espacio Virtual en el marco del proyecto 123 1000 4."/>
    <s v="Cto. 017 del 15 Enero 2016"/>
  </r>
  <r>
    <n v="5016"/>
    <s v="2016-01-13"/>
    <x v="1"/>
    <x v="11"/>
    <s v="DESARROLLO CAPACIDAD INSTITUCIONAL DE LAS ENTIDADES PÚBLICAS DEL ORDEN TERRITORIAL"/>
    <n v="8000000"/>
    <n v="8000000"/>
    <n v="0"/>
    <s v="Prestar Servicios profesionales en la Subdirección, para apoyar la elaboración del plan de acción para la implementación de la Estrategia de Gestión Territorial, en el marco del proyecto de Inversión 520 1403 1."/>
    <s v="Cto. 035 del 25 Enero 2016"/>
  </r>
  <r>
    <n v="5116"/>
    <s v="2016-01-13"/>
    <x v="1"/>
    <x v="10"/>
    <s v="MEJORAMIENTO FORTALECIMIENTO DE LA CAPACIDAD INSTITUCIONAL PARA EL DESARROLLO DE LAS POLITICAS PUBLICAS NACIONAL"/>
    <n v="12400000"/>
    <n v="12400000"/>
    <n v="0"/>
    <s v="Prestar los servicios profesionales en la Dirección, para apoyar la ejecución del Proyecto &quot;Diversidad i Inclusión en el Empleo Público, en el marco del Proyecto de Inversión 123 1000 4."/>
    <s v="Cto. 034 del 25 Enero 2016"/>
  </r>
  <r>
    <n v="5216"/>
    <s v="2016-01-13"/>
    <x v="1"/>
    <x v="10"/>
    <s v="MEJORAMIENTO FORTALECIMIENTO DE LA CAPACIDAD INSTITUCIONAL PARA EL DESARROLLO DE LAS POLITICAS PUBLICAS NACIONAL"/>
    <n v="3400000"/>
    <n v="3400000"/>
    <n v="0"/>
    <s v="Servicios de Apoyo a la Gestión en el DAFP, en la articulación de las actividades encaminadas a fortalecer las políticas públicas del sector, en el marco del proyecto 123 1000 4."/>
    <s v="Cto. 018 del 15 Enero 2016"/>
  </r>
  <r>
    <n v="5316"/>
    <s v="2016-01-13"/>
    <x v="1"/>
    <x v="10"/>
    <s v="MEJORAMIENTO FORTALECIMIENTO DE LA CAPACIDAD INSTITUCIONAL PARA EL DESARROLLO DE LAS POLITICAS PUBLICAS NACIONAL"/>
    <n v="14000000"/>
    <n v="14000000"/>
    <n v="0"/>
    <s v="Servicios Profesionales en la Función Pública, para apoyar la ejecución del Proyecto Estrategia de Cambio Cultural en el marco del proyecto 123 1000 4."/>
    <s v="Cto. 019 del 15 de Enero 2016"/>
  </r>
  <r>
    <n v="5416"/>
    <s v="2016-01-14"/>
    <x v="2"/>
    <x v="27"/>
    <s v="HONORARIOS"/>
    <n v="11552200"/>
    <n v="11552200"/>
    <n v="0"/>
    <s v="Servicios de vigilancia, seguimiento y control de los procesos adelantados en los diferentes despachos judiciales a nivel Nal. diferentes a la ciudad de Bogotá D.C., en los que es parte la Función Pública y lo que inicien durante la ejec. del Cto."/>
    <s v="Cto. 042 del 28 Enero 2016"/>
  </r>
  <r>
    <n v="5516"/>
    <s v="2016-01-14"/>
    <x v="1"/>
    <x v="28"/>
    <s v="SUELDOS"/>
    <n v="671710735"/>
    <n v="227514064"/>
    <n v="444196671"/>
    <s v="CON EL FIN DE DAR CUMPLIMIENTO A LOS COMPROMISOS DE GASTO DE PERSONAL, CORRESPONDIENTES A LA NOMINA DE LA PLANTA TEMPORAL PROGRAMA 520 SUBPROGRAMA 1000 PROYECTO 10 TICS DEL MES DE ENERO DE 2016"/>
    <s v="01-2016"/>
  </r>
  <r>
    <n v="5516"/>
    <s v="2016-01-14"/>
    <x v="1"/>
    <x v="29"/>
    <s v="SUELDOS DE VACACIONES"/>
    <n v="25000000"/>
    <n v="23711931"/>
    <n v="1288069"/>
    <s v="CON EL FIN DE DAR CUMPLIMIENTO A LOS COMPROMISOS DE GASTO DE PERSONAL, CORRESPONDIENTES A LA NOMINA DE LA PLANTA TEMPORAL PROGRAMA 520 SUBPROGRAMA 1000 PROYECTO 10 TICS DEL MES DE ENERO DE 2016"/>
    <s v="01-2016"/>
  </r>
  <r>
    <n v="5516"/>
    <s v="2016-01-14"/>
    <x v="1"/>
    <x v="30"/>
    <s v="INCAPACIDADES Y LICENCIAS DE MATERNIDAD"/>
    <n v="3200000"/>
    <n v="712304"/>
    <n v="2487696"/>
    <s v="CON EL FIN DE DAR CUMPLIMIENTO A LOS COMPROMISOS DE GASTO DE PERSONAL, CORRESPONDIENTES A LA NOMINA DE LA PLANTA TEMPORAL PROGRAMA 520 SUBPROGRAMA 1000 PROYECTO 10 TICS DEL MES DE ENERO DE 2016"/>
    <s v="01-2016"/>
  </r>
  <r>
    <n v="5516"/>
    <s v="2016-01-14"/>
    <x v="1"/>
    <x v="31"/>
    <s v="BONIFICACION POR SERVICIOS PRESTADOS"/>
    <n v="31134624"/>
    <n v="10155578"/>
    <n v="20979046"/>
    <s v="CON EL FIN DE DAR CUMPLIMIENTO A LOS COMPROMISOS DE GASTO DE PERSONAL, CORRESPONDIENTES A LA NOMINA DE LA PLANTA TEMPORAL PROGRAMA 520 SUBPROGRAMA 1000 PROYECTO 10 TICS DEL MES DE ENERO DE 2016"/>
    <s v="01-2016"/>
  </r>
  <r>
    <n v="5516"/>
    <s v="2016-01-14"/>
    <x v="1"/>
    <x v="32"/>
    <s v="BONIFICACION ESPECIAL DE RECREACION"/>
    <n v="5732117"/>
    <n v="2165480"/>
    <n v="3566637"/>
    <s v="CON EL FIN DE DAR CUMPLIMIENTO A LOS COMPROMISOS DE GASTO DE PERSONAL, CORRESPONDIENTES A LA NOMINA DE LA PLANTA TEMPORAL PROGRAMA 520 SUBPROGRAMA 1000 PROYECTO 10 TICS DEL MES DE ENERO DE 2016"/>
    <s v="01-2016"/>
  </r>
  <r>
    <n v="5516"/>
    <s v="2016-01-14"/>
    <x v="1"/>
    <x v="33"/>
    <s v="PRIMA DE SERVICIO"/>
    <n v="40566460"/>
    <n v="1554177"/>
    <n v="39012283"/>
    <s v="Reconocer y ordenar el pago de Gastos de Personal de la ex servidora del Departamento Administrativo de la Función Pública, ANGELA PILAR PAREJA GARZON"/>
    <s v="239-2016"/>
  </r>
  <r>
    <n v="5516"/>
    <s v="2016-01-14"/>
    <x v="1"/>
    <x v="34"/>
    <s v="PRIMA DE VACACIONES"/>
    <n v="47422274"/>
    <n v="17148613"/>
    <n v="30273661"/>
    <s v="CON EL FIN DE DAR CUMPLIMIENTO A LOS COMPROMISOS DE GASTO DE PERSONAL, CORRESPONDIENTES A LA NOMINA DE LA PLANTA TEMPORAL PROGRAMA 520 SUBPROGRAMA 1000 PROYECTO 10 TICS DEL MES DE ENERO DE 2016"/>
    <s v="01-2016"/>
  </r>
  <r>
    <n v="5516"/>
    <s v="2016-01-14"/>
    <x v="1"/>
    <x v="35"/>
    <s v="PRIMA DE NAVIDAD"/>
    <n v="69938878"/>
    <n v="1116332"/>
    <n v="68822546"/>
    <s v="Reconocer y ordenar el pago de Gastos de Personal de la ex servidora del Departamento Administrativo de la Función Pública, ANGELA PILAR PAREJA GARZON"/>
    <s v="239-2016"/>
  </r>
  <r>
    <n v="5516"/>
    <s v="2016-01-14"/>
    <x v="1"/>
    <x v="36"/>
    <s v="PRIMA DE COORDINACION"/>
    <n v="24983819"/>
    <n v="10399628"/>
    <n v="14584191"/>
    <s v="CON EL FIN DE DAR CUMPLIMIENTO A LOS COMPROMISOS DE GASTO DE PERSONAL, CORRESPONDIENTES A LA NOMINA DE LA PLANTA TEMPORAL PROGRAMA 520 SUBPROGRAMA 1000 PROYECTO 10 TICS DEL MES DE ENERO DE 2016"/>
    <s v="01-2016"/>
  </r>
  <r>
    <n v="5516"/>
    <s v="2016-01-14"/>
    <x v="1"/>
    <x v="37"/>
    <s v="INDEMNIZACION POR VACACIONES"/>
    <n v="33000000"/>
    <n v="147797"/>
    <n v="32852203"/>
    <s v="Reconocer y ordenar el pago de Gastos de Personal de la ex servidora del Departamento Administrativo de la Función Pública, ANGELA PILAR PAREJA GARZON"/>
    <s v="239-2016"/>
  </r>
  <r>
    <n v="5516"/>
    <s v="2016-01-14"/>
    <x v="1"/>
    <x v="38"/>
    <s v="CAJAS DE COMPENSACION PRIVADAS"/>
    <n v="33570661"/>
    <n v="11209400"/>
    <n v="22361261"/>
    <s v="Aportes de Ley y Parafiscales para nómina de la Planta Temporal del mes de ENERO de 2016."/>
    <s v="01-2016"/>
  </r>
  <r>
    <n v="5516"/>
    <s v="2016-01-14"/>
    <x v="1"/>
    <x v="39"/>
    <s v="FONDOS ADMINISTRADORES DE PENSIONES PRIVADOS"/>
    <n v="81153337"/>
    <n v="25973800"/>
    <n v="55179537"/>
    <s v="Aportes de Ley y Parafiscales para nómina de la Planta Temporal del mes de ENERO de 2016."/>
    <s v="01-2016"/>
  </r>
  <r>
    <n v="5516"/>
    <s v="2016-01-14"/>
    <x v="1"/>
    <x v="40"/>
    <s v="EMPRESAS PRIVADAS PROMOTORAS DE SALUD"/>
    <n v="63858613"/>
    <n v="20637000"/>
    <n v="43221613"/>
    <s v="Aportes de Ley y Parafiscales para nómina de la Planta Temporal del mes de ENERO de 2016."/>
    <s v="01-2016"/>
  </r>
  <r>
    <n v="5516"/>
    <s v="2016-01-14"/>
    <x v="1"/>
    <x v="41"/>
    <s v="FONDO NACIONAL DEL AHORRO"/>
    <n v="75767118"/>
    <n v="22046623"/>
    <n v="53720495"/>
    <s v="Aportes de Ley y Parafiscales para nómina de la Planta Temporal del mes de ENERO de 2016."/>
    <s v="01-2016"/>
  </r>
  <r>
    <n v="5516"/>
    <s v="2016-01-14"/>
    <x v="1"/>
    <x v="42"/>
    <s v="FONDOS ADMINISTRADORES DE PENSIONES PUBLICOS"/>
    <n v="9000000"/>
    <n v="3262600"/>
    <n v="5737400"/>
    <s v="Aportes de Ley y Parafiscales para nómina de la Planta Temporal del mes de ENERO de 2016."/>
    <s v="01-2016"/>
  </r>
  <r>
    <n v="5516"/>
    <s v="2016-01-14"/>
    <x v="1"/>
    <x v="43"/>
    <s v="ADMINISTRADORAS PUBLICAS DE APORTES PARA ACCIDENTES DE TRABAJO Y ENFERMEDADES PROFESIONALES"/>
    <n v="3921670"/>
    <n v="1241100"/>
    <n v="2680570"/>
    <s v="Aportes de Ley y Parafiscales para nómina de la Planta Temporal del mes de ENERO de 2016."/>
    <s v="01-2016"/>
  </r>
  <r>
    <n v="5516"/>
    <s v="2016-01-14"/>
    <x v="1"/>
    <x v="44"/>
    <s v="APORTES AL ICBF"/>
    <n v="25177996"/>
    <n v="8407500"/>
    <n v="16770496"/>
    <s v="Aportes de Ley y Parafiscales para nómina de la Planta Temporal del mes de ENERO de 2016."/>
    <s v="01-2016"/>
  </r>
  <r>
    <n v="5516"/>
    <s v="2016-01-14"/>
    <x v="1"/>
    <x v="45"/>
    <s v="APORTES AL SENA"/>
    <n v="4196333"/>
    <n v="1400700"/>
    <n v="2795633"/>
    <s v="Aportes de Ley y Parafiscales para nómina de la Planta Temporal del mes de ENERO de 2016."/>
    <s v="01-2016"/>
  </r>
  <r>
    <n v="5516"/>
    <s v="2016-01-14"/>
    <x v="1"/>
    <x v="46"/>
    <s v="APORTES A LA ESAP"/>
    <n v="4196333"/>
    <n v="1400700"/>
    <n v="2795633"/>
    <s v="Aportes de Ley y Parafiscales para nómina de la Planta Temporal del mes de ENERO de 2016."/>
    <s v="01-2016"/>
  </r>
  <r>
    <n v="5516"/>
    <s v="2016-01-14"/>
    <x v="1"/>
    <x v="47"/>
    <s v="APORTES A ESCUELAS INDUSTRIALES E INSTITUTOS TECNICOS"/>
    <n v="8392665"/>
    <n v="2801900"/>
    <n v="5590765"/>
    <s v="Aportes de Ley y Parafiscales para nómina de la Planta Temporal del mes de ENERO de 2016."/>
    <s v="01-2016"/>
  </r>
  <r>
    <n v="5616"/>
    <s v="2016-01-14"/>
    <x v="1"/>
    <x v="48"/>
    <s v="SUELDOS"/>
    <n v="1339578568"/>
    <n v="504767518"/>
    <n v="834811050"/>
    <s v="CON EL FIN DE DAR CUMPLIMIENTO A LOS COMPROMISOS DE GASTO DE PERSONAL, CORRESPONDIENTES A LA NOMINA DE LA PLANTA TEMPORAL PROGRAMA 123 SUBPROGRAMA 1000 PROYECTO 4 POLITICAS DEL MES DE ENERO DE 2016"/>
    <s v="01-2016"/>
  </r>
  <r>
    <n v="5616"/>
    <s v="2016-01-14"/>
    <x v="1"/>
    <x v="49"/>
    <s v="SUELDOS DE VACACIONES"/>
    <n v="80000000"/>
    <n v="29958462"/>
    <n v="50041538"/>
    <s v="CON EL FIN DE DAR CUMPLIMIENTO A LOS COMPROMISOS DE GASTO DE PERSONAL, CORRESPONDIENTES A LA NOMINA DE LA PLANTA TEMPORAL PROGRAMA 123 SUBPROGRAMA 1000 PROYECTO 4 POLITICAS DEL MES DE FEBRERO DE 2016"/>
    <s v="02-2016"/>
  </r>
  <r>
    <n v="5616"/>
    <s v="2016-01-14"/>
    <x v="1"/>
    <x v="50"/>
    <s v="INCAPACIDADES Y LICENCIAS DE MATERNIDAD"/>
    <n v="23500000"/>
    <n v="8191480"/>
    <n v="15308520"/>
    <s v="CON EL FIN DE DAR CUMPLIMIENTO A LOS COMPROMISOS DE GASTO DE PERSONAL, CORRESPONDIENTES A LA NOMINA DE LA PLANTA TEMPORAL PROGRAMA 123 SUBPROGRAMA 1000 PROYECTO 4 POLITICAS DEL MES DE ENERO DE 2016"/>
    <s v="01-2016"/>
  </r>
  <r>
    <n v="5616"/>
    <s v="2016-01-14"/>
    <x v="1"/>
    <x v="51"/>
    <s v="BONIFICACION POR SERVICIOS PRESTADOS"/>
    <n v="78310705"/>
    <n v="28606152"/>
    <n v="49704553"/>
    <s v="CON EL FIN DE DAR CUMPLIMIENTO A LOS COMPROMISOS DE GASTO DE PERSONAL, CORRESPONDIENTES A LA NOMINA DE LA PLANTA TEMPORAL PROGRAMA 123 SUBPROGRAMA 1000 PROYECTO 4 POLITICAS DEL MES DE ENERO DE 2016"/>
    <s v="01-2016"/>
  </r>
  <r>
    <n v="5616"/>
    <s v="2016-01-14"/>
    <x v="1"/>
    <x v="52"/>
    <s v="BONIFICACION ESPECIAL DE RECREACION"/>
    <n v="13795858"/>
    <n v="2904214"/>
    <n v="10891644"/>
    <s v="Reconocer y ordenar el pago de GASTOS DE PERSONAL de la ex servidora del Departamento de la Función Pública, BETHY LIZETH BARRERA CHAPARRO"/>
    <s v="34 de 2016"/>
  </r>
  <r>
    <n v="5616"/>
    <s v="2016-01-14"/>
    <x v="1"/>
    <x v="53"/>
    <s v="PRIMA DE SERVICIO"/>
    <n v="94788818"/>
    <n v="2286117"/>
    <n v="92502701"/>
    <s v="Reconocer y ordenar el pago de GASTOS DE PERSONAL de la ex servidora del Departamento de la Función Pública, BETHY LIZETH BARRERA CHAPARRO"/>
    <s v="34 de 2016"/>
  </r>
  <r>
    <n v="5616"/>
    <s v="2016-01-14"/>
    <x v="1"/>
    <x v="54"/>
    <s v="PRIMA DE VACACIONES"/>
    <n v="116035632"/>
    <n v="23198255"/>
    <n v="92837377"/>
    <s v="Reconocer y ordenar el pago de GASTOS DE PERSONAL de la ex servidora del Departamento de la Función Pública, BETHY LIZETH BARRERA CHAPARRO"/>
    <s v="34 de 2016"/>
  </r>
  <r>
    <n v="5616"/>
    <s v="2016-01-14"/>
    <x v="1"/>
    <x v="55"/>
    <s v="PRIMA DE NAVIDAD"/>
    <n v="145978901"/>
    <n v="583823"/>
    <n v="145395078"/>
    <s v="Reconocer y ordenar el pago de GASTOS DE PERSONAL de la ex servidora del Departamento de la Función Pública, BETHY LIZETH BARRERA CHAPARRO"/>
    <s v="34 de 2016"/>
  </r>
  <r>
    <n v="5616"/>
    <s v="2016-01-14"/>
    <x v="1"/>
    <x v="56"/>
    <s v="INDEMNIZACION POR VACACIONES"/>
    <n v="23000000"/>
    <n v="4618798"/>
    <n v="18381202"/>
    <s v="Reconocer y ordenar el pago de GASTOS DE PERSONAL de la ex servidora del Departamento de la Función Pública, BETHY LIZETH BARRERA CHAPARRO"/>
    <s v="34 de 2016"/>
  </r>
  <r>
    <n v="5616"/>
    <s v="2016-01-14"/>
    <x v="1"/>
    <x v="57"/>
    <s v="CAJAS DE COMPENSACION PRIVADAS"/>
    <n v="70069872"/>
    <n v="23660200"/>
    <n v="46409672"/>
    <s v="Aportes de Ley y Parafiscales para nómina de la Planta Temporal del mes de ENERO de 2016."/>
    <s v="01-2016"/>
  </r>
  <r>
    <n v="5616"/>
    <s v="2016-01-14"/>
    <x v="1"/>
    <x v="58"/>
    <s v="FONDOS ADMINISTRADORES DE PENSIONES PRIVADOS"/>
    <n v="135156905"/>
    <n v="42695400"/>
    <n v="92461505"/>
    <s v="Aportes de Ley y Parafiscales para nómina de la Planta Temporal del mes de ENERO de 2016."/>
    <s v="01-2016"/>
  </r>
  <r>
    <n v="5616"/>
    <s v="2016-01-14"/>
    <x v="1"/>
    <x v="59"/>
    <s v="EMPRESAS PRIVADAS PROMOTORAS DE SALUD"/>
    <n v="130978401"/>
    <n v="46740748"/>
    <n v="84237653"/>
    <s v="Aportes de Ley y Parafiscales para nómina de la Planta Temporal del mes de ENERO de 2016."/>
    <s v="01-2016"/>
  </r>
  <r>
    <n v="5616"/>
    <s v="2016-01-14"/>
    <x v="1"/>
    <x v="60"/>
    <s v="FONDO NACIONAL DEL AHORRO"/>
    <n v="158143810"/>
    <n v="38102698"/>
    <n v="120041112"/>
    <s v="Aportes de Ley y Parafiscales para nómina de la Planta Temporal del mes de FEBRERO de 2016."/>
    <s v="02-2016"/>
  </r>
  <r>
    <n v="5616"/>
    <s v="2016-01-14"/>
    <x v="1"/>
    <x v="61"/>
    <s v="FONDOS ADMINISTRADORES DE PENSIONES PUBLICOS"/>
    <n v="49753780"/>
    <n v="23309248"/>
    <n v="26444532"/>
    <s v="Aportes de Ley y Parafiscales para nómina de la Planta Temporal del mes de ENERO de 2016."/>
    <s v="01-2016"/>
  </r>
  <r>
    <n v="5616"/>
    <s v="2016-01-14"/>
    <x v="1"/>
    <x v="62"/>
    <s v="ADMINISTRADORAS PUBLICAS DE APORTES PARA ACCIDENTES DE TRABAJO Y ENFERMEDADES PROFESIONALES"/>
    <n v="8043614"/>
    <n v="2720400"/>
    <n v="5323214"/>
    <s v="Aportes de Ley y Parafiscales para nómina de la Planta Temporal del mes de ENERO de 2016."/>
    <s v="01-2016"/>
  </r>
  <r>
    <n v="5616"/>
    <s v="2016-01-14"/>
    <x v="1"/>
    <x v="63"/>
    <s v="APORTES AL ICBF"/>
    <n v="52552405"/>
    <n v="17841590"/>
    <n v="34710815"/>
    <s v="Aportes de Ley y Parafiscales para nómina de la Planta Temporal del mes de ENERO de 2016."/>
    <s v="01-2016"/>
  </r>
  <r>
    <n v="5616"/>
    <s v="2016-01-14"/>
    <x v="1"/>
    <x v="64"/>
    <s v="APORTES AL SENA"/>
    <n v="8758734"/>
    <n v="2953200"/>
    <n v="5805534"/>
    <s v="Aportes de Ley y Parafiscales para nómina de la Planta Temporal del mes de ENERO de 2016."/>
    <s v="01-2016"/>
  </r>
  <r>
    <n v="5616"/>
    <s v="2016-01-14"/>
    <x v="1"/>
    <x v="65"/>
    <s v="APORTES A LA ESAP"/>
    <n v="8758434"/>
    <n v="2953200"/>
    <n v="5805234"/>
    <s v="Aportes de Ley y Parafiscales para nómina de la Planta Temporal del mes de ENERO de 2016."/>
    <s v="01-2016"/>
  </r>
  <r>
    <n v="5616"/>
    <s v="2016-01-14"/>
    <x v="1"/>
    <x v="66"/>
    <s v="APORTES A ESCUELAS INDUSTRIALES E INSTITUTOS TECNICOS"/>
    <n v="17517468"/>
    <n v="5896500"/>
    <n v="11620968"/>
    <s v="Aportes de Ley y Parafiscales para nómina de la Planta Temporal del mes de ENERO de 2016."/>
    <s v="01-2016"/>
  </r>
  <r>
    <n v="5716"/>
    <s v="2016-01-14"/>
    <x v="1"/>
    <x v="10"/>
    <s v="MEJORAMIENTO FORTALECIMIENTO DE LA CAPACIDAD INSTITUCIONAL PARA EL DESARROLLO DE LAS POLITICAS PUBLICAS NACIONAL"/>
    <n v="9000000"/>
    <n v="9000000"/>
    <n v="0"/>
    <s v="Prestar los Servicios Profesionales en la Subdirección, para el seguimiento y control en los aspectos técnico, administrativo y financiero, derivados del Proyecto de Inversión Mejoramiento de la Capacidad Institucional"/>
    <s v="030-2016"/>
  </r>
  <r>
    <n v="5816"/>
    <s v="2016-01-14"/>
    <x v="1"/>
    <x v="11"/>
    <s v="DESARROLLO CAPACIDAD INSTITUCIONAL DE LAS ENTIDADES PÚBLICAS DEL ORDEN TERRITORIAL"/>
    <n v="8000000"/>
    <n v="8000000"/>
    <n v="0"/>
    <s v="Prestar los Servicios Profesionales en la Subdirección, para apoyar la Gestión Territorial y el desarrollo de actividades de alistamiento para la puesta en marcha al interior de la Entidad, en el Marco del Proyecto de Inversión"/>
    <s v="028-2016"/>
  </r>
  <r>
    <n v="5916"/>
    <s v="2016-01-14"/>
    <x v="1"/>
    <x v="10"/>
    <s v="MEJORAMIENTO FORTALECIMIENTO DE LA CAPACIDAD INSTITUCIONAL PARA EL DESARROLLO DE LAS POLITICAS PUBLICAS NACIONAL"/>
    <n v="7800000"/>
    <n v="7800000"/>
    <n v="0"/>
    <s v="Prestar los Servicios Profesionales en la Dirección de Empleo Publico para apoyar en la actualización e implementación de la Política de Empleo Publico, en el marco del Proyecto de Inversión Mejoramiento de la Capacidad Institucional"/>
    <s v="031-2016"/>
  </r>
  <r>
    <n v="6016"/>
    <s v="2016-01-14"/>
    <x v="1"/>
    <x v="10"/>
    <s v="MEJORAMIENTO FORTALECIMIENTO DE LA CAPACIDAD INSTITUCIONAL PARA EL DESARROLLO DE LAS POLITICAS PUBLICAS NACIONAL"/>
    <n v="16000000"/>
    <n v="16000000"/>
    <n v="0"/>
    <s v="Prestar los servicios profesionales en la Dirección de Empleo Público, para apoyar la planificación específica del Proyecto de Servidores Públicos Innovadores y Competentes y el Plan Operativo Anual de la Dirección en el marco del proyecto 123 1000 4"/>
    <s v="Cto. 047 del 01 Feb 2016"/>
  </r>
  <r>
    <n v="6216"/>
    <s v="2016-01-15"/>
    <x v="2"/>
    <x v="27"/>
    <s v="HONORARIOS"/>
    <n v="8800000"/>
    <n v="8800000"/>
    <n v="0"/>
    <s v="Prestar los Servicios Profesionales en la Dirección General para el diseño y/o edición del material grafico de los documentos y piezas visuales generadas por la Dirección del DAFP para el posicionamiento externo de la Entidad y sus proyectos"/>
    <s v="048-2016"/>
  </r>
  <r>
    <n v="63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7-2016"/>
  </r>
  <r>
    <n v="64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8-2016"/>
  </r>
  <r>
    <n v="6516"/>
    <s v="2016-01-15"/>
    <x v="1"/>
    <x v="10"/>
    <s v="MEJORAMIENTO FORTALECIMIENTO DE LA CAPACIDAD INSTITUCIONAL PARA EL DESARROLLO DE LAS POLITICAS PUBLICAS NACIONAL"/>
    <n v="10000000"/>
    <n v="10000000"/>
    <n v="0"/>
    <s v="Serv Profes en la Ofic Asesora de Planeación, apoyar la formul de los proyec de gestión y planes operativos, como la implemen de esquemas de seguim y medición Proy de gestión y de los indicad Sinergia, en el marco del Proy de Inversión 123 1000 4."/>
    <s v="Cto. 036 del 25 Enero 2016"/>
  </r>
  <r>
    <n v="6616"/>
    <s v="2016-01-15"/>
    <x v="1"/>
    <x v="10"/>
    <s v="MEJORAMIENTO FORTALECIMIENTO DE LA CAPACIDAD INSTITUCIONAL PARA EL DESARROLLO DE LAS POLITICAS PUBLICAS NACIONAL"/>
    <n v="8600000"/>
    <n v="8600000"/>
    <n v="0"/>
    <s v="Prestar los Servicios Profesionales para la diagramacion del Informe de Ley de Cuotas y documento de Politica de datos personales, en el Marco del Proyecto de Inversion"/>
    <s v="039-2016"/>
  </r>
  <r>
    <n v="6716"/>
    <s v="2016-01-15"/>
    <x v="2"/>
    <x v="27"/>
    <s v="HONORARIOS"/>
    <n v="13500000"/>
    <n v="13500000"/>
    <n v="0"/>
    <s v="Prestar los servicios profesionales para apoyar los procesos de Selección Meritocraticos que adelanta la Función Publica para la provisión de vacantes de Entidades Publicas."/>
    <s v="054-2016"/>
  </r>
  <r>
    <n v="6916"/>
    <s v="2016-01-15"/>
    <x v="1"/>
    <x v="11"/>
    <s v="DESARROLLO CAPACIDAD INSTITUCIONAL DE LAS ENTIDADES PÚBLICAS DEL ORDEN TERRITORIAL"/>
    <n v="20880000"/>
    <n v="20880000"/>
    <n v="0"/>
    <s v="Prestar los Servicios Profesionales en la Subdirección, para apoyar la gestión, dar orientaciones y lineamientos para la puesta en marcha de la Estrategia de Gestión Territorial al Interior de la Entidad, en el Marco del Proyecto de Inversión"/>
    <s v="020-2016"/>
  </r>
  <r>
    <n v="7016"/>
    <s v="2016-01-18"/>
    <x v="2"/>
    <x v="67"/>
    <s v="SUELDOS"/>
    <n v="6254728000"/>
    <n v="2761083251"/>
    <n v="3493644749"/>
    <s v="Nomina adicional Gina Victoria Triana Acevedo de enero de 2016"/>
    <s v="01-2016"/>
  </r>
  <r>
    <n v="7016"/>
    <s v="2016-01-18"/>
    <x v="2"/>
    <x v="68"/>
    <s v="SUELDOS DE VACACIONES"/>
    <n v="480000000"/>
    <n v="167478877"/>
    <n v="312521123"/>
    <s v="Nomina mes de enero planta global cargue masivo"/>
    <s v="11"/>
  </r>
  <r>
    <n v="7016"/>
    <s v="2016-01-18"/>
    <x v="2"/>
    <x v="69"/>
    <s v="INCAPACIDADES Y LICENCIA DE MATERNIDAD"/>
    <n v="54000000"/>
    <n v="27509780"/>
    <n v="26490220"/>
    <s v="Nomina mes de enero planta global cargue masivo"/>
    <s v="11"/>
  </r>
  <r>
    <n v="7016"/>
    <s v="2016-01-18"/>
    <x v="2"/>
    <x v="70"/>
    <s v="PRIMA TECNICA SALARIAL"/>
    <n v="406459005"/>
    <n v="167899463"/>
    <n v="238559542"/>
    <s v="Nomina mes de enero planta global cargue masivo"/>
    <s v="11"/>
  </r>
  <r>
    <n v="7016"/>
    <s v="2016-01-18"/>
    <x v="2"/>
    <x v="71"/>
    <s v="PRIMA TECNICA NO SALARIAL"/>
    <n v="307601995"/>
    <n v="117747337"/>
    <n v="189854658"/>
    <s v="Nomina mes de enero planta global cargue masivo"/>
    <s v="11"/>
  </r>
  <r>
    <n v="7016"/>
    <s v="2016-01-18"/>
    <x v="2"/>
    <x v="72"/>
    <s v="GASTOS DE REPRESENTACION"/>
    <n v="146047836"/>
    <n v="63368549"/>
    <n v="82679287"/>
    <s v="Nomina mes de enero planta global cargue masivo"/>
    <s v="11"/>
  </r>
  <r>
    <n v="7016"/>
    <s v="2016-01-18"/>
    <x v="2"/>
    <x v="73"/>
    <s v="SUBSIDIO DE ALIMENTACION"/>
    <n v="16721712"/>
    <n v="6577313"/>
    <n v="10144399"/>
    <s v="Nomina adicional Gina Victoria Triana Acevedo de enero de 2016"/>
    <s v="01-2016"/>
  </r>
  <r>
    <n v="7016"/>
    <s v="2016-01-18"/>
    <x v="2"/>
    <x v="74"/>
    <s v="AUXILIO DE TRANSPORTE"/>
    <n v="10256400"/>
    <n v="3403260"/>
    <n v="6853140"/>
    <s v="Nomina adicional Gina Victoria Triana Acevedo de enero de 2016"/>
    <s v="01-2016"/>
  </r>
  <r>
    <n v="7016"/>
    <s v="2016-01-18"/>
    <x v="2"/>
    <x v="75"/>
    <s v="PRIMA DE SERVICIO"/>
    <n v="339129405"/>
    <n v="21594638"/>
    <n v="317534767"/>
    <s v="Reconocer y ordenar el pago de GASTOS DE PERSONAL de la ex servidora del Departamento de la Función Pública, BRIGGETTE ALEXANDRA BAUTISTA SALGADO"/>
    <s v="045 de 25-01-2016"/>
  </r>
  <r>
    <n v="7016"/>
    <s v="2016-01-18"/>
    <x v="2"/>
    <x v="76"/>
    <s v="PRIMA DE VACACIONES"/>
    <n v="353259798"/>
    <n v="140371992"/>
    <n v="212887806"/>
    <s v="Nomina mes de enero planta global cargue masivo"/>
    <s v="11"/>
  </r>
  <r>
    <n v="7016"/>
    <s v="2016-01-18"/>
    <x v="2"/>
    <x v="77"/>
    <s v="PRIMA DE NAVIDAD"/>
    <n v="676499948"/>
    <n v="9262694"/>
    <n v="667237254"/>
    <s v="Reconocer y ordenar el pago de GASTOS DE PERSONAL de la ex servidora del Departamento de la Función Pública, BRIGGETTE ALEXANDRA BAUTISTA SALGADO"/>
    <s v="045 de 25-01-2016"/>
  </r>
  <r>
    <n v="7016"/>
    <s v="2016-01-18"/>
    <x v="2"/>
    <x v="78"/>
    <s v="PRIMA DE RIESGO"/>
    <n v="2880600"/>
    <n v="1293510"/>
    <n v="1587090"/>
    <s v="Nomina mes de enero planta global cargue masivo"/>
    <s v="11"/>
  </r>
  <r>
    <n v="7016"/>
    <s v="2016-01-18"/>
    <x v="2"/>
    <x v="79"/>
    <s v="BONIFICACION POR SERVICIOS PRESTADOS"/>
    <n v="235020119"/>
    <n v="100112942"/>
    <n v="134907177"/>
    <s v="Nomina mes de enero planta global cargue masivo"/>
    <s v="11"/>
  </r>
  <r>
    <n v="7016"/>
    <s v="2016-01-18"/>
    <x v="2"/>
    <x v="80"/>
    <s v="PRIMA DE COORDINACION"/>
    <n v="113185637"/>
    <n v="43776979"/>
    <n v="69408658"/>
    <s v="Nomina mes de enero planta global cargue masivo"/>
    <s v="11"/>
  </r>
  <r>
    <n v="7016"/>
    <s v="2016-01-18"/>
    <x v="2"/>
    <x v="81"/>
    <s v="BONIFICACION ESPECIAL DE RECREACION"/>
    <n v="40585145"/>
    <n v="16904732"/>
    <n v="23680413"/>
    <s v="Nomina mes de enero planta global cargue masivo"/>
    <s v="11"/>
  </r>
  <r>
    <n v="7016"/>
    <s v="2016-01-18"/>
    <x v="2"/>
    <x v="82"/>
    <s v="BONIFICACION DE DIRECCION"/>
    <n v="333194400"/>
    <n v="0"/>
    <n v="333194400"/>
    <s v="PENDIENTE POR COMPROMETER"/>
    <s v="PENDIENTE POR COMPROMETER"/>
  </r>
  <r>
    <n v="7016"/>
    <s v="2016-01-18"/>
    <x v="2"/>
    <x v="83"/>
    <s v="HORAS EXTRAS"/>
    <n v="61286350"/>
    <n v="18146693"/>
    <n v="43139657"/>
    <s v="Nomina mes de enero planta global cargue masivo"/>
    <s v="11"/>
  </r>
  <r>
    <n v="7016"/>
    <s v="2016-01-18"/>
    <x v="2"/>
    <x v="84"/>
    <s v="INDEMNIZACION POR VACACIONES"/>
    <n v="207365000"/>
    <n v="49897580"/>
    <n v="157467420"/>
    <s v="Reconocer y ordenar el pago de GASTOS DE PERSONAL de la ex servidora del Departamento de la Función Pública, BRIGGETTE ALEXANDRA BAUTISTA SALGADO"/>
    <s v="045 de 25-01-2016"/>
  </r>
  <r>
    <n v="7116"/>
    <s v="2016-01-18"/>
    <x v="2"/>
    <x v="85"/>
    <s v="CAJAS DE COMPENSACION PRIVADAS"/>
    <n v="345009541"/>
    <n v="141030400"/>
    <n v="203979141"/>
    <s v="PAGO SEGURIDAD SOCIAL DEL MES DE ENERO DEL 2016."/>
    <s v="01-2016"/>
  </r>
  <r>
    <n v="7116"/>
    <s v="2016-01-18"/>
    <x v="2"/>
    <x v="86"/>
    <s v="FONDOS ADMINISTRADORES DE PENSIONES PRIVADOS"/>
    <n v="506293545"/>
    <n v="194785400"/>
    <n v="311508145"/>
    <s v="PAGO SEGURIDAD SOCIAL DEL MES DE ENERO DEL 2016."/>
    <s v="01-2016"/>
  </r>
  <r>
    <n v="7116"/>
    <s v="2016-01-18"/>
    <x v="2"/>
    <x v="87"/>
    <s v="EMPRESAS PRIVADAS PROMOTORAS DE SALUD"/>
    <n v="673120847"/>
    <n v="283613100"/>
    <n v="389507747"/>
    <s v="PAGO SEGURIDAD SOCIAL DEL MES DE ENERO DEL 2016."/>
    <s v="01-2016"/>
  </r>
  <r>
    <n v="7116"/>
    <s v="2016-01-18"/>
    <x v="2"/>
    <x v="88"/>
    <s v="FONDO NACIONAL DEL AHORRO"/>
    <n v="769908583"/>
    <n v="285908584"/>
    <n v="483999999"/>
    <s v="PAGO SEGURIDAD SOCIAL DEL MES DE ENERO DEL 2016."/>
    <s v="01-2016"/>
  </r>
  <r>
    <n v="7116"/>
    <s v="2016-01-18"/>
    <x v="2"/>
    <x v="89"/>
    <s v="FONDOS ADMINISTRADORES DE PENSIONES PUBLICOS"/>
    <n v="453641768"/>
    <n v="204711101"/>
    <n v="248930667"/>
    <s v="PAGO SEGURIDAD SOCIAL DEL MES DE ENERO DEL 2016."/>
    <s v="01-2016"/>
  </r>
  <r>
    <n v="7116"/>
    <s v="2016-01-18"/>
    <x v="2"/>
    <x v="90"/>
    <s v="EMPRESAS PUBLICAS PROMOTORAS DE SALUD"/>
    <n v="1000000"/>
    <n v="0"/>
    <n v="1000000"/>
    <s v="PENDIENTE POR COMPROMETER"/>
    <s v="PENDIENTE POR COMPROMETER"/>
  </r>
  <r>
    <n v="7116"/>
    <s v="2016-01-18"/>
    <x v="2"/>
    <x v="91"/>
    <s v="ADMINISTRADORAS PUBLICAS DE APORTES PARA ACCIDENTES DE TRABAJO Y ENFERMEDADES PROFESIONALES"/>
    <n v="38627186"/>
    <n v="16231660"/>
    <n v="22395526"/>
    <s v="PAGO SEGURIDAD SOCIAL DEL MES DE ENERO DEL 2016."/>
    <s v="01-2016"/>
  </r>
  <r>
    <n v="7116"/>
    <s v="2016-01-18"/>
    <x v="2"/>
    <x v="92"/>
    <s v="APORTES AL ICBF"/>
    <n v="248793759"/>
    <n v="105768100"/>
    <n v="143025659"/>
    <s v="PAGO SEGURIDAD SOCIAL DEL MES DE ENERO DEL 2016."/>
    <s v="01-2016"/>
  </r>
  <r>
    <n v="7116"/>
    <s v="2016-01-18"/>
    <x v="2"/>
    <x v="93"/>
    <s v="APORTES AL SENA"/>
    <n v="44376193"/>
    <n v="17623200"/>
    <n v="26752993"/>
    <s v="PAGO SEGURIDAD SOCIAL DEL MES DE ENERO DEL 2016."/>
    <s v="01-2016"/>
  </r>
  <r>
    <n v="7116"/>
    <s v="2016-01-18"/>
    <x v="2"/>
    <x v="94"/>
    <s v="APORTES A LA ESAP"/>
    <n v="44376193"/>
    <n v="17623200"/>
    <n v="26752993"/>
    <s v="PAGO SEGURIDAD SOCIAL DEL MES DE ENERO DEL 2016."/>
    <s v="01-2016"/>
  </r>
  <r>
    <n v="7116"/>
    <s v="2016-01-18"/>
    <x v="2"/>
    <x v="95"/>
    <s v="APORTES A ESCUELAS INDUSTRIALES E INSTITUTOS TECNICOS"/>
    <n v="88752385"/>
    <n v="35254800"/>
    <n v="53497585"/>
    <s v="PAGO SEGURIDAD SOCIAL DEL MES DE ENERO DEL 2016."/>
    <s v="01-2016"/>
  </r>
  <r>
    <n v="7216"/>
    <s v="2016-01-18"/>
    <x v="3"/>
    <x v="96"/>
    <s v="MESADAS PENSIONALES A CARGO DE LA ENTIDAD"/>
    <n v="194594400"/>
    <n v="64433250"/>
    <n v="130161150"/>
    <s v="Pago Pension Sancion del mes de Enero de 2016"/>
    <s v="001-2016"/>
  </r>
  <r>
    <n v="7316"/>
    <s v="2016-01-18"/>
    <x v="2"/>
    <x v="97"/>
    <s v="OTROS SERVICIOS PERSONALES INDIRECTOS"/>
    <n v="1000000"/>
    <n v="194400"/>
    <n v="805600"/>
    <s v="CON EL FIN DE DAR CUMPLIMIENTO A LOS COMPROMISOS DE CANCELACIÓN DE TRANSFERENCIAS DE APORTES DE LEY DEL MES DE ENERO DE 2016 PAGO ARL PASANTES, SEGÚN PRESUPUESTO DE FUNCIONAMIENTO DE 2016."/>
    <s v="01-2016"/>
  </r>
  <r>
    <n v="7416"/>
    <s v="2016-01-19"/>
    <x v="0"/>
    <x v="98"/>
    <s v="SEGURO RESPONSABILIDAD CIVIL"/>
    <n v="2463538"/>
    <n v="2463538"/>
    <n v="0"/>
    <s v="Soat para los vehículos del DAFP que tienen su fecha de vencimiento el 2 de febrero de 2016."/>
    <s v="044-2016"/>
  </r>
  <r>
    <n v="7516"/>
    <s v="2016-01-19"/>
    <x v="1"/>
    <x v="10"/>
    <s v="MEJORAMIENTO FORTALECIMIENTO DE LA CAPACIDAD INSTITUCIONAL PARA EL DESARROLLO DE LAS POLITICAS PUBLICAS NACIONAL"/>
    <n v="10000000"/>
    <n v="10000000"/>
    <n v="0"/>
    <s v="Prestar los Servicios Profesionales en la Dirección Jurídica para apoyar en la selección actualización y relatoría de los conceptos Jurídicos y técnicos que ha emitido la Función Publica con el fin de ser incorporados en el Gestor Normativo del DAFP"/>
    <s v="032-2016"/>
  </r>
  <r>
    <n v="7616"/>
    <s v="2016-01-19"/>
    <x v="1"/>
    <x v="10"/>
    <s v="MEJORAMIENTO FORTALECIMIENTO DE LA CAPACIDAD INSTITUCIONAL PARA EL DESARROLLO DE LAS POLITICAS PUBLICAS NACIONAL"/>
    <n v="3000000"/>
    <n v="3000000"/>
    <n v="0"/>
    <s v="Prestar los Servicios de Apoyo a la Gestion en la Dirección Juridica para realizar labores de digitacion e ingreso de la Informacion requerida para la actualizacion del Gestor Normativo, en temas relacionados con Politicas Publicas"/>
    <s v="033-2016"/>
  </r>
  <r>
    <n v="7716"/>
    <s v="2016-01-19"/>
    <x v="1"/>
    <x v="25"/>
    <s v="MEJORAMIENTO DE LA GESTION DE LAS POLITICAS PUBLICAS A TRAVES DE LAS TECNOLOGIAS DE INFORMACION TICS"/>
    <n v="16400000"/>
    <n v="16400000"/>
    <n v="0"/>
    <s v="Prestar los servicios profesionales para realizar la actualizacion y transferencia del conocimiento de los Lineamientos a seguir para la operacion de Gestor Normativo en el marco del Proyecto de Inversión"/>
    <s v="041-2016"/>
  </r>
  <r>
    <n v="7816"/>
    <s v="2016-01-19"/>
    <x v="1"/>
    <x v="25"/>
    <s v="MEJORAMIENTO DE LA GESTION DE LAS POLITICAS PUBLICAS A TRAVES DE LAS TECNOLOGIAS DE INFORMACION TICS"/>
    <n v="8000000"/>
    <n v="8000000"/>
    <n v="0"/>
    <s v="Prestar los servicios profesionales para apoyar y brindar el soporte técnico en el mantenimiento, ajuste, integración y actualización de la aplicación denominada &quot;Gestor Normativo&quot; del DAFP en el marco del Proyecto de Inversión"/>
    <s v="046-2016"/>
  </r>
  <r>
    <n v="7916"/>
    <s v="2016-01-22"/>
    <x v="1"/>
    <x v="10"/>
    <s v="MEJORAMIENTO FORTALECIMIENTO DE LA CAPACIDAD INSTITUCIONAL PARA EL DESARROLLO DE LAS POLITICAS PUBLICAS NACIONAL"/>
    <n v="1700000"/>
    <n v="1700000"/>
    <n v="0"/>
    <s v="Prestar servicios de Apoyo en el grupo Contractual para la organización de la documentación generada, en el marco del proyecto de Inversión."/>
    <s v="050-2016"/>
  </r>
  <r>
    <n v="7916"/>
    <s v="2016-01-22"/>
    <x v="1"/>
    <x v="11"/>
    <s v="DESARROLLO CAPACIDAD INSTITUCIONAL DE LAS ENTIDADES PÚBLICAS DEL ORDEN TERRITORIAL"/>
    <n v="1700000"/>
    <n v="1700000"/>
    <n v="0"/>
    <s v="Prestar servicios de Apoyo en el grupo Contractual para la organización de la documentación generada, en el marco del proyecto de Inversión."/>
    <s v="050-2016"/>
  </r>
  <r>
    <n v="8016"/>
    <s v="2016-01-25"/>
    <x v="0"/>
    <x v="16"/>
    <s v="OTROS COMUNICACIONES Y TRANSPORTE"/>
    <n v="3055651"/>
    <n v="2600000"/>
    <n v="455651"/>
    <s v="Prestar el servicio de custodia transporte y almacenamiento externo de los medios magnéticos, que contienen las copias de respaldo de la información de la Función Publica, de acuerdo con las condiciones establecidas en la Ficha Técnica"/>
    <s v="063-2016"/>
  </r>
  <r>
    <n v="8116"/>
    <s v="2016-01-25"/>
    <x v="1"/>
    <x v="10"/>
    <s v="MEJORAMIENTO FORTALECIMIENTO DE LA CAPACIDAD INSTITUCIONAL PARA EL DESARROLLO DE LAS POLITICAS PUBLICAS NACIONAL"/>
    <n v="13000000"/>
    <n v="13000000"/>
    <n v="0"/>
    <s v="Prestar los Servicios Profesionales en la Dirección General para apoyar la caracterización y cronograma anual para el desarrollo de la estrategia de Gestión Internacional del DAFP en el marco del Proyecto de Inversión"/>
    <s v="045-2016"/>
  </r>
  <r>
    <n v="8216"/>
    <s v="2016-01-28"/>
    <x v="0"/>
    <x v="23"/>
    <s v="PRODUCTOS DE ASEO Y LIMPIEZA"/>
    <n v="299200"/>
    <n v="299200"/>
    <n v="0"/>
    <s v="Legalización y Reembolso Caja Menor de los gastos realizados durante el mes de Enero de 2016."/>
    <s v="Res. 52 del 28 Enero 2016"/>
  </r>
  <r>
    <n v="8216"/>
    <s v="2016-01-28"/>
    <x v="0"/>
    <x v="24"/>
    <s v="PRODUCTOS DE CAFETERIA Y RESTAURANTE"/>
    <n v="1267107"/>
    <n v="1267107"/>
    <n v="0"/>
    <s v="Legalización y Reembolso Caja Menor de los gastos realizados durante el mes de Enero de 2016."/>
    <s v="Res. 52 del 28 Enero 2016"/>
  </r>
  <r>
    <n v="8216"/>
    <s v="2016-01-28"/>
    <x v="0"/>
    <x v="99"/>
    <s v="UTENSILIOS DE CAFETERIA"/>
    <n v="31220"/>
    <n v="31220"/>
    <n v="0"/>
    <s v="Legalización y Reembolso Caja Menor de los gastos realizados durante el mes de Enero de 2016."/>
    <s v="Res. 52 del 28 Enero 2016"/>
  </r>
  <r>
    <n v="8216"/>
    <s v="2016-01-28"/>
    <x v="0"/>
    <x v="14"/>
    <s v="OTROS MATERIALES Y SUMINISTROS"/>
    <n v="272500"/>
    <n v="272500"/>
    <n v="0"/>
    <s v="Legalización y Reembolso Caja Menor de los gastos realizados durante el mes de Enero de 2016."/>
    <s v="Res. 52 del 28 Enero 2016"/>
  </r>
  <r>
    <n v="8216"/>
    <s v="2016-01-28"/>
    <x v="0"/>
    <x v="3"/>
    <s v="MANTENIMIENTO DE BIENES INMUEBLES"/>
    <n v="12000"/>
    <n v="12000"/>
    <n v="0"/>
    <s v="Legalización y Reembolso Caja Menor de los gastos realizados durante el mes de Enero de 2016."/>
    <s v="Res. 52 del 28 Enero 2016"/>
  </r>
  <r>
    <n v="8216"/>
    <s v="2016-01-28"/>
    <x v="0"/>
    <x v="15"/>
    <s v="MANTENIMIENTO DE OTROS BIENES"/>
    <n v="66500"/>
    <n v="66500"/>
    <n v="0"/>
    <s v="Legalización y Reembolso Caja Menor de los gastos realizados durante el mes de Enero de 2016."/>
    <s v="Res. 52 del 28 Enero 2016"/>
  </r>
  <r>
    <n v="8216"/>
    <s v="2016-01-28"/>
    <x v="0"/>
    <x v="22"/>
    <s v="MANTENIMIENTO DE BIENES MUEBLES, EQUIPOS Y ENSERES"/>
    <n v="530000"/>
    <n v="530000"/>
    <n v="0"/>
    <s v="Legalización y Reembolso Caja Menor de los gastos realizados durante el mes de Enero de 2016."/>
    <s v="Res. 52 del 28 Enero 2016"/>
  </r>
  <r>
    <n v="8216"/>
    <s v="2016-01-28"/>
    <x v="0"/>
    <x v="2"/>
    <s v="CORREO"/>
    <n v="22000"/>
    <n v="22000"/>
    <n v="0"/>
    <s v="Legalización y Reembolso Caja Menor de los gastos realizados durante el mes de Enero de 2016."/>
    <s v="Res. 52 del 28 Enero 2016"/>
  </r>
  <r>
    <n v="8216"/>
    <s v="2016-01-28"/>
    <x v="0"/>
    <x v="100"/>
    <s v="TRANSPORTE"/>
    <n v="132700"/>
    <n v="132700"/>
    <n v="0"/>
    <s v="Legalización y Reembolso Caja Menor de los gastos realizados durante el mes de Enero de 2016."/>
    <s v="Res. 52 del 28 Enero 2016"/>
  </r>
  <r>
    <n v="8216"/>
    <s v="2016-01-28"/>
    <x v="0"/>
    <x v="17"/>
    <s v="OTROS GASTOS POR IMPRESOS Y PUBLICACIONES"/>
    <n v="64880"/>
    <n v="64880"/>
    <n v="0"/>
    <s v="Legalización y Reembolso Caja Menor de los gastos realizados durante el mes de Enero de 2016."/>
    <s v="Res. 52 del 28 Enero 2016"/>
  </r>
  <r>
    <n v="8316"/>
    <s v="2016-01-28"/>
    <x v="1"/>
    <x v="101"/>
    <s v="MEJORAMIENTO DE LA INFRAESTRUCTURA PROPIA DEL SECTOR"/>
    <n v="8000000"/>
    <n v="8000000"/>
    <n v="0"/>
    <s v="Prestar los servicios profesionales para apoyar técnicamente la etapa precontractual y contractual del contrato que resulte del Concurso de Méritos cuyo objeto lo constituye, &quot; la adquisición y puesta en marcha de dos ascensores para el DAFP&quot;"/>
    <s v="053-2016"/>
  </r>
  <r>
    <n v="8416"/>
    <s v="2016-01-28"/>
    <x v="1"/>
    <x v="101"/>
    <s v="MEJORAMIENTO DE LA INFRAESTRUCTURA PROPIA DEL SECTOR"/>
    <n v="37300000"/>
    <n v="0"/>
    <n v="37300000"/>
    <s v="PENDIENTE POR COMPROMETER"/>
    <s v="PENDIENTE POR COMPROMETER"/>
  </r>
  <r>
    <n v="8516"/>
    <s v="2016-01-28"/>
    <x v="0"/>
    <x v="3"/>
    <s v="MANTENIMIENTO DE BIENES INMUEBLES"/>
    <n v="644733"/>
    <n v="550000"/>
    <n v="94733"/>
    <s v="Adquirir e instalar una ventana corrediza en aluminio para el puente del piso No 9 del edificio sede de la Función Publica de acuerdo con las condiciones establecidas en el Anexo Técnico No 2"/>
    <s v="064-2016"/>
  </r>
  <r>
    <n v="8616"/>
    <s v="2016-02-02"/>
    <x v="0"/>
    <x v="4"/>
    <s v="MANTENIMIENTO EQUIPO COMUNICACIONES Y COMPUTACION"/>
    <n v="3990000"/>
    <n v="3750000"/>
    <n v="240000"/>
    <s v="Prestar el servicio de mantenimiento preventivo y correctivo de la Central Telefónica Digital (DBS) y del Sistema de procesamiento de voz a guía de voz en los equipos de la Función Publica"/>
    <s v="073-2016"/>
  </r>
  <r>
    <n v="8716"/>
    <s v="2016-02-03"/>
    <x v="1"/>
    <x v="25"/>
    <s v="MEJORAMIENTO DE LA GESTION DE LAS POLITICAS PUBLICAS A TRAVES DE LAS TECNOLOGIAS DE INFORMACION TICS"/>
    <n v="74910000"/>
    <n v="64500000"/>
    <n v="10410000"/>
    <s v="Suscripción al servicio de soporte Linux Red Hat Enterprise última versión."/>
    <s v="Cto. 085 del 22 Marzo 2016"/>
  </r>
  <r>
    <n v="8816"/>
    <s v="2016-02-03"/>
    <x v="1"/>
    <x v="25"/>
    <s v="MEJORAMIENTO DE LA GESTION DE LAS POLITICAS PUBLICAS A TRAVES DE LAS TECNOLOGIAS DE INFORMACION TICS"/>
    <n v="219670546"/>
    <n v="219670546"/>
    <n v="0"/>
    <s v="Prestar los Servicios de soporte, derechos de actualización de versiones y adquisición del Licenciamiento para la herramienta ProactivaNET."/>
    <s v="051-2016"/>
  </r>
  <r>
    <n v="8916"/>
    <s v="2016-02-03"/>
    <x v="2"/>
    <x v="27"/>
    <s v="HONORARIOS"/>
    <n v="14000000"/>
    <n v="14000000"/>
    <n v="0"/>
    <s v="Prestar servicios de apoyo en el Grupo de Gestión Administrativa y Documental para la organización de las historias laborales y actualización del inventario documental correspondiente a los ex servidores del DAFP en la revisión de las transferencias"/>
    <s v="059-2016"/>
  </r>
  <r>
    <n v="9016"/>
    <s v="2016-02-03"/>
    <x v="2"/>
    <x v="27"/>
    <s v="HONORARIOS"/>
    <n v="14000000"/>
    <n v="14000000"/>
    <n v="0"/>
    <s v="Prestar servicios de apoyo en el Grupo de Gestión Administrativa y Documental en la revisión, clasificación y actualización de los archivos de gestión de las áreas del DAFP de conformidad con los seguimientos realizados por parte del grupo enlace"/>
    <s v="060-2016"/>
  </r>
  <r>
    <n v="9116"/>
    <s v="2016-02-03"/>
    <x v="2"/>
    <x v="27"/>
    <s v="HONORARIOS"/>
    <n v="17000000"/>
    <n v="17000000"/>
    <n v="0"/>
    <s v="Prestar servicios de apoyo en el Grupo de Gestión Administrativa y Documental en la organización y depuración de los archivos de gestión de las áreas misionales del DAFP que se le asignen y en la revisión de las transferencias documentales primarias"/>
    <s v="055-2016"/>
  </r>
  <r>
    <n v="9216"/>
    <s v="2016-02-03"/>
    <x v="2"/>
    <x v="27"/>
    <s v="HONORARIOS"/>
    <n v="17000000"/>
    <n v="17000000"/>
    <n v="0"/>
    <s v="Prestar los servicios de apoyo a la gestión en el Grupo de Gestión Administrativa y Documental para apoyar el levantamiento de las Tablas de Valoración Documental del archivo Central, así como en la Organización de los archivos electrónicos del DAFP"/>
    <s v="058-2016"/>
  </r>
  <r>
    <n v="9316"/>
    <s v="2016-02-04"/>
    <x v="1"/>
    <x v="10"/>
    <s v="MEJORAMIENTO FORTALECIMIENTO DE LA CAPACIDAD INSTITUCIONAL PARA EL DESARROLLO DE LAS POLITICAS PUBLICAS NACIONAL"/>
    <n v="17000000"/>
    <n v="17000000"/>
    <n v="0"/>
    <s v="Prestar los Servicios Profesionales en la Función Publica, para articular las actividades tendientes al posicionamiento del Espacio Virtual de Asesoría - EVA de la Entidad, con cargo al proyecto de Inversión."/>
    <s v="052-2016"/>
  </r>
  <r>
    <n v="94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61-2016"/>
  </r>
  <r>
    <n v="95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56-2016"/>
  </r>
  <r>
    <n v="96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5-2016"/>
  </r>
  <r>
    <n v="97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6-2016"/>
  </r>
  <r>
    <n v="98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62-2016"/>
  </r>
  <r>
    <n v="99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57-2016"/>
  </r>
  <r>
    <n v="10016"/>
    <s v="2016-02-10"/>
    <x v="0"/>
    <x v="102"/>
    <s v="SERVICIOS DE BIENESTAR SOCIAL"/>
    <n v="5000000"/>
    <n v="4000000"/>
    <n v="1000000"/>
    <s v="Contratar la prestación para la realización de valoraciones ocupacionales y exámenes médicos de ingreso, retiro, periódicos y otras complementarias, que sean necesarias realizar a los servidores del Departamento Administrativo de la Función Publica"/>
    <s v="081-2016"/>
  </r>
  <r>
    <n v="10116"/>
    <s v="2016-02-11"/>
    <x v="1"/>
    <x v="10"/>
    <s v="MEJORAMIENTO FORTALECIMIENTO DE LA CAPACIDAD INSTITUCIONAL PARA EL DESARROLLO DE LAS POLITICAS PUBLICAS NACIONAL"/>
    <n v="17000000"/>
    <n v="17000000"/>
    <n v="0"/>
    <s v="Prestar Servicios Profesionales en la Oficina A de Planeación para apoyar la implementación de la II fase del Modelo de Gestión de la Información de la Función P y el modelo de seguimiento y evaluación integrados al modelo de operación institucional"/>
    <s v="067-2016"/>
  </r>
  <r>
    <n v="10216"/>
    <s v="2016-02-11"/>
    <x v="1"/>
    <x v="11"/>
    <s v="DESARROLLO CAPACIDAD INSTITUCIONAL DE LAS ENTIDADES PÚBLICAS DEL ORDEN TERRITORIAL"/>
    <n v="6600000"/>
    <n v="6600000"/>
    <n v="0"/>
    <s v="Servic Profes en la Direc Control Interno y Racionaliz.de Trámites del DAFP para apoyar la revisión de las Experien. Regist. en el Bco. de Exitos y en la elaborac. de la Estrategia de difusión de las experien. de ser replicadas en la Admón. Pública."/>
    <s v="Cto. 070 del 26 Feb. 2016"/>
  </r>
  <r>
    <n v="10316"/>
    <s v="2016-02-12"/>
    <x v="1"/>
    <x v="25"/>
    <s v="MEJORAMIENTO DE LA GESTION DE LAS POLITICAS PUBLICAS A TRAVES DE LAS TECNOLOGIAS DE INFORMACION TICS"/>
    <n v="245969862"/>
    <n v="232005988.5"/>
    <n v="13963873.5"/>
    <s v="Suscripción y soporte técnico para el licenciamiento Liferay Portal Enterprise Edition."/>
    <s v="Cto. 094 del 01 Abril 2016"/>
  </r>
  <r>
    <n v="10416"/>
    <s v="2016-02-16"/>
    <x v="0"/>
    <x v="103"/>
    <s v="VIATICOS Y GASTOS DE VIAJE AL EXTERIOR"/>
    <n v="6000000"/>
    <n v="6000000"/>
    <n v="0"/>
    <s v="Suministro de Tiquetes Aéreos rutas Nacionales e Internacionales"/>
    <s v="084-2016"/>
  </r>
  <r>
    <n v="10416"/>
    <s v="2016-02-16"/>
    <x v="0"/>
    <x v="13"/>
    <s v="VIATICOS Y GASTOS DE VIAJE AL INTERIOR"/>
    <n v="11000000"/>
    <n v="9000000"/>
    <n v="2000000"/>
    <s v="Suministro de Tiquetes Aéreos rutas Nacionales e Internacionales"/>
    <s v="084-2016"/>
  </r>
  <r>
    <n v="10516"/>
    <s v="2016-02-17"/>
    <x v="1"/>
    <x v="10"/>
    <s v="MEJORAMIENTO FORTALECIMIENTO DE LA CAPACIDAD INSTITUCIONAL PARA EL DESARROLLO DE LAS POLITICAS PUBLICAS NACIONAL"/>
    <n v="7000000"/>
    <n v="7000000"/>
    <n v="0"/>
    <s v="Prestar Servicios Profesionales en la Subdirección para apoyar y hacer seguimiento al cumplimiento de los compromisos estratégicos y misionales, para la ejecución del Proyecto de Inversión Mejoramiento, Fortalecimiento para el desarrollo de Políticas"/>
    <s v="069-2016"/>
  </r>
  <r>
    <n v="10616"/>
    <s v="2016-02-19"/>
    <x v="0"/>
    <x v="104"/>
    <s v="PAPELERIA, UTILES DE ESCRITORIO Y OFICINA"/>
    <n v="4800000"/>
    <n v="4705929.4000000004"/>
    <n v="94070.599999999627"/>
    <s v="Elementos de Papelería, para incluir en el stock de la Entidad, con el fin de garantizar el buen funcionamiento de la misma y no generar un cese en la operación, cubriendo las necesidades de las diferentes áreas que componen la Entidad"/>
    <s v="072-2016"/>
  </r>
  <r>
    <n v="10716"/>
    <s v="2016-02-19"/>
    <x v="1"/>
    <x v="11"/>
    <s v="DESARROLLO CAPACIDAD INSTITUCIONAL DE LAS ENTIDADES PÚBLICAS DEL ORDEN TERRITORIAL"/>
    <n v="2229922"/>
    <n v="2229922"/>
    <n v="0"/>
    <s v="Viáticos y gastos de viaje en el marco del proyecto de inversión &quot;Desarrollo de la Capacidad Institucional de las Entidades Publicas del Orden Territorial&quot; - Cali-Valle del Cauca, del 22 al 23 de febrero de 2016"/>
    <s v="96-2016"/>
  </r>
  <r>
    <n v="10816"/>
    <s v="2016-02-19"/>
    <x v="1"/>
    <x v="11"/>
    <s v="DESARROLLO CAPACIDAD INSTITUCIONAL DE LAS ENTIDADES PÚBLICAS DEL ORDEN TERRITORIAL"/>
    <n v="6600000"/>
    <n v="6600000"/>
    <n v="0"/>
    <s v="Prestar Servicios P en la Dir de C Interno para apoyar en la revisión de las Experiencias registradas en el Banco de Éxitos y en la elaboración de la estrategia de difusión de las experiencias que sean pertinentes de ser replicadas en las Entidades P"/>
    <s v="074-2016"/>
  </r>
  <r>
    <n v="10916"/>
    <s v="2016-02-22"/>
    <x v="1"/>
    <x v="10"/>
    <s v="MEJORAMIENTO FORTALECIMIENTO DE LA CAPACIDAD INSTITUCIONAL PARA EL DESARROLLO DE LAS POLITICAS PUBLICAS NACIONAL"/>
    <n v="10000000"/>
    <n v="1000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0916"/>
    <s v="2016-02-22"/>
    <x v="1"/>
    <x v="11"/>
    <s v="DESARROLLO CAPACIDAD INSTITUCIONAL DE LAS ENTIDADES PÚBLICAS DEL ORDEN TERRITORIAL"/>
    <n v="38960000"/>
    <n v="3896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1016"/>
    <s v="2016-02-22"/>
    <x v="0"/>
    <x v="104"/>
    <s v="PAPELERIA, UTILES DE ESCRITORIO Y OFICINA"/>
    <n v="25000000"/>
    <n v="0"/>
    <n v="25000000"/>
    <s v="PENDIENTE POR COMPROMETER"/>
    <s v="PENDIENTE POR COMPROMETER"/>
  </r>
  <r>
    <n v="11116"/>
    <s v="2016-02-22"/>
    <x v="0"/>
    <x v="104"/>
    <s v="PAPELERIA, UTILES DE ESCRITORIO Y OFICINA"/>
    <n v="700000"/>
    <n v="700000"/>
    <n v="0"/>
    <s v="Adquirir las pruebas Test de Wartegg, para la evaluación de las competencias laborales de los aspirantes a cargos en los distintos niveles de la Administración Publica, de acuerdo con lo establecido en las condiciones técnicas"/>
    <s v="076-2016"/>
  </r>
  <r>
    <n v="11216"/>
    <s v="2016-02-22"/>
    <x v="0"/>
    <x v="104"/>
    <s v="PAPELERIA, UTILES DE ESCRITORIO Y OFICINA"/>
    <n v="7150000"/>
    <n v="7150000"/>
    <n v="0"/>
    <s v="Adquirir los códigos de acceso (PIN) Requeridos por Función P para la realización de las pruebas psicotécnicas KOMPE ESTATAL así como asistencia técnica de la empresa PSIGMA CORPORATION S.A.S de acuerdo con lo establecido en las condiciones técnicas"/>
    <s v="082-2016"/>
  </r>
  <r>
    <n v="11316"/>
    <s v="2016-02-24"/>
    <x v="1"/>
    <x v="11"/>
    <s v="DESARROLLO CAPACIDAD INSTITUCIONAL DE LAS ENTIDADES PÚBLICAS DEL ORDEN TERRITORIAL"/>
    <n v="45000000"/>
    <n v="45000000"/>
    <n v="0"/>
    <s v="Prestar los servicios profesionales en la Dirección General, para apoyar la ejecución de la estrategia de pedagogía y construcción de paz en el territorio, en el marco del Proyecto de Inversión 520 1403 1."/>
    <s v="Cto. 071 del 26 Febrero 2016"/>
  </r>
  <r>
    <n v="11416"/>
    <s v="2016-02-25"/>
    <x v="1"/>
    <x v="25"/>
    <s v="MEJORAMIENTO DE LA GESTION DE LAS POLITICAS PUBLICAS A TRAVES DE LAS TECNOLOGIAS DE INFORMACION TICS"/>
    <n v="395782000"/>
    <n v="395726000"/>
    <n v="56000"/>
    <s v="Prestar el Servicio de Soporte Técnico Especializado en la Función Pública, para el Sistema de Información de Gestión de Empleo Público - SIGEP."/>
    <s v="Cto. 101 del 04 Abril 2016"/>
  </r>
  <r>
    <n v="11516"/>
    <s v="2016-02-25"/>
    <x v="1"/>
    <x v="25"/>
    <s v="MEJORAMIENTO DE LA GESTION DE LAS POLITICAS PUBLICAS A TRAVES DE LAS TECNOLOGIAS DE INFORMACION TICS"/>
    <n v="6560709"/>
    <n v="5510000"/>
    <n v="1050709"/>
    <s v="Suscripción al licenciamiento de una Herramienta Chat para el Espacio Virtual de Asesoría - EVA del Portal Institucional, con el respectivo soporte conforme con las condiciones técnicas establecidas en el documento."/>
    <s v="Cto. 134 del 18 Abril 2016"/>
  </r>
  <r>
    <n v="11616"/>
    <s v="2016-02-29"/>
    <x v="0"/>
    <x v="104"/>
    <s v="PAPELERIA, UTILES DE ESCRITORIO Y OFICINA"/>
    <n v="121700"/>
    <n v="121700"/>
    <n v="0"/>
    <s v="Legalización gastos de caja menor No 01 del mes de febrero de 2016, con sus respectivos comprobantes del Departamento Administrativo de la Función Publica."/>
    <s v="120-2016"/>
  </r>
  <r>
    <n v="11616"/>
    <s v="2016-02-29"/>
    <x v="0"/>
    <x v="24"/>
    <s v="PRODUCTOS DE CAFETERIA Y RESTAURANTE"/>
    <n v="1338407"/>
    <n v="1338407"/>
    <n v="0"/>
    <s v="Legalización gastos de caja menor No 01 del mes de febrero de 2016, con sus respectivos comprobantes del Departamento Administrativo de la Función Publica."/>
    <s v="120-2016"/>
  </r>
  <r>
    <n v="11616"/>
    <s v="2016-02-29"/>
    <x v="0"/>
    <x v="99"/>
    <s v="UTENSILIOS DE CAFETERIA"/>
    <n v="4300"/>
    <n v="4300"/>
    <n v="0"/>
    <s v="Legalización gastos de caja menor No 01 del mes de febrero de 2016, con sus respectivos comprobantes del Departamento Administrativo de la Función Publica."/>
    <s v="120-2016"/>
  </r>
  <r>
    <n v="11616"/>
    <s v="2016-02-29"/>
    <x v="0"/>
    <x v="14"/>
    <s v="OTROS MATERIALES Y SUMINISTROS"/>
    <n v="341814"/>
    <n v="341814"/>
    <n v="0"/>
    <s v="Legalización gastos de caja menor No 01 del mes de febrero de 2016, con sus respectivos comprobantes del Departamento Administrativo de la Función Publica."/>
    <s v="120-2016"/>
  </r>
  <r>
    <n v="11616"/>
    <s v="2016-02-29"/>
    <x v="0"/>
    <x v="3"/>
    <s v="MANTENIMIENTO DE BIENES INMUEBLES"/>
    <n v="181501"/>
    <n v="181501"/>
    <n v="0"/>
    <s v="Legalización gastos de caja menor No 01 del mes de febrero de 2016, con sus respectivos comprobantes del Departamento Administrativo de la Función Publica."/>
    <s v="120-2016"/>
  </r>
  <r>
    <n v="11616"/>
    <s v="2016-02-29"/>
    <x v="0"/>
    <x v="22"/>
    <s v="MANTENIMIENTO DE BIENES MUEBLES, EQUIPOS Y ENSERES"/>
    <n v="11000"/>
    <n v="11000"/>
    <n v="0"/>
    <s v="Legalización gastos de caja menor No 01 del mes de febrero de 2016, con sus respectivos comprobantes del Departamento Administrativo de la Función Publica."/>
    <s v="120-2016"/>
  </r>
  <r>
    <n v="11616"/>
    <s v="2016-02-29"/>
    <x v="0"/>
    <x v="2"/>
    <s v="CORREO"/>
    <n v="26500"/>
    <n v="26500"/>
    <n v="0"/>
    <s v="Legalización gastos de caja menor No 01 del mes de febrero de 2016, con sus respectivos comprobantes del Departamento Administrativo de la Función Publica."/>
    <s v="120-2016"/>
  </r>
  <r>
    <n v="11616"/>
    <s v="2016-02-29"/>
    <x v="0"/>
    <x v="100"/>
    <s v="TRANSPORTE"/>
    <n v="78500"/>
    <n v="78500"/>
    <n v="0"/>
    <s v="Legalización gastos de caja menor No 01 del mes de febrero de 2016, con sus respectivos comprobantes del Departamento Administrativo de la Función Publica."/>
    <s v="120-2016"/>
  </r>
  <r>
    <n v="11616"/>
    <s v="2016-02-29"/>
    <x v="0"/>
    <x v="17"/>
    <s v="OTROS GASTOS POR IMPRESOS Y PUBLICACIONES"/>
    <n v="124656"/>
    <n v="124656"/>
    <n v="0"/>
    <s v="Legalización gastos de caja menor No 01 del mes de febrero de 2016, con sus respectivos comprobantes del Departamento Administrativo de la Función Publica."/>
    <s v="120-2016"/>
  </r>
  <r>
    <n v="11716"/>
    <s v="2016-03-04"/>
    <x v="0"/>
    <x v="105"/>
    <s v="IMPUESTO DE VEHICULO"/>
    <n v="900000"/>
    <n v="799100"/>
    <n v="100900"/>
    <s v="Pago Impuesto de Vehículos 2016 del Dafp. Placas No OBG002-OBG000-OBI914-OBI913-OBI370"/>
    <s v="15162/345/804/947-16146"/>
  </r>
  <r>
    <n v="11816"/>
    <s v="2016-03-04"/>
    <x v="0"/>
    <x v="106"/>
    <s v="IMPUESTO PREDIAL"/>
    <n v="35192000"/>
    <n v="34339000"/>
    <n v="853000"/>
    <s v="Pago Impuesto predial 2016, Edificio CRA 6 No 12-64, PISO 2, 3, 4, 5, 6, 7, 9. Formulario 113482,114860,116763,118279,119879,127007 y 125870."/>
    <s v="113482,4860,6763,8279,9879"/>
  </r>
  <r>
    <n v="11916"/>
    <s v="2016-03-10"/>
    <x v="1"/>
    <x v="10"/>
    <s v="MEJORAMIENTO FORTALECIMIENTO DE LA CAPACIDAD INSTITUCIONAL PARA EL DESARROLLO DE LAS POLITICAS PUBLICAS NACION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1916"/>
    <s v="2016-03-10"/>
    <x v="1"/>
    <x v="11"/>
    <s v="DESARROLLO CAPACIDAD INSTITUCIONAL DE LAS ENTIDADES PÚBLICAS DEL ORDEN TERRITORI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2016"/>
    <s v="2016-03-10"/>
    <x v="1"/>
    <x v="10"/>
    <s v="MEJORAMIENTO FORTALECIMIENTO DE LA CAPACIDAD INSTITUCIONAL PARA EL DESARROLLO DE LAS POLITICAS PUBLICAS NACION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016"/>
    <s v="2016-03-10"/>
    <x v="1"/>
    <x v="11"/>
    <s v="DESARROLLO CAPACIDAD INSTITUCIONAL DE LAS ENTIDADES PÚBLICAS DEL ORDEN TERRITORI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116"/>
    <s v="2016-03-10"/>
    <x v="1"/>
    <x v="10"/>
    <s v="MEJORAMIENTO FORTALECIMIENTO DE LA CAPACIDAD INSTITUCIONAL PARA EL DESARROLLO DE LAS POLITICAS PUBLICAS NACIONAL"/>
    <n v="102165000"/>
    <n v="102165000"/>
    <n v="0"/>
    <s v="Servicios profesionales en la Subdirección para apoyar la ejecución y seguimiento al cumplimiento de las metas institucionales, establecidas para cada una de las Direcciones Técnicas en el marco del proyecto 123 1000 4."/>
    <s v="Cto. 078 del 14 Marzo 2016"/>
  </r>
  <r>
    <n v="12216"/>
    <s v="2016-03-11"/>
    <x v="2"/>
    <x v="27"/>
    <s v="HONORARIOS"/>
    <n v="13448000"/>
    <n v="13448000"/>
    <n v="0"/>
    <s v="Prestar los Servicios de apoyo a la Gestión en el Grupo de Gestión Administrativa y Documental, para realizar labores de mantenimiento y reparaciones locativas que se requieran para la conservación del edificio sede y de los bienes muebles del DAFP."/>
    <s v="Cto. 114 del 11 Abril 2016"/>
  </r>
  <r>
    <n v="12316"/>
    <s v="2016-03-15"/>
    <x v="1"/>
    <x v="10"/>
    <s v="MEJORAMIENTO FORTALECIMIENTO DE LA CAPACIDAD INSTITUCIONAL PARA EL DESARROLLO DE LAS POLITICAS PUBLICAS NACIONAL"/>
    <n v="9975000"/>
    <n v="9975000"/>
    <n v="0"/>
    <s v="Prestar los Servicios Profesionales en el Grupo de Comunicaciones Estratégicas con el fin de apoyar la actualización de la estrategia de comunicaciones de la Función Publica en el marco del proyecto de Inversión Mejoramiento Capacidad Institucional"/>
    <s v="083-2016"/>
  </r>
  <r>
    <n v="12416"/>
    <s v="2016-03-15"/>
    <x v="0"/>
    <x v="5"/>
    <s v="SERVICIOS DE TRANSMISION DE INFORMACION"/>
    <n v="464000"/>
    <n v="464000"/>
    <n v="0"/>
    <s v="Adición 1 al Contrato 137 del 27 de agosto de 2015."/>
    <s v="Adic. 1 Cto. 137 de 2015"/>
  </r>
  <r>
    <n v="12516"/>
    <s v="2016-03-15"/>
    <x v="1"/>
    <x v="25"/>
    <s v="MEJORAMIENTO DE LA GESTION DE LAS POLITICAS PUBLICAS A TRAVES DE LAS TECNOLOGIAS DE INFORMACION TICS"/>
    <n v="36000000"/>
    <n v="36000000"/>
    <n v="0"/>
    <s v="Prestar los servicios profesionales para apoyar jurídicamente los procesos de contratación para la adquisición de bienes y servicios de Tecnologías de la Información para la Entidad, con cargo al proyecto de inversión 520 1000 10."/>
    <s v="Cto. 090 del 28 Marzo 2016"/>
  </r>
  <r>
    <n v="12616"/>
    <s v="2016-03-16"/>
    <x v="1"/>
    <x v="10"/>
    <s v="MEJORAMIENTO FORTALECIMIENTO DE LA CAPACIDAD INSTITUCIONAL PARA EL DESARROLLO DE LAS POLITICAS PUBLICAS NACIONAL"/>
    <n v="18560000"/>
    <n v="18560000"/>
    <n v="0"/>
    <s v="Prestar los Servicios Profesionales en la Dirección de Empleo Público para apoyar la elaboración de un (1) documento que contenga aspectos constitucionales y jurisprudenciales en relación con la CNSC, en el marco del Proy. 123 1000 4."/>
    <s v="Cto. 113 del 11 Abril 2016"/>
  </r>
  <r>
    <n v="12716"/>
    <s v="2016-03-16"/>
    <x v="2"/>
    <x v="27"/>
    <s v="HONORARIOS"/>
    <n v="5000000"/>
    <n v="5000000"/>
    <n v="0"/>
    <s v="Servic. Prof. para actualizar y determ valor del Pasivo Pens. con entrega del cálculo actuarial 31 Dcbre 2015, de las obligaciones sobre pensión sanción del liquid FNBS-CEO a cargo del DAFP incluy conting del pasivo y demas de Proc Judic en curso."/>
    <s v="Cto. 136 del 18 Abril 2016"/>
  </r>
  <r>
    <n v="12816"/>
    <s v="2016-03-18"/>
    <x v="1"/>
    <x v="11"/>
    <s v="DESARROLLO CAPACIDAD INSTITUCIONAL DE LAS ENTIDADES PÚBLICAS DEL ORDEN TERRITORIAL"/>
    <n v="10815000"/>
    <n v="10815000"/>
    <n v="0"/>
    <s v="Servicios Profesionales en el Grupo de Comunicaciones Estratégicas, para apoyar la difusión de los medios de comunicación tanto nacionales como territoriales, la información que produce la Función Pública en el marco del proyecto 520 1403 1,"/>
    <s v="Cto. 086 del 23 Marzo 2016"/>
  </r>
  <r>
    <n v="12916"/>
    <s v="2016-03-22"/>
    <x v="1"/>
    <x v="10"/>
    <s v="MEJORAMIENTO FORTALECIMIENTO DE LA CAPACIDAD INSTITUCIONAL PARA EL DESARROLLO DE LAS POLITICAS PUBLICAS NACIONAL"/>
    <n v="23167000"/>
    <n v="23167000"/>
    <n v="0"/>
    <s v="Prestar los servicios profesionales para apoyar el seguimiento al cumplimiento de los compromisos estratégicos y misionales en los temas relacionados con Participación, Transparencia y Servicio al Ciudadano, en marco del Proy. de Inversión 123 1000 4"/>
    <s v="Cto. 088 del 23 Marzo 2016"/>
  </r>
  <r>
    <n v="13016"/>
    <s v="2016-03-22"/>
    <x v="1"/>
    <x v="10"/>
    <s v="MEJORAMIENTO FORTALECIMIENTO DE LA CAPACIDAD INSTITUCIONAL PARA EL DESARROLLO DE LAS POLITICAS PUBLICAS NACIONAL"/>
    <n v="26271000"/>
    <n v="26271000"/>
    <n v="0"/>
    <s v="Prestar los servicios profesionales para apoyar a la Dirección General en el seguimiento de las actividades y compromisos, encaminados za fortalecer las políticas públicas del Sector, en marco del Proyectro de Inversión 123 1000 4."/>
    <s v="Cto. 089 del 23 Marzo 2016"/>
  </r>
  <r>
    <n v="13116"/>
    <s v="2016-03-22"/>
    <x v="1"/>
    <x v="10"/>
    <s v="MEJORAMIENTO FORTALECIMIENTO DE LA CAPACIDAD INSTITUCIONAL PARA EL DESARROLLO DE LAS POLITICAS PUBLICAS NACIONAL"/>
    <n v="68110000"/>
    <n v="68110000"/>
    <n v="0"/>
    <s v="Prestar los servicios profesionales en la Función Pública para apoyar la ejecución del proyecto &quot;Estrategia de Cambio Cultural&quot; en el marco del proyecto de Inversión 123 1000 4"/>
    <s v="Cto.. 087 del 23 Marzo 2016"/>
  </r>
  <r>
    <n v="13216"/>
    <s v="2016-03-23"/>
    <x v="1"/>
    <x v="10"/>
    <s v="MEJORAMIENTO FORTALECIMIENTO DE LA CAPACIDAD INSTITUCIONAL PARA EL DESARROLLO DE LAS POLITICAS PUBLICAS NACIONAL"/>
    <n v="6489000"/>
    <n v="6489000"/>
    <n v="0"/>
    <s v="Prestar los servicios profesionales en el Grupo de Comunicaciones Estratégicas, con el fin de apoyar la estrategia de Comunicación insterinstitucional, dirigida a los servidores públicos y entidades estatales, en elmarco del Proy. Inver. 123 1000 4."/>
    <s v="Cto. 103 del 04 Abril 2016"/>
  </r>
  <r>
    <n v="13316"/>
    <s v="2016-03-28"/>
    <x v="1"/>
    <x v="10"/>
    <s v="MEJORAMIENTO FORTALECIMIENTO DE LA CAPACIDAD INSTITUCIONAL PARA EL DESARROLLO DE LAS POLITICAS PUBLICAS NACIONAL"/>
    <n v="6489000"/>
    <n v="6489000"/>
    <n v="0"/>
    <s v="Prestar los Servicios Profesionales en el Grupo de Comunicaciones Estratégicas para apoyar la implementación de la estrategia de comunicaciones en las redes sociales institucionales del DAFP, en el marco del Proyecto de Inversión 123 1000 4"/>
    <s v="Cto. 093 del 30 Marzo 2016"/>
  </r>
  <r>
    <n v="134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4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5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5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616"/>
    <s v="2016-03-28"/>
    <x v="0"/>
    <x v="1"/>
    <s v="SERVICIO DE ASEO"/>
    <n v="34494453.030000001"/>
    <n v="34494453.030000001"/>
    <n v="0"/>
    <s v="Prestacion del Servicio de aseo y cafeteria en el edificio sede de la Funcion Publica, para proveer a los servidores y visitantes de los elementos de consumo para el buen desarrollo de sus funciones y garantizar un buen ambiente e Higiene y limpieza"/>
    <s v="142-2016"/>
  </r>
  <r>
    <n v="13716"/>
    <s v="2016-03-28"/>
    <x v="1"/>
    <x v="10"/>
    <s v="MEJORAMIENTO FORTALECIMIENTO DE LA CAPACIDAD INSTITUCIONAL PARA EL DESARROLLO DE LAS POLITICAS PUBLICAS NACIONAL"/>
    <n v="12800000"/>
    <n v="12800000"/>
    <n v="0"/>
    <s v="Suministro de pasajes aéreos en rutas nacionales, así como la prestación del servicio de agencia de viajes."/>
    <s v="Cto. 121 del 12 Abril 2016"/>
  </r>
  <r>
    <n v="13716"/>
    <s v="2016-03-28"/>
    <x v="1"/>
    <x v="10"/>
    <s v="MEJORAMIENTO FORTALECIMIENTO DE LA CAPACIDAD INSTITUCIONAL PARA EL DESARROLLO DE LAS POLITICAS PUBLICAS NACIONAL"/>
    <n v="12800000"/>
    <n v="0"/>
    <n v="12800000"/>
    <s v="Suministro de pasajes aéreos en rutas nacionales, así como la prestación del servicio de agencia de viajes."/>
    <s v="Cto. 121 del 12 Abril 2016"/>
  </r>
  <r>
    <n v="13816"/>
    <s v="2016-03-30"/>
    <x v="1"/>
    <x v="10"/>
    <s v="MEJORAMIENTO FORTALECIMIENTO DE LA CAPACIDAD INSTITUCIONAL PARA EL DESARROLLO DE LAS POLITICAS PUBLICAS NACIONAL"/>
    <n v="9030000"/>
    <n v="9030000"/>
    <n v="0"/>
    <s v="Prestar los servicios profesionales en el Grupo de Comunicaciones Estratégicas , con el fin de efectuar la diagramación de las publicaciones técnicas y de los documentos institucionales de la entidad, en el marco del Proy. de Invers. 123 1000 4."/>
    <s v="Cto. 109 del 06 Abril 2016"/>
  </r>
  <r>
    <n v="13916"/>
    <s v="2016-03-30"/>
    <x v="1"/>
    <x v="10"/>
    <s v="MEJORAMIENTO FORTALECIMIENTO DE LA CAPACIDAD INSTITUCIONAL PARA EL DESARROLLO DE LAS POLITICAS PUBLICAS NACIONAL"/>
    <n v="12600000"/>
    <n v="12600000"/>
    <n v="0"/>
    <s v="Servicios Profesionales en la Direc. de Particip., Transp. y Serv. al Ciudadano , para apoyar la implemen. del modelo de serv. al ciudadano en el DAFP y la articulación con EVA, así como con las demás Direcciones Técnicas del DAFP. Proy. 123 1000 4."/>
    <s v="Cto. 095 del 01 Abril 2016"/>
  </r>
  <r>
    <n v="14016"/>
    <s v="2016-03-30"/>
    <x v="1"/>
    <x v="10"/>
    <s v="MEJORAMIENTO FORTALECIMIENTO DE LA CAPACIDAD INSTITUCIONAL PARA EL DESARROLLO DE LAS POLITICAS PUBLICAS NACIONAL"/>
    <n v="63000000"/>
    <n v="63000000"/>
    <n v="0"/>
    <s v="Prestar los Serv. Profes. apoyar la elabor. de los lineamientos, para promover la particip. ciudadana en la gestión pública, Rendicición de Ctas. y Control Social reg. en el proc. democratiz. de la Admón. Púb. al DAFP. Proy. de Invers. 123 1000 4."/>
    <s v="Cto. 105 del 05 Abril 2016"/>
  </r>
  <r>
    <n v="14116"/>
    <s v="2016-03-31"/>
    <x v="1"/>
    <x v="10"/>
    <s v="MEJORAMIENTO FORTALECIMIENTO DE LA CAPACIDAD INSTITUCIONAL PARA EL DESARROLLO DE LAS POLITICAS PUBLICAS NACIONAL"/>
    <n v="23625000"/>
    <n v="23625000"/>
    <n v="0"/>
    <s v="Prestar los Serv. Profes. en la Dirección de Gestión del Conocimiento de la Función Pública para apoyar el desarrollo del Sistema de Gestión de Conocimiento y Grupos de Valor de la Función Pública, en el marco del Proyecto de Inversión 123 1000 4"/>
    <s v="Cto. 098 del 01 Abril 2016"/>
  </r>
  <r>
    <n v="14216"/>
    <s v="2016-03-31"/>
    <x v="1"/>
    <x v="11"/>
    <s v="DESARROLLO CAPACIDAD INSTITUCIONAL DE LAS ENTIDADES PÚBLICAS DEL ORDEN TERRITORIAL"/>
    <n v="37800000"/>
    <n v="37800000"/>
    <n v="0"/>
    <s v="Prestar los servicios profesionales en la Dirección de Desarrollo Organizacional para apoyar la implementación de la Estrategia de Gestión Territorial al interior de la Entidad, en el marco del proyecto de inversión 520 1403 1."/>
    <s v="Cto. 102 del 04 Abril 2016"/>
  </r>
  <r>
    <n v="14316"/>
    <s v="2016-03-31"/>
    <x v="1"/>
    <x v="11"/>
    <s v="DESARROLLO CAPACIDAD INSTITUCIONAL DE LAS ENTIDADES PÚBLICAS DEL ORDEN TERRITORIAL"/>
    <n v="37800000"/>
    <n v="37800000"/>
    <n v="0"/>
    <s v="Prestar los Servicios Profes. para apoyar las actividades relacionadas con la ejcución de la Estrategia de Gestión Territorial, en el marco del proyecto de inversión Desarrollo Capacidad Institucional de las Entidades Públicas del Orden Territorial."/>
    <s v="Cto. 099 del 01 Abril de 2016"/>
  </r>
  <r>
    <n v="14416"/>
    <s v="2016-03-31"/>
    <x v="1"/>
    <x v="11"/>
    <s v="DESARROLLO CAPACIDAD INSTITUCIONAL DE LAS ENTIDADES PÚBLICAS DEL ORDEN TERRITORIAL"/>
    <n v="98658000"/>
    <n v="98658000"/>
    <n v="0"/>
    <s v="Prestar los servicios profesionales en la Dirección de Desarrollo Organizacional para apoyar la implementación de la Estrategia de Gestión Territorial al interior de la Función Pública, en el marco del proyecto de inversión 520 1403 1."/>
    <s v="Cto. 100 del 01 Abril 2016"/>
  </r>
  <r>
    <n v="14516"/>
    <s v="2016-03-31"/>
    <x v="2"/>
    <x v="27"/>
    <s v="HONORARIOS"/>
    <n v="6300000"/>
    <n v="0"/>
    <n v="6300000"/>
    <s v="PENDIENTE POR COMPROMETER"/>
    <s v="PENDIENTE POR COMPROMETER"/>
  </r>
  <r>
    <n v="14616"/>
    <s v="2016-03-31"/>
    <x v="1"/>
    <x v="10"/>
    <s v="MEJORAMIENTO FORTALECIMIENTO DE LA CAPACIDAD INSTITUCIONAL PARA EL DESARROLLO DE LAS POLITICAS PUBLICAS NACIONAL"/>
    <n v="26200000"/>
    <n v="26200000"/>
    <n v="0"/>
    <s v="Servicios Profes. en la Dirección del DAFP, para apoyar la gestión de las activid. relacionadas con los componen. de visibilidad, Coop. Técnica y Financiera y de formación contempladas en la Estrategia de Gestión Internacional al interior del DAFP."/>
    <s v="Cto. 096 del 01 Abril 2016"/>
  </r>
  <r>
    <n v="147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7 del 06 Abril 2016"/>
  </r>
  <r>
    <n v="148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6 del 06 Abril 2016"/>
  </r>
  <r>
    <n v="14916"/>
    <s v="2016-03-31"/>
    <x v="1"/>
    <x v="10"/>
    <s v="MEJORAMIENTO FORTALECIMIENTO DE LA CAPACIDAD INSTITUCIONAL PARA EL DESARROLLO DE LAS POLITICAS PUBLICAS NACIONAL"/>
    <n v="58500000"/>
    <n v="58500000"/>
    <n v="0"/>
    <s v="Prestar los Servicios Profesionales en la Dirección General, para apoyar el desarrollo de la Estrategia de Gestión Internacional de la FunciónPública, en el marco del Proyecto de Inversión 123 1000 4"/>
    <s v="Cto. 097 del 01 Abril 2016"/>
  </r>
  <r>
    <n v="15016"/>
    <s v="2016-03-31"/>
    <x v="1"/>
    <x v="10"/>
    <s v="MEJORAMIENTO FORTALECIMIENTO DE LA CAPACIDAD INSTITUCIONAL PARA EL DESARROLLO DE LAS POLITICAS PUBLICAS NACIONAL"/>
    <n v="47250000"/>
    <n v="42000000"/>
    <n v="5250000"/>
    <s v="Prestar los servicios profesionales en la Oficina Asesora de Planeación, para apoyar el seguimiento a los proyectos de gestión, planes operativos y a los indicadores Sinergia, en el marco del Proyecto de Inversión 123 1000 4."/>
    <s v="Cto. 104 del 05 Abril 2016"/>
  </r>
  <r>
    <n v="15116"/>
    <s v="2016-03-31"/>
    <x v="1"/>
    <x v="10"/>
    <s v="MEJORAMIENTO FORTALECIMIENTO DE LA CAPACIDAD INSTITUCIONAL PARA EL DESARROLLO DE LAS POLITICAS PUBLICAS NACIONAL"/>
    <n v="77945000"/>
    <n v="77945000"/>
    <n v="0"/>
    <s v="Prestar los servicios profesionales en la Función Pública, para articular con las diferentes dependencias la ejecución de las actividades orientadas a la adecuada operación y funcionamiento de EVA con cargo al Proyecto de Inversión 123 1000 4."/>
    <s v="Cto. 111 del 08 Abril 2016"/>
  </r>
  <r>
    <n v="15216"/>
    <s v="2016-04-01"/>
    <x v="0"/>
    <x v="3"/>
    <s v="MANTENIMIENTO DE BIENES INMUEBLES"/>
    <n v="8074767"/>
    <n v="2055522"/>
    <n v="6019245"/>
    <s v="Adición y Prorroga al contrato de servicios No 218 de 2015"/>
    <s v="Adicion y Prorroga No 01"/>
  </r>
  <r>
    <n v="15316"/>
    <s v="2016-04-01"/>
    <x v="1"/>
    <x v="10"/>
    <s v="MEJORAMIENTO FORTALECIMIENTO DE LA CAPACIDAD INSTITUCIONAL PARA EL DESARROLLO DE LAS POLITICAS PUBLICAS NACIONAL"/>
    <n v="33000000"/>
    <n v="33000000"/>
    <n v="0"/>
    <s v="Prestar los servicios profesionales en la Dirección de Empleo Publico para adelantar la recopilación y análisis de los datos nacionales, territoriales e internacionales sobre empleo publico en el marco del proyecto de Inversión"/>
    <s v="141-2016"/>
  </r>
  <r>
    <n v="15416"/>
    <s v="2016-04-01"/>
    <x v="1"/>
    <x v="10"/>
    <s v="MEJORAMIENTO FORTALECIMIENTO DE LA CAPACIDAD INSTITUCIONAL PARA EL DESARROLLO DE LAS POLITICAS PUBLICAS NACIONAL"/>
    <n v="67200000"/>
    <n v="67200000"/>
    <n v="0"/>
    <s v="Prestar los Serv. Profes. en la Direc. Empleo Púb., para apoyar en la elabor. e implemen. de propuesta de índice Estrat. del talento humano, como el desarrollo del Proy. de Servid. Púb. e innovadores y competentes en el marco del Proy. 123 1000 4."/>
    <s v="Cto. 108 del 06 abril 2016"/>
  </r>
  <r>
    <n v="15516"/>
    <s v="2016-04-01"/>
    <x v="1"/>
    <x v="10"/>
    <s v="MEJORAMIENTO FORTALECIMIENTO DE LA CAPACIDAD INSTITUCIONAL PARA EL DESARROLLO DE LAS POLITICAS PUBLICAS NACIONAL"/>
    <n v="32760000"/>
    <n v="32760000"/>
    <n v="0"/>
    <s v="Prestar los servicios profesionales en la Dirección de Empleo Publico para apoyar las etapas de ajustes, tramite de aprobación y socialización del documento de política de empleo Publico con las entidades de la Rama Ejecutiva del orden nacional"/>
    <s v="133-2016"/>
  </r>
  <r>
    <n v="15616"/>
    <s v="2016-04-01"/>
    <x v="1"/>
    <x v="10"/>
    <s v="MEJORAMIENTO FORTALECIMIENTO DE LA CAPACIDAD INSTITUCIONAL PARA EL DESARROLLO DE LAS POLITICAS PUBLICAS NACIONAL"/>
    <n v="80000000"/>
    <n v="80000000"/>
    <n v="0"/>
    <s v="Prestar Servicios Profesionales en la Dirección de Empleo Publico para apoyar en la elaboración de la propuesta del nuevo modelo de Gerencia Publica de Colombia en el marco del proyecto de inversión Mejoramiento F para el Desarrollo de las políticas"/>
    <s v="151-2016"/>
  </r>
  <r>
    <n v="15716"/>
    <s v="2016-04-04"/>
    <x v="1"/>
    <x v="10"/>
    <s v="MEJORAMIENTO FORTALECIMIENTO DE LA CAPACIDAD INSTITUCIONAL PARA EL DESARROLLO DE LAS POLITICAS PUBLICAS NACIONAL"/>
    <n v="19530000"/>
    <n v="19530000"/>
    <n v="0"/>
    <s v="Prestar los servicios profesionales en la Dirección, para apoyar la ejecución del Proyecto &quot;Diversidad e Inclusión en el Empleo Público&quot;, en el marco del Proyecto de Inversión123 1000 4."/>
    <s v="Cto. 110 del 08 Abril 2016"/>
  </r>
  <r>
    <n v="15816"/>
    <s v="2016-04-04"/>
    <x v="1"/>
    <x v="11"/>
    <s v="DESARROLLO CAPACIDAD INSTITUCIONAL DE LAS ENTIDADES PÚBLICAS DEL ORDEN TERRITORIAL"/>
    <n v="65770078"/>
    <n v="10642482.5"/>
    <n v="55127595.5"/>
    <s v="Comisión de servicios a Cali los días 05 y 06 de abril 2016, Resolución 181 del 05 abril 2016. Fortalecimiento Territorial Alcaldía de Cali."/>
    <s v="181 del 05 Aabril 2016"/>
  </r>
  <r>
    <n v="15916"/>
    <s v="2016-04-06"/>
    <x v="0"/>
    <x v="13"/>
    <s v="VIATICOS Y GASTOS DE VIAJE AL INTERIOR"/>
    <n v="1086510"/>
    <n v="1086510"/>
    <n v="0"/>
    <s v="Legalizacion y reembolso gastos realizados durante el mes de marzo de 2016 con cargo a la Caja Menor del DAFP."/>
    <s v="193 del 06 Abril 2016"/>
  </r>
  <r>
    <n v="15916"/>
    <s v="2016-04-06"/>
    <x v="0"/>
    <x v="104"/>
    <s v="PAPELERIA, UTILES DE ESCRITORIO Y OFICINA"/>
    <n v="181300"/>
    <n v="181300"/>
    <n v="0"/>
    <s v="Legalizacion y reembolso gastos realizados durante el mes de marzo de 2016 con cargo a la Caja Menor del DAFP."/>
    <s v="193 del 06 Abril 2016"/>
  </r>
  <r>
    <n v="15916"/>
    <s v="2016-04-06"/>
    <x v="0"/>
    <x v="24"/>
    <s v="PRODUCTOS DE CAFETERIA Y RESTAURANTE"/>
    <n v="858884"/>
    <n v="858884"/>
    <n v="0"/>
    <s v="Legalizacion y reembolso gastos realizados durante el mes de marzo de 2016 con cargo a la Caja Menor del DAFP."/>
    <s v="193 del 06 Abril 2016"/>
  </r>
  <r>
    <n v="15916"/>
    <s v="2016-04-06"/>
    <x v="0"/>
    <x v="14"/>
    <s v="OTROS MATERIALES Y SUMINISTROS"/>
    <n v="126110"/>
    <n v="126110"/>
    <n v="0"/>
    <s v="Legalizacion y reembolso gastos realizados durante el mes de marzo de 2016 con cargo a la Caja Menor del DAFP."/>
    <s v="193 del 06 Abril 2016"/>
  </r>
  <r>
    <n v="15916"/>
    <s v="2016-04-06"/>
    <x v="0"/>
    <x v="3"/>
    <s v="MANTENIMIENTO DE BIENES INMUEBLES"/>
    <n v="280200"/>
    <n v="280200"/>
    <n v="0"/>
    <s v="Legalizacion y reembolso gastos realizados durante el mes de marzo de 2016 con cargo a la Caja Menor del DAFP."/>
    <s v="193 del 06 Abril 2016"/>
  </r>
  <r>
    <n v="15916"/>
    <s v="2016-04-06"/>
    <x v="0"/>
    <x v="22"/>
    <s v="MANTENIMIENTO DE BIENES MUEBLES, EQUIPOS Y ENSERES"/>
    <n v="180000"/>
    <n v="180000"/>
    <n v="0"/>
    <s v="Legalizacion y reembolso gastos realizados durante el mes de marzo de 2016 con cargo a la Caja Menor del DAFP."/>
    <s v="193 del 06 Abril 2016"/>
  </r>
  <r>
    <n v="15916"/>
    <s v="2016-04-06"/>
    <x v="0"/>
    <x v="2"/>
    <s v="CORREO"/>
    <n v="29614"/>
    <n v="29614"/>
    <n v="0"/>
    <s v="Legalizacion y reembolso gastos realizados durante el mes de marzo de 2016 con cargo a la Caja Menor del DAFP."/>
    <s v="193 del 06 Abril 2016"/>
  </r>
  <r>
    <n v="15916"/>
    <s v="2016-04-06"/>
    <x v="0"/>
    <x v="100"/>
    <s v="TRANSPORTE"/>
    <n v="964200"/>
    <n v="964200"/>
    <n v="0"/>
    <s v="Legalizacion y reembolso gastos realizados durante el mes de marzo de 2016 con cargo a la Caja Menor del DAFP."/>
    <s v="193 del 06 Abril 2016"/>
  </r>
  <r>
    <n v="15916"/>
    <s v="2016-04-06"/>
    <x v="0"/>
    <x v="17"/>
    <s v="OTROS GASTOS POR IMPRESOS Y PUBLICACIONES"/>
    <n v="115086"/>
    <n v="115086"/>
    <n v="0"/>
    <s v="Legalizacion y reembolso gastos realizados durante el mes de marzo de 2016 con cargo a la Caja Menor del DAFP."/>
    <s v="193 del 06 Abril 2016"/>
  </r>
  <r>
    <n v="16016"/>
    <s v="2016-04-07"/>
    <x v="0"/>
    <x v="7"/>
    <s v="REPUESTOS"/>
    <n v="100000"/>
    <n v="0"/>
    <n v="100000"/>
    <s v="PENDIENTE POR COMPROMETER"/>
    <s v="PENDIENTE POR COMPROMETER"/>
  </r>
  <r>
    <n v="16016"/>
    <s v="2016-04-07"/>
    <x v="0"/>
    <x v="22"/>
    <s v="MANTENIMIENTO DE BIENES MUEBLES, EQUIPOS Y ENSERES"/>
    <n v="2400000"/>
    <n v="0"/>
    <n v="2400000"/>
    <s v="PENDIENTE POR COMPROMETER"/>
    <s v="PENDIENTE POR COMPROMETER"/>
  </r>
  <r>
    <n v="16116"/>
    <s v="2016-04-07"/>
    <x v="0"/>
    <x v="98"/>
    <s v="SEGURO RESPONSABILIDAD CIVIL"/>
    <n v="271603"/>
    <n v="271603"/>
    <n v="0"/>
    <s v="Seguro obligatorio de Accidente de Tránsito- SOAT, para un vehículo automotor, identificado con la placa OJY294 del parque automotor de la Función Pública."/>
    <s v="Cto. 138 del 19 Abril 2016"/>
  </r>
  <r>
    <n v="16216"/>
    <s v="2016-04-07"/>
    <x v="1"/>
    <x v="10"/>
    <s v="MEJORAMIENTO FORTALECIMIENTO DE LA CAPACIDAD INSTITUCIONAL PARA EL DESARROLLO DE LAS POLITICAS PUBLICAS NACIONAL"/>
    <n v="56950000"/>
    <n v="56950000"/>
    <n v="0"/>
    <s v="Serv. Profes. en la Direc. Juríd para apoyar activid de relatoría Gestor Normat. en la selec. y actualiz.de concep. Juríd y Técnicos emitid por Func. Púb. así como la normativ., jurispr. y doct. del Sect Func Públ para incorporar en el Gestor Normat."/>
    <s v="Cto. 119 del 12 Abril 2017"/>
  </r>
  <r>
    <n v="163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18 del 12 Abril 2017"/>
  </r>
  <r>
    <n v="164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20 del 12 Abril 2017"/>
  </r>
  <r>
    <n v="165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7 del 12 Abril 2016"/>
  </r>
  <r>
    <n v="166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3 del 12 Abril 2016"/>
  </r>
  <r>
    <n v="167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2 del 12 Abril 2016"/>
  </r>
  <r>
    <n v="168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5 del 12 Abril 2016"/>
  </r>
  <r>
    <n v="169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6 del 12 Abril 2016"/>
  </r>
  <r>
    <n v="17016"/>
    <s v="2016-04-07"/>
    <x v="1"/>
    <x v="10"/>
    <s v="MEJORAMIENTO FORTALECIMIENTO DE LA CAPACIDAD INSTITUCIONAL PARA EL DESARROLLO DE LAS POLITICAS PUBLICAS NACIONAL"/>
    <n v="25000000"/>
    <n v="25000000"/>
    <n v="0"/>
    <s v="Suministro de pasajes aereos en rutas nacionales e internacionales, asi como el servicio de agencia de viajes de acuerdo al plan anual de adquisiciones de la Entidad"/>
    <s v="143-2016"/>
  </r>
  <r>
    <n v="17016"/>
    <s v="2016-04-07"/>
    <x v="1"/>
    <x v="11"/>
    <s v="DESARROLLO CAPACIDAD INSTITUCIONAL DE LAS ENTIDADES PÚBLICAS DEL ORDEN TERRITORIAL"/>
    <n v="112700000"/>
    <n v="112700000"/>
    <n v="0"/>
    <s v="Suministro de pasajes aereos en rutas nacionales e internacionales, asi como el servicio de agencia de viajes de acuerdo al plan anual de adquisiciones de la Entidad"/>
    <s v="143-2016"/>
  </r>
  <r>
    <n v="17116"/>
    <s v="2016-04-07"/>
    <x v="1"/>
    <x v="10"/>
    <s v="MEJORAMIENTO FORTALECIMIENTO DE LA CAPACIDAD INSTITUCIONAL PARA EL DESARROLLO DE LAS POLITICAS PUBLICAS NACIONAL"/>
    <n v="21263000"/>
    <n v="21263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116"/>
    <s v="2016-04-07"/>
    <x v="1"/>
    <x v="11"/>
    <s v="DESARROLLO CAPACIDAD INSTITUCIONAL DE LAS ENTIDADES PÚBLICAS DEL ORDEN TERRITORIAL"/>
    <n v="21262000"/>
    <n v="21262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216"/>
    <s v="2016-04-07"/>
    <x v="1"/>
    <x v="10"/>
    <s v="MEJORAMIENTO FORTALECIMIENTO DE LA CAPACIDAD INSTITUCIONAL PARA EL DESARROLLO DE LAS POLITICAS PUBLICAS NACION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216"/>
    <s v="2016-04-07"/>
    <x v="1"/>
    <x v="11"/>
    <s v="DESARROLLO CAPACIDAD INSTITUCIONAL DE LAS ENTIDADES PÚBLICAS DEL ORDEN TERRITORI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316"/>
    <s v="2016-04-11"/>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4 del 12 Abril 2016"/>
  </r>
  <r>
    <n v="17416"/>
    <s v="2016-04-11"/>
    <x v="1"/>
    <x v="10"/>
    <s v="MEJORAMIENTO FORTALECIMIENTO DE LA CAPACIDAD INSTITUCIONAL PARA EL DESARROLLO DE LAS POLITICAS PUBLICAS NACIONAL"/>
    <n v="36851864"/>
    <n v="36851864"/>
    <n v="0"/>
    <s v="Prestar Servicios Profesionales en la Dirección de Desarrollo Organizacional para apoyar la implementación, desarrollo y seguimiento técnico, administrativo y operativo de la iniciativa Fortalecimiento de la Gestión territorial"/>
    <s v="130-2016"/>
  </r>
  <r>
    <n v="17516"/>
    <s v="2016-04-11"/>
    <x v="1"/>
    <x v="10"/>
    <s v="MEJORAMIENTO FORTALECIMIENTO DE LA CAPACIDAD INSTITUCIONAL PARA EL DESARROLLO DE LAS POLITICAS PUBLICAS NACIONAL"/>
    <n v="24500000"/>
    <n v="24500000"/>
    <n v="0"/>
    <s v="Prestar Ser Profesionales en la Direcc de Desarrollo Organizacional para apoyar en la revisión y el análisis de información cualitativa, cuantitativa y la producción de documentos técnicos de la iniciativa Fortalecimiento de la Gestión territorial"/>
    <s v="131-2016"/>
  </r>
  <r>
    <n v="17616"/>
    <s v="2016-04-11"/>
    <x v="1"/>
    <x v="10"/>
    <s v="MEJORAMIENTO FORTALECIMIENTO DE LA CAPACIDAD INSTITUCIONAL PARA EL DESARROLLO DE LAS POLITICAS PUBLICAS NACIONAL"/>
    <n v="24500000"/>
    <n v="24500000"/>
    <n v="0"/>
    <s v="Prestar Ser Profesionales en la Direcc de Desa Organizacional para apoyar en el estudio de los datos obtenidos de fuentes primarias y secundarias y el seguimiento a las acciones derivadas del desarrollo de la iniciativa Fort de la Gestión territorial"/>
    <s v="128-2016"/>
  </r>
  <r>
    <n v="17716"/>
    <s v="2016-04-11"/>
    <x v="1"/>
    <x v="10"/>
    <s v="MEJORAMIENTO FORTALECIMIENTO DE LA CAPACIDAD INSTITUCIONAL PARA EL DESARROLLO DE LAS POLITICAS PUBLICAS NACIONAL"/>
    <n v="22750000"/>
    <n v="22750000"/>
    <n v="0"/>
    <s v="Serv Profes en la DDO para apoyar las actividades de recolec de informac Territorial y de contexto en la iniciativa &quot;Fortalec de la gestión territorial a partir de la articulac institucional con énfasis Serv al Ciudadano y Cosnstruc de Paz Rec AECID"/>
    <s v="Cto. 140 del 19 Abril 2016"/>
  </r>
  <r>
    <n v="17816"/>
    <s v="2016-04-11"/>
    <x v="1"/>
    <x v="10"/>
    <s v="MEJORAMIENTO FORTALECIMIENTO DE LA CAPACIDAD INSTITUCIONAL PARA EL DESARROLLO DE LAS POLITICAS PUBLICAS NACIONAL"/>
    <n v="22750000"/>
    <n v="22750000"/>
    <n v="0"/>
    <s v="Prestar Servicios Profesionales en la Dirección de Desarrollo Organizacional para apoyar en las actividades de recolección de información territorial y de contexto, en el desarrollo de la iniciativa Fortalecimiento de la Gestión territorial"/>
    <s v="129-2016"/>
  </r>
  <r>
    <n v="17916"/>
    <s v="2016-04-13"/>
    <x v="1"/>
    <x v="25"/>
    <s v="MEJORAMIENTO DE LA GESTION DE LAS POLITICAS PUBLICAS A TRAVES DE LAS TECNOLOGIAS DE INFORMACION TICS"/>
    <n v="4295395"/>
    <n v="3036148"/>
    <n v="1259247"/>
    <s v="Adquisición de Discos duros externos, conforme con las condiciones técnicas establecidas en el presente documento"/>
    <s v="148-2016"/>
  </r>
  <r>
    <n v="18016"/>
    <s v="2016-04-14"/>
    <x v="0"/>
    <x v="3"/>
    <s v="MANTENIMIENTO DE BIENES INMUEBLES"/>
    <n v="1212000"/>
    <n v="0"/>
    <n v="1212000"/>
    <s v="PENDIENTE POR COMPROMETER"/>
    <s v="PENDIENTE POR COMPROMETER"/>
  </r>
  <r>
    <n v="18216"/>
    <s v="2016-04-14"/>
    <x v="1"/>
    <x v="10"/>
    <s v="MEJORAMIENTO FORTALECIMIENTO DE LA CAPACIDAD INSTITUCIONAL PARA EL DESARROLLO DE LAS POLITICAS PUBLICAS NACIONAL"/>
    <n v="31237500"/>
    <n v="31237500"/>
    <n v="0"/>
    <s v="Prestar los servicios profesionales para apoyar la elaboración de herramientas y metodologías de la comunicación en las Tecnologías de la Información y las comunicaciones Tics de la estrategia de cambio cultural en el marco del Proyecto de Inversión"/>
    <s v="132-2016"/>
  </r>
  <r>
    <n v="18316"/>
    <s v="2016-04-14"/>
    <x v="0"/>
    <x v="107"/>
    <s v="OTROS SEGUROS"/>
    <n v="401726"/>
    <n v="401726"/>
    <n v="0"/>
    <s v="Adición y Prorroga 1 al Contrato de seguros No 041 de 2015, celebrado entre el Departamento Administrativo de la Función Publica y Mapfre seguros Generales de Colombia"/>
    <s v="Adicion 2 al Contrato 041-15"/>
  </r>
  <r>
    <n v="18316"/>
    <s v="2016-04-14"/>
    <x v="0"/>
    <x v="108"/>
    <s v="SEGUROS DE INCENDIOS"/>
    <n v="4258305"/>
    <n v="4258305"/>
    <n v="0"/>
    <s v="Adición y Prorroga 1 al Contrato de seguros No 041 de 2015, celebrado entre el Departamento Administrativo de la Función Publica y Mapfre seguros Generales de Colombia"/>
    <s v="Adicion 2 al Contrato 041-15"/>
  </r>
  <r>
    <n v="18316"/>
    <s v="2016-04-14"/>
    <x v="0"/>
    <x v="109"/>
    <s v="SEGURO EQUIPOS ELECTRICOS"/>
    <n v="3856578"/>
    <n v="3856578"/>
    <n v="0"/>
    <s v="Adición y Prorroga 1 al Contrato de seguros No 041 de 2015, celebrado entre el Departamento Administrativo de la Función Publica y Mapfre seguros Generales de Colombia"/>
    <s v="Adicion 2 al Contrato 041-15"/>
  </r>
  <r>
    <n v="18316"/>
    <s v="2016-04-14"/>
    <x v="0"/>
    <x v="98"/>
    <s v="SEGURO RESPONSABILIDAD CIVIL"/>
    <n v="14887567"/>
    <n v="14887567"/>
    <n v="0"/>
    <s v="Adición y Prorroga 1 al Contrato de seguros No 041 de 2015, celebrado entre el Departamento Administrativo de la Función Publica y Mapfre seguros Generales de Colombia"/>
    <s v="Adicion 2 al Contrato 041-15"/>
  </r>
  <r>
    <n v="18316"/>
    <s v="2016-04-14"/>
    <x v="0"/>
    <x v="110"/>
    <s v="SEGURO SUSTRACCION Y HURTO"/>
    <n v="4338650"/>
    <n v="4338650"/>
    <n v="0"/>
    <s v="Adición y Prorroga 1 al Contrato de seguros No 041 de 2015, celebrado entre el Departamento Administrativo de la Función Publica y Mapfre seguros Generales de Colombia"/>
    <s v="Adicion 2 al Contrato 041-15"/>
  </r>
  <r>
    <n v="18416"/>
    <s v="2016-04-15"/>
    <x v="0"/>
    <x v="17"/>
    <s v="OTROS GASTOS POR IMPRESOS Y PUBLICACIONES"/>
    <n v="2439466"/>
    <n v="1960000"/>
    <n v="479466"/>
    <s v="Publicación de cuatro avisos de prensa en un periódico de amplia circulación nacional, por muerte de dos servidores públicos que prestaron sus servicios al Departamento Administrativo de la Función Publica"/>
    <s v="147-2016"/>
  </r>
  <r>
    <n v="18516"/>
    <s v="2016-04-18"/>
    <x v="1"/>
    <x v="10"/>
    <s v="MEJORAMIENTO FORTALECIMIENTO DE LA CAPACIDAD INSTITUCIONAL PARA EL DESARROLLO DE LAS POLITICAS PUBLICAS NACIONAL"/>
    <n v="55250000"/>
    <n v="55250000"/>
    <n v="0"/>
    <s v="Servicios Profesionales en la Función Pública para apoyar el seguimiento y el cumplimiento de las metas de cada Área Misional de Función Pública planteadas en el Capítulo del Buen Gobierno del Plan Nal de Desarrollo en el marco del Proy. 123 1000 4."/>
    <s v="Cto. 135 del 18 Abril 2016"/>
  </r>
  <r>
    <n v="18616"/>
    <s v="2016-04-18"/>
    <x v="1"/>
    <x v="25"/>
    <s v="MEJORAMIENTO DE LA GESTION DE LAS POLITICAS PUBLICAS A TRAVES DE LAS TECNOLOGIAS DE INFORMACION TICS"/>
    <n v="16488120"/>
    <n v="16488120"/>
    <n v="0"/>
    <s v="Adquisición de 6 computadores portátiles, según especificaciones tecnicas"/>
    <s v="137-2016"/>
  </r>
  <r>
    <n v="18716"/>
    <s v="2016-04-18"/>
    <x v="1"/>
    <x v="10"/>
    <s v="MEJORAMIENTO FORTALECIMIENTO DE LA CAPACIDAD INSTITUCIONAL PARA EL DESARROLLO DE LAS POLITICAS PUBLICAS NACIONAL"/>
    <n v="48000000"/>
    <n v="48000000"/>
    <n v="0"/>
    <s v="Prestar los servicios profesionales en la Dirección de Gestión del Conocimiento de la Función Pública, para apoyar el desarrollo del Sistema de Gestión de Conocimiento y Grupos de Valor de la Función Pública, en el marco del Proy de Inver. 123 1000 4"/>
    <s v="Cto. 139 del 19 Abril 2016"/>
  </r>
  <r>
    <n v="18816"/>
    <s v="2016-04-19"/>
    <x v="0"/>
    <x v="13"/>
    <s v="VIATICOS Y GASTOS DE VIAJE AL INTERIOR"/>
    <n v="3400000"/>
    <n v="0"/>
    <n v="3400000"/>
    <s v="PENDIENTE POR COMPROMETER"/>
    <s v="PENDIENTE POR COMPROMETER"/>
  </r>
  <r>
    <n v="19016"/>
    <s v="2016-04-20"/>
    <x v="1"/>
    <x v="25"/>
    <s v="MEJORAMIENTO DE LA GESTION DE LAS POLITICAS PUBLICAS A TRAVES DE LAS TECNOLOGIAS DE INFORMACION TICS"/>
    <n v="20000000"/>
    <n v="0"/>
    <n v="20000000"/>
    <s v="PENDIENTE POR COMPROMETER"/>
    <s v="PENDIENTE POR COMPROMETER"/>
  </r>
  <r>
    <n v="19116"/>
    <s v="2016-04-20"/>
    <x v="0"/>
    <x v="111"/>
    <s v="DOTACION"/>
    <n v="16000000"/>
    <n v="12055221"/>
    <n v="3944779"/>
    <s v="Adquisición de Dotaciones de labor para los servidores que tienen derecho a ella durante la vigencia 2016, así como los elementos de trabajo para las personas que se encuentran ejerciendo su labor en el Grupo de Servicios Administrativos"/>
    <s v="154-2016"/>
  </r>
  <r>
    <n v="19216"/>
    <s v="2016-04-21"/>
    <x v="1"/>
    <x v="10"/>
    <s v="MEJORAMIENTO FORTALECIMIENTO DE LA CAPACIDAD INSTITUCIONAL PARA EL DESARROLLO DE LAS POLITICAS PUBLICAS NACIONAL"/>
    <n v="56000000"/>
    <n v="56000000"/>
    <n v="0"/>
    <s v="Prestar los Servicios Profesionales en la Dirección de Empleo Publico para apoyar en la estandarización de la información de la base de datos del SIGEP y demás bases que se requieran para la generación de reportes en materia de empleo Publico"/>
    <s v="152-2016"/>
  </r>
  <r>
    <n v="19316"/>
    <s v="2016-04-25"/>
    <x v="0"/>
    <x v="112"/>
    <s v="OTROS GASTOS POR ADQUISICION DE SERVICIOS"/>
    <n v="338800"/>
    <n v="338800"/>
    <n v="0"/>
    <s v="Efectuar la matricula ante los organismos de transito del vehículo Renault Sandero Steepway adjudicado por la Dian mediante resolución 001139 del 19 de febrero de 2016 al Departamento Administrativo de la función Publica"/>
    <s v="249-2016"/>
  </r>
  <r>
    <n v="19416"/>
    <s v="2016-04-25"/>
    <x v="1"/>
    <x v="113"/>
    <s v="MEJORAMIENTO TECNOLÓGICO Y OPERATIVO DE LA GESTIÓN DOCUMENTAL DEL DEPARTAMENTO ADMINISTRATIVO DE LA FUNCIÓN PÚBLICA"/>
    <n v="64500000"/>
    <n v="0"/>
    <n v="64500000"/>
    <s v="PENDIENTE POR COMPROMETER"/>
    <s v="PENDIENTE POR COMPROMETER"/>
  </r>
  <r>
    <n v="19516"/>
    <s v="2016-04-25"/>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en la estructuración de una Guía de Auditoria, que contenga lineamientos generales con enfoque Financiero para no financieros"/>
    <s v="145-2016"/>
  </r>
  <r>
    <n v="19616"/>
    <s v="2016-04-26"/>
    <x v="1"/>
    <x v="10"/>
    <s v="MEJORAMIENTO FORTALECIMIENTO DE LA CAPACIDAD INSTITUCIONAL PARA EL DESARROLLO DE LAS POLITICAS PUBLICAS NACIONAL"/>
    <n v="29400000"/>
    <n v="29400000"/>
    <n v="0"/>
    <s v="Prestar los servicios profesionales en la dirección General, para el diseño del material grafico, los documentos y piezas visuales generadas por la dirección General de la función, para el posicionamiento externo de la Entidad y sus proyectos"/>
    <s v="146-2016"/>
  </r>
  <r>
    <n v="19716"/>
    <s v="2016-04-27"/>
    <x v="1"/>
    <x v="10"/>
    <s v="MEJORAMIENTO FORTALECIMIENTO DE LA CAPACIDAD INSTITUCIONAL PARA EL DESARROLLO DE LAS POLITICAS PUBLICAS NACIONAL"/>
    <n v="80000000"/>
    <n v="80000000"/>
    <n v="0"/>
    <s v="Prestar los Servicios Profesionales en el Grupo de Comunicaciones estratégicas con el fin de apoyar la actualización de la estrategia de comunicaciones de la función Publica en el marco del proyecto de inversión Mejoramiento Capacidad Institucional"/>
    <s v="144-2016"/>
  </r>
  <r>
    <n v="19816"/>
    <s v="2016-04-27"/>
    <x v="0"/>
    <x v="114"/>
    <s v="LLANTAS Y ACCESORIOS"/>
    <n v="1000000"/>
    <n v="999400"/>
    <n v="600"/>
    <s v="Adquisición de llantas para los vehículos del Departamento Administrativo de la Función Publica"/>
    <s v="170-2016"/>
  </r>
  <r>
    <n v="19916"/>
    <s v="2016-04-27"/>
    <x v="1"/>
    <x v="25"/>
    <s v="MEJORAMIENTO DE LA GESTION DE LAS POLITICAS PUBLICAS A TRAVES DE LAS TECNOLOGIAS DE INFORMACION TICS"/>
    <n v="58430853"/>
    <n v="0"/>
    <n v="58430853"/>
    <s v="PENDIENTE POR COMPROMETER"/>
    <s v="PENDIENTE POR COMPROMETER"/>
  </r>
  <r>
    <n v="20016"/>
    <s v="2016-04-27"/>
    <x v="1"/>
    <x v="25"/>
    <s v="MEJORAMIENTO DE LA GESTION DE LAS POLITICAS PUBLICAS A TRAVES DE LAS TECNOLOGIAS DE INFORMACION TICS"/>
    <n v="16570652"/>
    <n v="13500000"/>
    <n v="3070652"/>
    <s v="Suscripción al Licenciamiento Suite Adobe Crative Cloud para la Función Publica, según las especificaciones técnicas mínimas establecidas en el contrato"/>
    <s v="164-2016"/>
  </r>
  <r>
    <n v="201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50-2016"/>
  </r>
  <r>
    <n v="202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49-2016"/>
  </r>
  <r>
    <n v="20316"/>
    <s v="2016-04-28"/>
    <x v="1"/>
    <x v="10"/>
    <s v="MEJORAMIENTO FORTALECIMIENTO DE LA CAPACIDAD INSTITUCIONAL PARA EL DESARROLLO DE LAS POLITICAS PUBLICAS NACIONAL"/>
    <n v="29400000"/>
    <n v="27930000"/>
    <n v="1470000"/>
    <s v="Prestar los Servicios Profesionales en la Funcion Publica, para apoyar la elaboración de herramientas y metodologías de investigación, participación y difusión de la &quot;Estrategia de Cambio Cultural&quot; en el marco del Proyecto de inversión"/>
    <s v="160-2016"/>
  </r>
  <r>
    <n v="20416"/>
    <s v="2016-05-02"/>
    <x v="1"/>
    <x v="10"/>
    <s v="MEJORAMIENTO FORTALECIMIENTO DE LA CAPACIDAD INSTITUCIONAL PARA EL DESARROLLO DE LAS POLITICAS PUBLICAS NACIONAL"/>
    <n v="45911790"/>
    <n v="45911790"/>
    <n v="0"/>
    <s v="Prestar los servicios profesionales en la Direccion de Desarrollo Organizacional para asesorar técnicamente las actividades que permitirán lograr los resultados previstos para el desarrollo de la Iniciativa Fortalecimiento de la gestión territorial"/>
    <s v="163-2016"/>
  </r>
  <r>
    <n v="20516"/>
    <s v="2016-05-02"/>
    <x v="1"/>
    <x v="11"/>
    <s v="DESARROLLO CAPACIDAD INSTITUCIONAL DE LAS ENTIDADES PÚBLICAS DEL ORDEN TERRITORIAL"/>
    <n v="18400000"/>
    <n v="18000000"/>
    <n v="400000"/>
    <s v="Prestar los servicios profesionales en el Grupo de Gestión Humana, para apoyar los tramites administrativos requeridos, para el otorgamiento de comisiones de servicio al interior del país y actividades necesarias, para el desplazamiento de servidores"/>
    <s v="162-2016"/>
  </r>
  <r>
    <n v="20616"/>
    <s v="2016-05-03"/>
    <x v="1"/>
    <x v="10"/>
    <s v="MEJORAMIENTO FORTALECIMIENTO DE LA CAPACIDAD INSTITUCIONAL PARA EL DESARROLLO DE LAS POLITICAS PUBLICAS NACIONAL"/>
    <n v="28000000"/>
    <n v="28000000"/>
    <n v="0"/>
    <s v="Prestar los Servicios Profesionales en la subdirección para apoyar el cumplimiento de las metas propuestas, encaminadas al fortalecimiento de las políticas publicas a cargo de la Entidad y apoyar el desarrollo de los equipos transversales"/>
    <s v="159-2016"/>
  </r>
  <r>
    <n v="20716"/>
    <s v="2016-05-03"/>
    <x v="1"/>
    <x v="10"/>
    <s v="MEJORAMIENTO FORTALECIMIENTO DE LA CAPACIDAD INSTITUCIONAL PARA EL DESARROLLO DE LAS POLITICAS PUBLICAS NACIONAL"/>
    <n v="48000000"/>
    <n v="48000000"/>
    <n v="0"/>
    <s v="Prestar S Profesionales en la Dir de Gest y Desemp Institucional de la Función P para apoyar en la estructuración de un Modelo de Gestión que Integre los Sistemas de Desarrollo Administrativo y de Gestión de la Calidad y se articule con los Sistemas"/>
    <s v="158-2016"/>
  </r>
  <r>
    <n v="20816"/>
    <s v="2016-05-04"/>
    <x v="0"/>
    <x v="115"/>
    <s v="EQUIPO DE COMUNICACIONES"/>
    <n v="50000"/>
    <n v="50000"/>
    <n v="0"/>
    <s v="Reembolso de Caja menor 01 de mayo de 2016, según resolución No 280 de mayo 04 de 2016"/>
    <s v="280-2016"/>
  </r>
  <r>
    <n v="20816"/>
    <s v="2016-05-04"/>
    <x v="0"/>
    <x v="13"/>
    <s v="VIATICOS Y GASTOS DE VIAJE AL INTERIOR"/>
    <n v="525706"/>
    <n v="525706"/>
    <n v="0"/>
    <s v="Reembolso de Caja menor 01 de mayo de 2016, según resolución No 280 de mayo 04 de 2016"/>
    <s v="280-2016"/>
  </r>
  <r>
    <n v="20816"/>
    <s v="2016-05-04"/>
    <x v="0"/>
    <x v="104"/>
    <s v="PAPELERIA, UTILES DE ESCRITORIO Y OFICINA"/>
    <n v="76800"/>
    <n v="76800"/>
    <n v="0"/>
    <s v="Reembolso de Caja menor 01 de mayo de 2016, según resolución No 280 de mayo 04 de 2016"/>
    <s v="280-2016"/>
  </r>
  <r>
    <n v="20816"/>
    <s v="2016-05-04"/>
    <x v="0"/>
    <x v="24"/>
    <s v="PRODUCTOS DE CAFETERIA Y RESTAURANTE"/>
    <n v="1881812"/>
    <n v="1881812"/>
    <n v="0"/>
    <s v="Reembolso de Caja menor 01 de mayo de 2016, según resolución No 280 de mayo 04 de 2016"/>
    <s v="280-2016"/>
  </r>
  <r>
    <n v="20816"/>
    <s v="2016-05-04"/>
    <x v="0"/>
    <x v="7"/>
    <s v="REPUESTOS"/>
    <n v="9000"/>
    <n v="9000"/>
    <n v="0"/>
    <s v="Reembolso de Caja menor 01 de mayo de 2016, según resolución No 280 de mayo 04 de 2016"/>
    <s v="280-2016"/>
  </r>
  <r>
    <n v="20816"/>
    <s v="2016-05-04"/>
    <x v="0"/>
    <x v="99"/>
    <s v="UTENSILIOS DE CAFETERIA"/>
    <n v="70000"/>
    <n v="70000"/>
    <n v="0"/>
    <s v="Reembolso de Caja menor 01 de mayo de 2016, según resolución No 280 de mayo 04 de 2016"/>
    <s v="280-2016"/>
  </r>
  <r>
    <n v="20816"/>
    <s v="2016-05-04"/>
    <x v="0"/>
    <x v="14"/>
    <s v="OTROS MATERIALES Y SUMINISTROS"/>
    <n v="1078262"/>
    <n v="1078262"/>
    <n v="0"/>
    <s v="Reembolso de Caja menor 01 de mayo de 2016, según resolución No 280 de mayo 04 de 2016"/>
    <s v="280-2016"/>
  </r>
  <r>
    <n v="20816"/>
    <s v="2016-05-04"/>
    <x v="0"/>
    <x v="3"/>
    <s v="MANTENIMIENTO DE BIENES INMUEBLES"/>
    <n v="307700"/>
    <n v="307700"/>
    <n v="0"/>
    <s v="Reembolso de Caja menor 01 de mayo de 2016, según resolución No 280 de mayo 04 de 2016"/>
    <s v="280-2016"/>
  </r>
  <r>
    <n v="20816"/>
    <s v="2016-05-04"/>
    <x v="0"/>
    <x v="15"/>
    <s v="MANTENIMIENTO DE OTROS BIENES"/>
    <n v="30000"/>
    <n v="30000"/>
    <n v="0"/>
    <s v="Reembolso de Caja menor 01 de mayo de 2016, según resolución No 280 de mayo 04 de 2016"/>
    <s v="280-2016"/>
  </r>
  <r>
    <n v="20816"/>
    <s v="2016-05-04"/>
    <x v="0"/>
    <x v="4"/>
    <s v="MANTENIMIENTO EQUIPO COMUNICACIONES Y COMPUTACION"/>
    <n v="380000"/>
    <n v="380000"/>
    <n v="0"/>
    <s v="Reembolso de Caja menor 01 de mayo de 2016, según resolución No 280 de mayo 04 de 2016"/>
    <s v="280-2016"/>
  </r>
  <r>
    <n v="20816"/>
    <s v="2016-05-04"/>
    <x v="0"/>
    <x v="2"/>
    <s v="CORREO"/>
    <n v="41000"/>
    <n v="41000"/>
    <n v="0"/>
    <s v="Reembolso de Caja menor 01 de mayo de 2016, según resolución No 280 de mayo 04 de 2016"/>
    <s v="280-2016"/>
  </r>
  <r>
    <n v="20816"/>
    <s v="2016-05-04"/>
    <x v="0"/>
    <x v="100"/>
    <s v="TRANSPORTE"/>
    <n v="225100"/>
    <n v="225100"/>
    <n v="0"/>
    <s v="Reembolso de Caja menor 01 de mayo de 2016, según resolución No 280 de mayo 04 de 2016"/>
    <s v="280-2016"/>
  </r>
  <r>
    <n v="20816"/>
    <s v="2016-05-04"/>
    <x v="0"/>
    <x v="17"/>
    <s v="OTROS GASTOS POR IMPRESOS Y PUBLICACIONES"/>
    <n v="303305"/>
    <n v="303305"/>
    <n v="0"/>
    <s v="Reembolso de Caja menor 01 de mayo de 2016, según resolución No 280 de mayo 04 de 2016"/>
    <s v="280-2016"/>
  </r>
  <r>
    <n v="20916"/>
    <s v="2016-05-06"/>
    <x v="1"/>
    <x v="10"/>
    <s v="MEJORAMIENTO FORTALECIMIENTO DE LA CAPACIDAD INSTITUCIONAL PARA EL DESARROLLO DE LAS POLITICAS PUBLICAS NACIONAL"/>
    <n v="40000000"/>
    <n v="40000000"/>
    <n v="0"/>
    <s v="Prestar los Servicios Profesionales en la Dirección de Empleo Publico para apoyar la elaboración de documentos relacionados con las bases para un programa a nivel de Diplomada en materia de asesoría y producción normativa"/>
    <s v="161-2016"/>
  </r>
  <r>
    <n v="21016"/>
    <s v="2016-05-06"/>
    <x v="1"/>
    <x v="10"/>
    <s v="MEJORAMIENTO FORTALECIMIENTO DE LA CAPACIDAD INSTITUCIONAL PARA EL DESARROLLO DE LAS POLITICAS PUBLICAS NACIONAL"/>
    <n v="10000000"/>
    <n v="3372009"/>
    <n v="6627991"/>
    <s v="Viáticos y gastos de viaje - Quibdó - Istmina - Quibdó Choco del 09 de mayo al 13 de mayo de 2016. Según resolución No 288"/>
    <s v="288-2016"/>
  </r>
  <r>
    <n v="21116"/>
    <s v="2016-05-06"/>
    <x v="0"/>
    <x v="13"/>
    <s v="VIATICOS Y GASTOS DE VIAJE AL INTERIOR"/>
    <n v="872107"/>
    <n v="872107"/>
    <n v="0"/>
    <s v="Legalización y Reembolso de gastos de caja menor No 01 del mes de mayo de 2016, con sus respectivos comprobantes del Departamento Administrativo de la Función Publica."/>
    <s v="297-2016"/>
  </r>
  <r>
    <n v="21116"/>
    <s v="2016-05-06"/>
    <x v="0"/>
    <x v="104"/>
    <s v="PAPELERIA, UTILES DE ESCRITORIO Y OFICINA"/>
    <n v="21000"/>
    <n v="21000"/>
    <n v="0"/>
    <s v="Legalización y Reembolso de gastos de caja menor No 01 del mes de mayo de 2016, con sus respectivos comprobantes del Departamento Administrativo de la Función Publica."/>
    <s v="297-2016"/>
  </r>
  <r>
    <n v="21116"/>
    <s v="2016-05-06"/>
    <x v="0"/>
    <x v="24"/>
    <s v="PRODUCTOS DE CAFETERIA Y RESTAURANTE"/>
    <n v="609902"/>
    <n v="609902"/>
    <n v="0"/>
    <s v="Legalización y Reembolso de gastos de caja menor No 01 del mes de mayo de 2016, con sus respectivos comprobantes del Departamento Administrativo de la Función Publica."/>
    <s v="297-2016"/>
  </r>
  <r>
    <n v="21116"/>
    <s v="2016-05-06"/>
    <x v="0"/>
    <x v="14"/>
    <s v="OTROS MATERIALES Y SUMINISTROS"/>
    <n v="212000"/>
    <n v="212000"/>
    <n v="0"/>
    <s v="Legalización y Reembolso de gastos de caja menor No 01 del mes de mayo de 2016, con sus respectivos comprobantes del Departamento Administrativo de la Función Publica."/>
    <s v="297-2016"/>
  </r>
  <r>
    <n v="21116"/>
    <s v="2016-05-06"/>
    <x v="0"/>
    <x v="2"/>
    <s v="CORREO"/>
    <n v="39100"/>
    <n v="39100"/>
    <n v="0"/>
    <s v="Legalización y Reembolso de gastos de caja menor No 01 del mes de mayo de 2016, con sus respectivos comprobantes del Departamento Administrativo de la Función Publica."/>
    <s v="297-2016"/>
  </r>
  <r>
    <n v="21116"/>
    <s v="2016-05-06"/>
    <x v="0"/>
    <x v="100"/>
    <s v="TRANSPORTE"/>
    <n v="74100"/>
    <n v="74100"/>
    <n v="0"/>
    <s v="Legalización y Reembolso de gastos de caja menor No 01 del mes de mayo de 2016, con sus respectivos comprobantes del Departamento Administrativo de la Función Publica."/>
    <s v="297-2016"/>
  </r>
  <r>
    <n v="21116"/>
    <s v="2016-05-06"/>
    <x v="0"/>
    <x v="17"/>
    <s v="OTROS GASTOS POR IMPRESOS Y PUBLICACIONES"/>
    <n v="225904"/>
    <n v="225904"/>
    <n v="0"/>
    <s v="Legalización y Reembolso de gastos de caja menor No 01 del mes de mayo de 2016, con sus respectivos comprobantes del Departamento Administrativo de la Función Publica."/>
    <s v="297-2016"/>
  </r>
  <r>
    <n v="21216"/>
    <s v="2016-05-11"/>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la construcción del Instrumento de medición del Modelo Unificado de Gestión, aplicando métodos y criterios estadísticos"/>
    <s v="165-2016"/>
  </r>
  <r>
    <n v="21316"/>
    <s v="2016-05-11"/>
    <x v="1"/>
    <x v="10"/>
    <s v="MEJORAMIENTO FORTALECIMIENTO DE LA CAPACIDAD INSTITUCIONAL PARA EL DESARROLLO DE LAS POLITICAS PUBLICAS NACIONAL"/>
    <n v="42000000"/>
    <n v="42000000"/>
    <n v="0"/>
    <s v="Prestar los Servicios Profesionales en la Dirección de Gestión y Desempeño Institucional de la Función Publica para apoyar la construcción del Instrumento de medición del Modelo Unificado de Gestión, aplicando métodos y criterios econometricos"/>
    <s v="166-2016"/>
  </r>
  <r>
    <n v="21416"/>
    <s v="2016-05-16"/>
    <x v="1"/>
    <x v="10"/>
    <s v="MEJORAMIENTO FORTALECIMIENTO DE LA CAPACIDAD INSTITUCIONAL PARA EL DESARROLLO DE LAS POLITICAS PUBLICAS NACIONAL"/>
    <n v="60000000"/>
    <n v="60000000"/>
    <n v="0"/>
    <s v="Prestar Servicios Profesionales en la Dirección de Gestión del Conocimiento, para apoyar en la medición y evaluación de los principales resultados de la implementación de políticas, estrategias transversales, planes, programas y proyectos del DAFP"/>
    <s v="175-2016"/>
  </r>
  <r>
    <n v="21516"/>
    <s v="2016-05-17"/>
    <x v="1"/>
    <x v="10"/>
    <s v="MEJORAMIENTO FORTALECIMIENTO DE LA CAPACIDAD INSTITUCIONAL PARA EL DESARROLLO DE LAS POLITICAS PUBLICAS NACIONAL"/>
    <n v="18112500"/>
    <n v="0"/>
    <n v="18112500"/>
    <s v="PENDIENTE POR COMPROMETER"/>
    <s v="PENDIENTE POR COMPROMETER"/>
  </r>
  <r>
    <n v="21816"/>
    <s v="2016-05-17"/>
    <x v="1"/>
    <x v="25"/>
    <s v="MEJORAMIENTO DE LA GESTION DE LAS POLITICAS PUBLICAS A TRAVES DE LAS TECNOLOGIAS DE INFORMACION TICS"/>
    <n v="43400000"/>
    <n v="43400000"/>
    <n v="0"/>
    <s v="Prestar los Servicios Profesionales en la Oficina de las TICS para el mantenimiento, soporte, actualización, ajuste y monitoreo del Micrositio web EVA del DAFP, así como el desarrollo e implementación de la red social de servidores públicos"/>
    <s v="173-2016"/>
  </r>
  <r>
    <n v="21916"/>
    <s v="2016-05-17"/>
    <x v="1"/>
    <x v="25"/>
    <s v="MEJORAMIENTO DE LA GESTION DE LAS POLITICAS PUBLICAS A TRAVES DE LAS TECNOLOGIAS DE INFORMACION TICS"/>
    <n v="43400000"/>
    <n v="43400000"/>
    <n v="0"/>
    <s v="Prestar los Servicios Profesionales en la Oficina de las TICS para elaboración de la arquitectura, desarrollo e implementación de la red social de servidores públicos, así como la actualización y ajustes del Micrositio web EVA del DAFP"/>
    <s v="171-2016"/>
  </r>
  <r>
    <n v="22016"/>
    <s v="2016-05-19"/>
    <x v="1"/>
    <x v="11"/>
    <s v="DESARROLLO CAPACIDAD INSTITUCIONAL DE LAS ENTIDADES PÚBLICAS DEL ORDEN TERRITORIAL"/>
    <n v="40000000"/>
    <n v="39996000"/>
    <n v="4000"/>
    <s v="Prestar los Servicios Profesionales en la Oficina Asesora de Planeación, para apoyar la implementación de la segunda fase del Sistema de Gestión de Información Estratégica, focalizados en las entidades del Orden Territorial"/>
    <s v="168-2016"/>
  </r>
  <r>
    <n v="22116"/>
    <s v="2016-05-19"/>
    <x v="1"/>
    <x v="10"/>
    <s v="MEJORAMIENTO FORTALECIMIENTO DE LA CAPACIDAD INSTITUCIONAL PARA EL DESARROLLO DE LAS POLITICAS PUBLICAS NACIONAL"/>
    <n v="40000000"/>
    <n v="39996000"/>
    <n v="4000"/>
    <s v="Prestar los Servicios Profesionales en la Oficina Asesora de Planeación, para apoyar la implementación de la segunda fase del Sistema de Gestión de Información Estratégica, focalizados en las entidades del Orden Territorial"/>
    <s v="169-2016"/>
  </r>
  <r>
    <n v="22216"/>
    <s v="2016-05-19"/>
    <x v="1"/>
    <x v="10"/>
    <s v="MEJORAMIENTO FORTALECIMIENTO DE LA CAPACIDAD INSTITUCIONAL PARA EL DESARROLLO DE LAS POLITICAS PUBLICAS NACIONAL"/>
    <n v="17250000"/>
    <n v="17250000"/>
    <n v="0"/>
    <s v="Prestar los Servicios Profesionales en la Oficina Asesora de Planeación, para apoyar el seguimiento al cumplimiento de los temas Estratégicos Institucionales de la función Publica, en el marco del Proyecto de inversión"/>
    <s v="174-2016"/>
  </r>
  <r>
    <n v="22316"/>
    <s v="2016-05-25"/>
    <x v="1"/>
    <x v="11"/>
    <s v="DESARROLLO CAPACIDAD INSTITUCIONAL DE LAS ENTIDADES PÚBLICAS DEL ORDEN TERRITORIAL"/>
    <n v="37852500"/>
    <n v="0"/>
    <n v="37852500"/>
    <s v="PENDIENTE POR COMPROMETER"/>
    <s v="PENDIENTE POR COMPROMETER"/>
  </r>
  <r>
    <n v="22416"/>
    <s v="2016-05-25"/>
    <x v="1"/>
    <x v="10"/>
    <s v="MEJORAMIENTO FORTALECIMIENTO DE LA CAPACIDAD INSTITUCIONAL PARA EL DESARROLLO DE LAS POLITICAS PUBLICAS NACIONAL"/>
    <n v="31605000"/>
    <n v="0"/>
    <n v="31605000"/>
    <s v="PENDIENTE POR COMPROMETER"/>
    <s v="PENDIENTE POR COMPROMETER"/>
  </r>
  <r>
    <n v="22516"/>
    <s v="2016-05-25"/>
    <x v="1"/>
    <x v="10"/>
    <s v="MEJORAMIENTO FORTALECIMIENTO DE LA CAPACIDAD INSTITUCIONAL PARA EL DESARROLLO DE LAS POLITICAS PUBLICAS NACIONAL"/>
    <n v="22711500"/>
    <n v="0"/>
    <n v="22711500"/>
    <s v="PENDIENTE POR COMPROMETER"/>
    <s v="PENDIENTE POR COMPROMETER"/>
  </r>
  <r>
    <n v="22616"/>
    <s v="2016-05-25"/>
    <x v="1"/>
    <x v="10"/>
    <s v="MEJORAMIENTO FORTALECIMIENTO DE LA CAPACIDAD INSTITUCIONAL PARA EL DESARROLLO DE LAS POLITICAS PUBLICAS NACIONAL"/>
    <n v="22711500"/>
    <n v="0"/>
    <n v="22711500"/>
    <s v="PENDIENTE POR COMPROMETER"/>
    <s v="PENDIENTE POR COMPROMETER"/>
  </r>
  <r>
    <n v="22716"/>
    <s v="2016-05-25"/>
    <x v="1"/>
    <x v="10"/>
    <s v="MEJORAMIENTO FORTALECIMIENTO DE LA CAPACIDAD INSTITUCIONAL PARA EL DESARROLLO DE LAS POLITICAS PUBLICAS NACIONAL"/>
    <n v="69615000"/>
    <n v="0"/>
    <n v="69615000"/>
    <s v="PENDIENTE POR COMPROMETER"/>
    <s v="PENDIENTE POR COMPROMETER"/>
  </r>
  <r>
    <n v="22816"/>
    <s v="2016-05-31"/>
    <x v="1"/>
    <x v="25"/>
    <s v="MEJORAMIENTO DE LA GESTION DE LAS POLITICAS PUBLICAS A TRAVES DE LAS TECNOLOGIAS DE INFORMACION TICS"/>
    <n v="32500000"/>
    <n v="0"/>
    <n v="32500000"/>
    <s v="PENDIENTE POR COMPROMETER"/>
    <s v="PENDIENTE POR COMPROMETER"/>
  </r>
  <r>
    <n v="22916"/>
    <s v="2016-05-31"/>
    <x v="0"/>
    <x v="1"/>
    <s v="SERVICIO DE ASEO"/>
    <n v="96225210"/>
    <n v="0"/>
    <n v="96225210"/>
    <s v="PENDIENTE POR COMPROMETER"/>
    <s v="PENDIENTE POR COMPROMET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INVERSION">
  <location ref="J364:L408"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7">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h="1" x="105"/>
        <item h="1" x="106"/>
        <item h="1" x="26"/>
        <item h="1" x="103"/>
        <item h="1" x="13"/>
        <item h="1" x="12"/>
        <item h="1" x="6"/>
        <item h="1" x="102"/>
        <item h="1" x="9"/>
        <item h="1" x="104"/>
        <item h="1" x="23"/>
        <item h="1" x="24"/>
        <item h="1" x="7"/>
        <item h="1" x="99"/>
        <item h="1" x="14"/>
        <item h="1" x="3"/>
        <item h="1" x="0"/>
        <item h="1" x="15"/>
        <item h="1" x="22"/>
        <item h="1" x="4"/>
        <item h="1" x="8"/>
        <item h="1" x="1"/>
        <item h="1" x="2"/>
        <item h="1" x="5"/>
        <item h="1" x="100"/>
        <item h="1" x="16"/>
        <item h="1" x="17"/>
        <item h="1" x="18"/>
        <item h="1" x="19"/>
        <item h="1" x="20"/>
        <item h="1" x="21"/>
        <item h="1" x="98"/>
        <item h="1" x="96"/>
        <item x="10"/>
        <item x="48"/>
        <item x="49"/>
        <item x="50"/>
        <item x="51"/>
        <item x="52"/>
        <item x="53"/>
        <item x="54"/>
        <item x="55"/>
        <item x="56"/>
        <item x="57"/>
        <item x="58"/>
        <item x="59"/>
        <item x="60"/>
        <item x="61"/>
        <item x="62"/>
        <item x="63"/>
        <item x="64"/>
        <item x="65"/>
        <item x="66"/>
        <item x="101"/>
        <item x="25"/>
        <item x="28"/>
        <item x="29"/>
        <item x="30"/>
        <item x="31"/>
        <item x="32"/>
        <item x="33"/>
        <item x="34"/>
        <item x="35"/>
        <item x="36"/>
        <item x="37"/>
        <item x="38"/>
        <item x="39"/>
        <item x="40"/>
        <item x="41"/>
        <item x="42"/>
        <item x="43"/>
        <item x="44"/>
        <item x="45"/>
        <item x="46"/>
        <item x="47"/>
        <item x="11"/>
        <item h="1" x="107"/>
        <item h="1" x="108"/>
        <item h="1" x="109"/>
        <item h="1" x="110"/>
        <item h="1" x="111"/>
        <item h="1" x="112"/>
        <item h="1" x="113"/>
        <item h="1" x="114"/>
        <item h="1" x="115"/>
        <item t="default"/>
      </items>
    </pivotField>
    <pivotField showAll="0"/>
    <pivotField dataField="1" numFmtId="43" showAll="0"/>
    <pivotField dataField="1" numFmtId="43" showAll="0"/>
    <pivotField numFmtId="43" showAll="0"/>
    <pivotField showAll="0"/>
    <pivotField showAll="0"/>
  </pivotFields>
  <rowFields count="1">
    <field x="3"/>
  </rowFields>
  <rowItems count="44">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t="grand">
      <x/>
    </i>
  </rowItems>
  <colFields count="1">
    <field x="-2"/>
  </colFields>
  <colItems count="2">
    <i>
      <x/>
    </i>
    <i i="1">
      <x v="1"/>
    </i>
  </colItems>
  <dataFields count="2">
    <dataField name="Suma de CDP" fld="5" baseField="0" baseItem="0"/>
    <dataField name="Suma de COMPROMISO" fld="6" baseField="0" baseItem="0"/>
  </dataFields>
  <formats count="5">
    <format dxfId="4">
      <pivotArea outline="0" collapsedLevelsAreSubtotals="1" fieldPosition="0"/>
    </format>
    <format dxfId="3">
      <pivotArea field="2" type="button" dataOnly="0" labelOnly="1" outline="0"/>
    </format>
    <format dxfId="2">
      <pivotArea dataOnly="0" labelOnly="1" outline="0" fieldPosition="0">
        <references count="1">
          <reference field="4294967294" count="2">
            <x v="0"/>
            <x v="1"/>
          </reference>
        </references>
      </pivotArea>
    </format>
    <format dxfId="1">
      <pivotArea field="3"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B356:D361" firstHeaderRow="0" firstDataRow="1" firstDataCol="1"/>
  <pivotFields count="10">
    <pivotField showAll="0"/>
    <pivotField showAll="0"/>
    <pivotField axis="axisRow" showAll="0">
      <items count="6">
        <item x="0"/>
        <item x="1"/>
        <item x="3"/>
        <item x="2"/>
        <item m="1" x="4"/>
        <item t="default"/>
      </items>
    </pivotField>
    <pivotField showAll="0"/>
    <pivotField showAll="0"/>
    <pivotField dataField="1" numFmtId="43" showAll="0"/>
    <pivotField dataField="1" numFmtId="43" showAll="0"/>
    <pivotField numFmtId="43" showAll="0"/>
    <pivotField showAll="0"/>
    <pivotField showAll="0"/>
  </pivotFields>
  <rowFields count="1">
    <field x="2"/>
  </rowFields>
  <rowItems count="5">
    <i>
      <x/>
    </i>
    <i>
      <x v="1"/>
    </i>
    <i>
      <x v="2"/>
    </i>
    <i>
      <x v="3"/>
    </i>
    <i t="grand">
      <x/>
    </i>
  </rowItems>
  <colFields count="1">
    <field x="-2"/>
  </colFields>
  <colItems count="2">
    <i>
      <x/>
    </i>
    <i i="1">
      <x v="1"/>
    </i>
  </colItems>
  <dataFields count="2">
    <dataField name="Suma de CDP" fld="5" baseField="0" baseItem="0"/>
    <dataField name="Suma de COMPROMISO" fld="6" baseField="0" baseItem="0"/>
  </dataFields>
  <formats count="3">
    <format dxfId="7">
      <pivotArea outline="0" collapsedLevelsAreSubtotals="1" fieldPosition="0"/>
    </format>
    <format dxfId="6">
      <pivotArea field="2" type="button" dataOnly="0" labelOnly="1" outline="0" axis="axisRow" fieldPosition="0"/>
    </format>
    <format dxfId="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DE PERSONAL">
  <location ref="B364:D396"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7">
        <item x="67"/>
        <item x="68"/>
        <item x="69"/>
        <item x="70"/>
        <item x="71"/>
        <item x="72"/>
        <item x="73"/>
        <item x="74"/>
        <item x="75"/>
        <item x="76"/>
        <item x="77"/>
        <item x="78"/>
        <item x="79"/>
        <item x="80"/>
        <item x="81"/>
        <item x="82"/>
        <item x="83"/>
        <item x="84"/>
        <item x="97"/>
        <item x="27"/>
        <item x="85"/>
        <item x="86"/>
        <item x="87"/>
        <item x="88"/>
        <item x="89"/>
        <item x="90"/>
        <item x="91"/>
        <item x="92"/>
        <item x="93"/>
        <item x="94"/>
        <item x="95"/>
        <item h="1" x="105"/>
        <item h="1" x="106"/>
        <item h="1" x="26"/>
        <item h="1" x="103"/>
        <item h="1" x="13"/>
        <item h="1" x="12"/>
        <item h="1" x="6"/>
        <item h="1" x="102"/>
        <item h="1" x="9"/>
        <item h="1" x="104"/>
        <item h="1" x="23"/>
        <item h="1" x="24"/>
        <item h="1" x="7"/>
        <item h="1" x="99"/>
        <item h="1" x="14"/>
        <item h="1" x="3"/>
        <item h="1" x="0"/>
        <item h="1" x="15"/>
        <item h="1" x="22"/>
        <item h="1" x="4"/>
        <item h="1" x="8"/>
        <item h="1" x="1"/>
        <item h="1" x="2"/>
        <item h="1" x="5"/>
        <item h="1" x="100"/>
        <item h="1" x="16"/>
        <item h="1" x="17"/>
        <item h="1" x="18"/>
        <item h="1" x="19"/>
        <item h="1" x="20"/>
        <item h="1" x="21"/>
        <item h="1"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7"/>
        <item h="1" x="108"/>
        <item h="1" x="109"/>
        <item h="1" x="110"/>
        <item h="1" x="111"/>
        <item h="1" x="112"/>
        <item h="1" x="113"/>
        <item h="1" x="114"/>
        <item h="1" x="115"/>
        <item t="default"/>
      </items>
    </pivotField>
    <pivotField showAll="0"/>
    <pivotField dataField="1" numFmtId="43" showAll="0"/>
    <pivotField dataField="1" numFmtId="43" showAll="0"/>
    <pivotField numFmtId="43" showAll="0"/>
    <pivotField showAll="0"/>
    <pivotField showAll="0"/>
  </pivotFields>
  <rowFields count="1">
    <field x="3"/>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2">
    <i>
      <x/>
    </i>
    <i i="1">
      <x v="1"/>
    </i>
  </colItems>
  <dataFields count="2">
    <dataField name="Suma de CDP" fld="5" baseField="0" baseItem="0"/>
    <dataField name="Suma de COMPROMISO" fld="6" baseField="0" baseItem="0"/>
  </dataFields>
  <formats count="5">
    <format dxfId="12">
      <pivotArea outline="0" collapsedLevelsAreSubtotals="1" fieldPosition="0"/>
    </format>
    <format dxfId="11">
      <pivotArea field="2" type="button" dataOnly="0" labelOnly="1" outline="0"/>
    </format>
    <format dxfId="10">
      <pivotArea dataOnly="0" labelOnly="1" outline="0" fieldPosition="0">
        <references count="1">
          <reference field="4294967294" count="2">
            <x v="0"/>
            <x v="1"/>
          </reference>
        </references>
      </pivotArea>
    </format>
    <format dxfId="9">
      <pivotArea field="3" type="button" dataOnly="0" labelOnly="1" outline="0" axis="axisRow" fieldPosition="0"/>
    </format>
    <format dxfId="8">
      <pivotArea dataOnly="0" labelOnly="1" outline="0" fieldPosition="0">
        <references count="1">
          <reference field="4294967294" count="2">
            <x v="0"/>
            <x v="1"/>
          </reference>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4"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GENERALES">
  <location ref="F364:H397" firstHeaderRow="0" firstDataRow="1" firstDataCol="1"/>
  <pivotFields count="10">
    <pivotField showAll="0"/>
    <pivotField showAll="0"/>
    <pivotField showAll="0">
      <items count="6">
        <item x="0"/>
        <item x="1"/>
        <item x="3"/>
        <item x="2"/>
        <item m="1" x="4"/>
        <item t="default"/>
      </items>
    </pivotField>
    <pivotField axis="axisRow" multipleItemSelectionAllowed="1" showAll="0">
      <items count="117">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x="105"/>
        <item x="106"/>
        <item x="26"/>
        <item x="103"/>
        <item x="13"/>
        <item x="12"/>
        <item x="6"/>
        <item x="102"/>
        <item x="9"/>
        <item x="104"/>
        <item x="23"/>
        <item x="24"/>
        <item x="7"/>
        <item x="99"/>
        <item x="14"/>
        <item x="3"/>
        <item x="0"/>
        <item x="15"/>
        <item x="22"/>
        <item x="4"/>
        <item x="8"/>
        <item x="1"/>
        <item x="2"/>
        <item x="5"/>
        <item x="100"/>
        <item x="16"/>
        <item x="17"/>
        <item x="18"/>
        <item x="19"/>
        <item x="20"/>
        <item x="21"/>
        <item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7"/>
        <item h="1" x="108"/>
        <item h="1" x="109"/>
        <item h="1" x="110"/>
        <item h="1" x="111"/>
        <item h="1" x="112"/>
        <item h="1" x="113"/>
        <item h="1" x="114"/>
        <item h="1" x="115"/>
        <item t="default"/>
      </items>
    </pivotField>
    <pivotField showAll="0"/>
    <pivotField dataField="1" numFmtId="43" showAll="0"/>
    <pivotField dataField="1" numFmtId="43" showAll="0"/>
    <pivotField numFmtId="43" showAll="0"/>
    <pivotField showAll="0"/>
    <pivotField showAll="0"/>
  </pivotFields>
  <rowFields count="1">
    <field x="3"/>
  </rowFields>
  <rowItems count="33">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t="grand">
      <x/>
    </i>
  </rowItems>
  <colFields count="1">
    <field x="-2"/>
  </colFields>
  <colItems count="2">
    <i>
      <x/>
    </i>
    <i i="1">
      <x v="1"/>
    </i>
  </colItems>
  <dataFields count="2">
    <dataField name="Suma de CDP" fld="5" baseField="0" baseItem="0"/>
    <dataField name="Suma de COMPROMISO" fld="6" baseField="0" baseItem="0"/>
  </dataFields>
  <formats count="3">
    <format dxfId="15">
      <pivotArea outline="0" collapsedLevelsAreSubtotals="1" fieldPosition="0"/>
    </format>
    <format dxfId="14">
      <pivotArea field="2" type="button" dataOnly="0" labelOnly="1" outline="0"/>
    </format>
    <format dxfId="1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dafp.gov.co/"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5:AA77"/>
  <sheetViews>
    <sheetView topLeftCell="A7" zoomScale="82" zoomScaleNormal="82" workbookViewId="0">
      <pane ySplit="1170" topLeftCell="A16" activePane="bottomLeft"/>
      <selection activeCell="I7" sqref="I1:R1048576"/>
      <selection pane="bottomLeft" activeCell="I40" sqref="I40"/>
    </sheetView>
  </sheetViews>
  <sheetFormatPr baseColWidth="10" defaultRowHeight="15" x14ac:dyDescent="0.25"/>
  <cols>
    <col min="1" max="7" width="11.42578125" style="182"/>
    <col min="8" max="8" width="17.85546875" style="182" customWidth="1"/>
    <col min="9" max="9" width="19.28515625" style="182" customWidth="1"/>
    <col min="10" max="10" width="17.85546875" style="182" customWidth="1"/>
    <col min="11" max="12" width="16.28515625" style="184" customWidth="1"/>
    <col min="13" max="13" width="13.85546875" style="182" customWidth="1"/>
    <col min="14" max="14" width="20" style="182" customWidth="1"/>
    <col min="15" max="15" width="11.42578125" style="182" customWidth="1"/>
    <col min="16" max="16" width="12.85546875" style="182" customWidth="1"/>
    <col min="17" max="18" width="13.85546875" style="182" bestFit="1" customWidth="1"/>
    <col min="19" max="19" width="11.42578125" style="182"/>
    <col min="20" max="20" width="35.5703125" style="182" customWidth="1"/>
    <col min="21" max="23" width="16.7109375" style="254" customWidth="1"/>
    <col min="24" max="25" width="18.28515625" style="182" customWidth="1"/>
    <col min="26" max="26" width="15.28515625" style="182" customWidth="1"/>
    <col min="27" max="27" width="16.28515625" style="182" customWidth="1"/>
    <col min="28" max="16384" width="11.42578125" style="182"/>
  </cols>
  <sheetData>
    <row r="5" spans="1:27" x14ac:dyDescent="0.25">
      <c r="D5" s="183" t="s">
        <v>1262</v>
      </c>
    </row>
    <row r="7" spans="1:27" s="185" customFormat="1" ht="56.25" customHeight="1" thickBot="1" x14ac:dyDescent="0.25">
      <c r="H7" s="185" t="s">
        <v>1263</v>
      </c>
      <c r="I7" s="239" t="s">
        <v>1280</v>
      </c>
      <c r="J7" s="186" t="s">
        <v>1264</v>
      </c>
      <c r="K7" s="187" t="s">
        <v>1265</v>
      </c>
      <c r="L7" s="187" t="s">
        <v>1266</v>
      </c>
      <c r="M7" s="185" t="s">
        <v>1267</v>
      </c>
      <c r="N7" s="188" t="s">
        <v>1268</v>
      </c>
      <c r="P7" s="185" t="s">
        <v>1269</v>
      </c>
      <c r="Q7" s="185" t="s">
        <v>1270</v>
      </c>
      <c r="S7" s="185" t="s">
        <v>1279</v>
      </c>
      <c r="T7" s="264" t="s">
        <v>1281</v>
      </c>
      <c r="U7" s="265" t="s">
        <v>1284</v>
      </c>
      <c r="V7" s="265" t="s">
        <v>1415</v>
      </c>
      <c r="W7" s="265" t="s">
        <v>1285</v>
      </c>
      <c r="X7" s="264" t="s">
        <v>1322</v>
      </c>
      <c r="Y7" s="264" t="s">
        <v>1416</v>
      </c>
      <c r="Z7" s="264" t="s">
        <v>1324</v>
      </c>
      <c r="AA7" s="264" t="s">
        <v>1323</v>
      </c>
    </row>
    <row r="8" spans="1:27" ht="7.5" customHeight="1" thickBot="1" x14ac:dyDescent="0.3">
      <c r="A8" s="850" t="s">
        <v>437</v>
      </c>
      <c r="B8" s="851"/>
      <c r="C8" s="851"/>
      <c r="D8" s="851"/>
      <c r="E8" s="851"/>
      <c r="F8" s="852"/>
      <c r="G8" s="864" t="s">
        <v>514</v>
      </c>
      <c r="H8" s="865"/>
      <c r="I8" s="241"/>
      <c r="J8" s="189"/>
      <c r="M8" s="184"/>
      <c r="N8" s="184"/>
      <c r="O8" s="184"/>
      <c r="P8" s="184"/>
      <c r="Q8" s="184"/>
      <c r="R8" s="184"/>
      <c r="S8" s="184"/>
      <c r="T8" s="266"/>
      <c r="U8" s="267"/>
      <c r="V8" s="267"/>
      <c r="W8" s="267"/>
      <c r="X8" s="268"/>
      <c r="Y8" s="268"/>
      <c r="Z8" s="268"/>
      <c r="AA8" s="268"/>
    </row>
    <row r="9" spans="1:27" ht="18.75" thickBot="1" x14ac:dyDescent="0.3">
      <c r="A9" s="190" t="s">
        <v>1271</v>
      </c>
      <c r="B9" s="191" t="s">
        <v>1272</v>
      </c>
      <c r="C9" s="191" t="s">
        <v>32</v>
      </c>
      <c r="D9" s="191" t="s">
        <v>1273</v>
      </c>
      <c r="E9" s="191" t="s">
        <v>1274</v>
      </c>
      <c r="F9" s="192" t="s">
        <v>1275</v>
      </c>
      <c r="G9" s="193"/>
      <c r="H9" s="194" t="s">
        <v>1260</v>
      </c>
      <c r="I9" s="242"/>
      <c r="J9" s="195"/>
      <c r="M9" s="196"/>
      <c r="N9" s="197"/>
      <c r="O9" s="184"/>
      <c r="P9" s="184"/>
      <c r="Q9" s="184"/>
      <c r="R9" s="184"/>
      <c r="S9" s="184"/>
      <c r="T9" s="269" t="s">
        <v>1283</v>
      </c>
      <c r="U9" s="270">
        <v>1200000</v>
      </c>
      <c r="V9" s="270">
        <v>50000</v>
      </c>
      <c r="W9" s="270">
        <f t="shared" ref="W9:W14" si="0">SUM(U9-V9)</f>
        <v>1150000</v>
      </c>
      <c r="X9" s="271">
        <f t="shared" ref="X9:X15" si="1">SUM(V9*100/U9)</f>
        <v>4.166666666666667</v>
      </c>
      <c r="Y9" s="272">
        <v>400000</v>
      </c>
      <c r="Z9" s="849">
        <v>0.33</v>
      </c>
      <c r="AA9" s="271">
        <f t="shared" ref="AA9:AA14" si="2">SUM(V9*100/U$15)</f>
        <v>0.12468827930174564</v>
      </c>
    </row>
    <row r="10" spans="1:27" ht="18.75" thickBot="1" x14ac:dyDescent="0.3">
      <c r="A10" s="198">
        <v>2</v>
      </c>
      <c r="B10" s="199">
        <v>0</v>
      </c>
      <c r="C10" s="199">
        <v>4</v>
      </c>
      <c r="D10" s="199">
        <v>4</v>
      </c>
      <c r="E10" s="199">
        <v>15</v>
      </c>
      <c r="F10" s="200">
        <v>10</v>
      </c>
      <c r="G10" s="193"/>
      <c r="H10" s="201">
        <v>303000</v>
      </c>
      <c r="I10" s="240"/>
      <c r="J10" s="202"/>
      <c r="M10" s="203">
        <v>600000</v>
      </c>
      <c r="N10" s="203">
        <f>+M10-H10</f>
        <v>297000</v>
      </c>
      <c r="O10" s="203"/>
      <c r="P10" s="203"/>
      <c r="Q10" s="203">
        <f>+N10+P10</f>
        <v>297000</v>
      </c>
      <c r="R10" s="184"/>
      <c r="S10" s="184"/>
      <c r="T10" s="269" t="s">
        <v>514</v>
      </c>
      <c r="U10" s="270">
        <v>20000000</v>
      </c>
      <c r="V10" s="270">
        <v>7958416</v>
      </c>
      <c r="W10" s="270">
        <f t="shared" si="0"/>
        <v>12041584</v>
      </c>
      <c r="X10" s="273">
        <f t="shared" si="1"/>
        <v>39.792079999999999</v>
      </c>
      <c r="Y10" s="272">
        <v>6666666.6699999999</v>
      </c>
      <c r="Z10" s="849"/>
      <c r="AA10" s="273">
        <f t="shared" si="2"/>
        <v>19.846423940149627</v>
      </c>
    </row>
    <row r="11" spans="1:27" ht="18.75" thickBot="1" x14ac:dyDescent="0.3">
      <c r="A11" s="198">
        <v>2</v>
      </c>
      <c r="B11" s="199">
        <v>0</v>
      </c>
      <c r="C11" s="199">
        <v>4</v>
      </c>
      <c r="D11" s="199">
        <v>4</v>
      </c>
      <c r="E11" s="199">
        <v>17</v>
      </c>
      <c r="F11" s="200">
        <v>10</v>
      </c>
      <c r="G11" s="193"/>
      <c r="H11" s="201">
        <v>299200</v>
      </c>
      <c r="I11" s="240"/>
      <c r="J11" s="204"/>
      <c r="K11" s="203"/>
      <c r="L11" s="203"/>
      <c r="M11" s="203">
        <v>300000</v>
      </c>
      <c r="N11" s="203">
        <f>+M11-H11</f>
        <v>800</v>
      </c>
      <c r="O11" s="203"/>
      <c r="P11" s="203">
        <v>150000</v>
      </c>
      <c r="Q11" s="203">
        <f>+N11+P11</f>
        <v>150800</v>
      </c>
      <c r="R11" s="184"/>
      <c r="S11" s="184"/>
      <c r="T11" s="269" t="s">
        <v>504</v>
      </c>
      <c r="U11" s="270">
        <v>3500000</v>
      </c>
      <c r="V11" s="270">
        <v>1519614</v>
      </c>
      <c r="W11" s="270">
        <f t="shared" si="0"/>
        <v>1980386</v>
      </c>
      <c r="X11" s="273">
        <f t="shared" si="1"/>
        <v>43.417542857142855</v>
      </c>
      <c r="Y11" s="274">
        <v>1166666.67</v>
      </c>
      <c r="Z11" s="849"/>
      <c r="AA11" s="271">
        <f t="shared" si="2"/>
        <v>3.7895610972568576</v>
      </c>
    </row>
    <row r="12" spans="1:27" ht="18.75" thickBot="1" x14ac:dyDescent="0.3">
      <c r="A12" s="205">
        <v>2</v>
      </c>
      <c r="B12" s="206">
        <v>0</v>
      </c>
      <c r="C12" s="206">
        <v>4</v>
      </c>
      <c r="D12" s="206">
        <v>4</v>
      </c>
      <c r="E12" s="206">
        <v>18</v>
      </c>
      <c r="F12" s="207">
        <v>10</v>
      </c>
      <c r="G12" s="193"/>
      <c r="H12" s="201">
        <v>3464398</v>
      </c>
      <c r="I12" s="240"/>
      <c r="J12" s="204"/>
      <c r="K12" s="203"/>
      <c r="L12" s="203"/>
      <c r="M12" s="203">
        <v>4000000</v>
      </c>
      <c r="N12" s="203">
        <f>+M12-H12</f>
        <v>535602</v>
      </c>
      <c r="O12" s="203"/>
      <c r="P12" s="203">
        <v>4000000</v>
      </c>
      <c r="Q12" s="203">
        <f>+N12+P12</f>
        <v>4535602</v>
      </c>
      <c r="R12" s="184"/>
      <c r="S12" s="184"/>
      <c r="T12" s="269" t="s">
        <v>497</v>
      </c>
      <c r="U12" s="270">
        <v>2000000</v>
      </c>
      <c r="V12" s="270">
        <v>607927</v>
      </c>
      <c r="W12" s="270">
        <f t="shared" si="0"/>
        <v>1392073</v>
      </c>
      <c r="X12" s="275">
        <f t="shared" si="1"/>
        <v>30.396350000000002</v>
      </c>
      <c r="Y12" s="272">
        <v>666666.67000000004</v>
      </c>
      <c r="Z12" s="849"/>
      <c r="AA12" s="271">
        <f t="shared" si="2"/>
        <v>1.5160274314214464</v>
      </c>
    </row>
    <row r="13" spans="1:27" ht="18.75" thickBot="1" x14ac:dyDescent="0.3">
      <c r="A13" s="205">
        <v>2</v>
      </c>
      <c r="B13" s="206">
        <v>0</v>
      </c>
      <c r="C13" s="206">
        <v>4</v>
      </c>
      <c r="D13" s="206">
        <v>4</v>
      </c>
      <c r="E13" s="206">
        <v>20</v>
      </c>
      <c r="F13" s="207">
        <v>10</v>
      </c>
      <c r="G13" s="193"/>
      <c r="H13" s="201">
        <v>0</v>
      </c>
      <c r="I13" s="249"/>
      <c r="J13" s="204"/>
      <c r="K13" s="203"/>
      <c r="L13" s="203"/>
      <c r="M13" s="203">
        <v>200000</v>
      </c>
      <c r="N13" s="203">
        <f>+M13-H13</f>
        <v>200000</v>
      </c>
      <c r="O13" s="203"/>
      <c r="P13" s="203"/>
      <c r="Q13" s="203">
        <f>+N13+P13</f>
        <v>200000</v>
      </c>
      <c r="R13" s="184"/>
      <c r="S13" s="184"/>
      <c r="T13" s="269" t="s">
        <v>1282</v>
      </c>
      <c r="U13" s="270">
        <v>9400000</v>
      </c>
      <c r="V13" s="270">
        <v>2698726</v>
      </c>
      <c r="W13" s="270">
        <f t="shared" si="0"/>
        <v>6701274</v>
      </c>
      <c r="X13" s="271">
        <f t="shared" si="1"/>
        <v>28.709851063829788</v>
      </c>
      <c r="Y13" s="272">
        <v>3133333.33</v>
      </c>
      <c r="Z13" s="849"/>
      <c r="AA13" s="271">
        <f t="shared" si="2"/>
        <v>6.7299900249376563</v>
      </c>
    </row>
    <row r="14" spans="1:27" ht="18.75" thickBot="1" x14ac:dyDescent="0.3">
      <c r="A14" s="205">
        <v>2</v>
      </c>
      <c r="B14" s="206">
        <v>0</v>
      </c>
      <c r="C14" s="206">
        <v>4</v>
      </c>
      <c r="D14" s="206">
        <v>4</v>
      </c>
      <c r="E14" s="206">
        <v>21</v>
      </c>
      <c r="F14" s="207">
        <v>10</v>
      </c>
      <c r="G14" s="193"/>
      <c r="H14" s="201">
        <v>35520</v>
      </c>
      <c r="I14" s="249"/>
      <c r="J14" s="204"/>
      <c r="K14" s="203"/>
      <c r="L14" s="203"/>
      <c r="M14" s="203">
        <v>100000</v>
      </c>
      <c r="N14" s="203">
        <f>+M14-H14</f>
        <v>64480</v>
      </c>
      <c r="O14" s="203"/>
      <c r="P14" s="203">
        <v>100000</v>
      </c>
      <c r="Q14" s="203">
        <f>+N14+P14</f>
        <v>164480</v>
      </c>
      <c r="R14" s="184"/>
      <c r="S14" s="184"/>
      <c r="T14" s="269" t="s">
        <v>1278</v>
      </c>
      <c r="U14" s="270">
        <v>4000000</v>
      </c>
      <c r="V14" s="270">
        <v>1978901</v>
      </c>
      <c r="W14" s="270">
        <f t="shared" si="0"/>
        <v>2021099</v>
      </c>
      <c r="X14" s="273">
        <f t="shared" si="1"/>
        <v>49.472524999999997</v>
      </c>
      <c r="Y14" s="274">
        <v>1333333.33</v>
      </c>
      <c r="Z14" s="849"/>
      <c r="AA14" s="271">
        <f t="shared" si="2"/>
        <v>4.9349152119700745</v>
      </c>
    </row>
    <row r="15" spans="1:27" ht="18.75" thickBot="1" x14ac:dyDescent="0.3">
      <c r="A15" s="208">
        <v>2</v>
      </c>
      <c r="B15" s="209">
        <v>0</v>
      </c>
      <c r="C15" s="209">
        <v>4</v>
      </c>
      <c r="D15" s="209">
        <v>4</v>
      </c>
      <c r="E15" s="209">
        <v>23</v>
      </c>
      <c r="F15" s="210">
        <v>10</v>
      </c>
      <c r="G15" s="193"/>
      <c r="H15" s="201">
        <v>740424</v>
      </c>
      <c r="I15" s="249">
        <v>20000000</v>
      </c>
      <c r="J15" s="211">
        <v>4000000</v>
      </c>
      <c r="K15" s="184">
        <v>16000000</v>
      </c>
      <c r="L15" s="212">
        <f>+K15-(SUM(M10:M14))</f>
        <v>10800000</v>
      </c>
      <c r="M15" s="184"/>
      <c r="N15" s="184">
        <f>+L15-H15</f>
        <v>10059576</v>
      </c>
      <c r="O15" s="184"/>
      <c r="P15" s="184"/>
      <c r="Q15" s="184">
        <f>+N15-SUM(P10:P14)</f>
        <v>5809576</v>
      </c>
      <c r="R15" s="256">
        <v>9809576</v>
      </c>
      <c r="S15" s="184"/>
      <c r="T15" s="261" t="s">
        <v>911</v>
      </c>
      <c r="U15" s="262">
        <f>SUM(U$9:U$14)</f>
        <v>40100000</v>
      </c>
      <c r="V15" s="262">
        <f>SUM(V9:V14)</f>
        <v>14813584</v>
      </c>
      <c r="W15" s="262">
        <f>SUM(W9:W14)</f>
        <v>25286416</v>
      </c>
      <c r="X15" s="260">
        <f t="shared" si="1"/>
        <v>36.941605985037405</v>
      </c>
      <c r="Y15" s="263">
        <f>SUM(Y9:Y14)</f>
        <v>13366666.67</v>
      </c>
      <c r="Z15" s="849"/>
      <c r="AA15" s="276">
        <f>SUM(AA9:AA14)</f>
        <v>36.941605985037405</v>
      </c>
    </row>
    <row r="16" spans="1:27" ht="15.75" thickBot="1" x14ac:dyDescent="0.3">
      <c r="A16" s="858" t="s">
        <v>1260</v>
      </c>
      <c r="B16" s="851"/>
      <c r="C16" s="851"/>
      <c r="D16" s="851"/>
      <c r="E16" s="851"/>
      <c r="F16" s="852"/>
      <c r="G16" s="193" t="s">
        <v>1276</v>
      </c>
      <c r="H16" s="213">
        <v>4842542</v>
      </c>
      <c r="I16" s="243"/>
      <c r="J16" s="860">
        <f>SUM(J15:K15)</f>
        <v>20000000</v>
      </c>
      <c r="K16" s="860"/>
      <c r="M16" s="184"/>
      <c r="N16" s="184"/>
      <c r="O16" s="184"/>
      <c r="P16" s="184"/>
      <c r="Q16" s="184"/>
      <c r="R16" s="184"/>
      <c r="S16" s="184"/>
      <c r="T16" s="184"/>
    </row>
    <row r="17" spans="1:26" x14ac:dyDescent="0.25">
      <c r="I17" s="250"/>
      <c r="M17" s="184"/>
      <c r="N17" s="184"/>
      <c r="O17" s="184"/>
      <c r="P17" s="184"/>
      <c r="Q17" s="184"/>
      <c r="R17" s="184"/>
      <c r="S17" s="184"/>
      <c r="T17" s="184"/>
    </row>
    <row r="18" spans="1:26" ht="15.75" thickBot="1" x14ac:dyDescent="0.3">
      <c r="I18" s="250"/>
      <c r="M18" s="184"/>
      <c r="N18" s="184"/>
      <c r="O18" s="184"/>
      <c r="P18" s="184"/>
      <c r="Q18" s="184"/>
      <c r="R18" s="184"/>
      <c r="S18" s="184"/>
      <c r="T18" s="184"/>
    </row>
    <row r="19" spans="1:26" ht="15.75" thickBot="1" x14ac:dyDescent="0.3">
      <c r="A19" s="858" t="s">
        <v>437</v>
      </c>
      <c r="B19" s="851"/>
      <c r="C19" s="851"/>
      <c r="D19" s="851"/>
      <c r="E19" s="851"/>
      <c r="F19" s="852"/>
      <c r="G19" s="866" t="s">
        <v>1277</v>
      </c>
      <c r="H19" s="867"/>
      <c r="I19" s="244"/>
      <c r="J19" s="214"/>
      <c r="M19" s="184"/>
      <c r="N19" s="184"/>
      <c r="O19" s="184"/>
      <c r="P19" s="184"/>
      <c r="Q19" s="184"/>
      <c r="R19" s="184"/>
      <c r="S19" s="184"/>
      <c r="T19" s="184"/>
      <c r="X19" s="255"/>
      <c r="Y19" s="255"/>
      <c r="Z19" s="255"/>
    </row>
    <row r="20" spans="1:26" ht="15.75" thickBot="1" x14ac:dyDescent="0.3">
      <c r="A20" s="215" t="s">
        <v>1271</v>
      </c>
      <c r="B20" s="216" t="s">
        <v>1272</v>
      </c>
      <c r="C20" s="216" t="s">
        <v>32</v>
      </c>
      <c r="D20" s="216" t="s">
        <v>1273</v>
      </c>
      <c r="E20" s="216" t="s">
        <v>1274</v>
      </c>
      <c r="F20" s="217" t="s">
        <v>1275</v>
      </c>
      <c r="G20" s="193"/>
      <c r="H20" s="194" t="s">
        <v>1260</v>
      </c>
      <c r="I20" s="242"/>
      <c r="J20" s="195"/>
      <c r="M20" s="184"/>
      <c r="N20" s="184"/>
      <c r="O20" s="184"/>
      <c r="P20" s="184"/>
      <c r="Q20" s="184"/>
      <c r="R20" s="184"/>
      <c r="S20" s="184"/>
      <c r="T20" s="184"/>
    </row>
    <row r="21" spans="1:26" x14ac:dyDescent="0.25">
      <c r="A21" s="218">
        <v>2</v>
      </c>
      <c r="B21" s="219">
        <v>0</v>
      </c>
      <c r="C21" s="219">
        <v>4</v>
      </c>
      <c r="D21" s="219">
        <v>6</v>
      </c>
      <c r="E21" s="219">
        <v>2</v>
      </c>
      <c r="F21" s="220">
        <v>10</v>
      </c>
      <c r="G21" s="193"/>
      <c r="H21" s="201">
        <v>78114</v>
      </c>
      <c r="I21" s="251"/>
      <c r="J21" s="204"/>
      <c r="K21" s="203"/>
      <c r="L21" s="203"/>
      <c r="M21" s="203">
        <v>600000</v>
      </c>
      <c r="N21" s="203">
        <f>+M21-H21</f>
        <v>521886</v>
      </c>
      <c r="O21" s="203"/>
      <c r="P21" s="203"/>
      <c r="Q21" s="203">
        <f>+N21+P21</f>
        <v>521886</v>
      </c>
      <c r="R21" s="184"/>
      <c r="S21" s="184"/>
      <c r="T21" s="184"/>
    </row>
    <row r="22" spans="1:26" ht="15.75" thickBot="1" x14ac:dyDescent="0.3">
      <c r="A22" s="221">
        <v>2</v>
      </c>
      <c r="B22" s="222">
        <v>0</v>
      </c>
      <c r="C22" s="222">
        <v>4</v>
      </c>
      <c r="D22" s="222">
        <v>6</v>
      </c>
      <c r="E22" s="222">
        <v>7</v>
      </c>
      <c r="F22" s="223">
        <v>10</v>
      </c>
      <c r="G22" s="193"/>
      <c r="H22" s="224">
        <v>1175400</v>
      </c>
      <c r="I22" s="252"/>
      <c r="J22" s="225"/>
      <c r="K22" s="203"/>
      <c r="L22" s="203"/>
      <c r="M22" s="203">
        <v>800000</v>
      </c>
      <c r="N22" s="203">
        <f>+M22-H22</f>
        <v>-375400</v>
      </c>
      <c r="O22" s="203"/>
      <c r="P22" s="203">
        <v>600000</v>
      </c>
      <c r="Q22" s="203">
        <f>+N22+P22</f>
        <v>224600</v>
      </c>
      <c r="R22" s="184"/>
      <c r="S22" s="184"/>
      <c r="T22" s="184"/>
    </row>
    <row r="23" spans="1:26" ht="15.75" thickBot="1" x14ac:dyDescent="0.3">
      <c r="A23" s="221">
        <v>2</v>
      </c>
      <c r="B23" s="222">
        <v>0</v>
      </c>
      <c r="C23" s="222">
        <v>4</v>
      </c>
      <c r="D23" s="222">
        <v>6</v>
      </c>
      <c r="E23" s="222">
        <v>8</v>
      </c>
      <c r="F23" s="223">
        <v>10</v>
      </c>
      <c r="G23" s="193"/>
      <c r="H23" s="226"/>
      <c r="I23" s="253"/>
      <c r="J23" s="227">
        <v>1500000</v>
      </c>
      <c r="K23" s="203">
        <v>2000000</v>
      </c>
      <c r="L23" s="203">
        <f>+K23-(SUM(M21:M22))</f>
        <v>600000</v>
      </c>
      <c r="M23" s="203"/>
      <c r="N23" s="203">
        <f>+L23</f>
        <v>600000</v>
      </c>
      <c r="O23" s="203"/>
      <c r="P23" s="203"/>
      <c r="Q23" s="203">
        <f>+N23-SUM(P21:P22)</f>
        <v>0</v>
      </c>
      <c r="R23" s="203">
        <v>1500000</v>
      </c>
      <c r="S23" s="184"/>
      <c r="T23" s="184"/>
    </row>
    <row r="24" spans="1:26" ht="15.75" thickBot="1" x14ac:dyDescent="0.3">
      <c r="A24" s="859" t="s">
        <v>1260</v>
      </c>
      <c r="B24" s="856"/>
      <c r="C24" s="856"/>
      <c r="D24" s="856"/>
      <c r="E24" s="856"/>
      <c r="F24" s="857"/>
      <c r="G24" s="193" t="s">
        <v>1276</v>
      </c>
      <c r="H24" s="213">
        <v>1253514</v>
      </c>
      <c r="I24" s="245"/>
      <c r="J24" s="862">
        <f>SUM(J23:K23)</f>
        <v>3500000</v>
      </c>
      <c r="K24" s="862"/>
      <c r="M24" s="184"/>
      <c r="N24" s="184"/>
      <c r="O24" s="184"/>
      <c r="P24" s="184"/>
      <c r="Q24" s="184"/>
      <c r="R24" s="184"/>
      <c r="S24" s="184"/>
      <c r="T24" s="184"/>
    </row>
    <row r="25" spans="1:26" x14ac:dyDescent="0.25">
      <c r="I25" s="250"/>
      <c r="M25" s="184"/>
      <c r="N25" s="184"/>
      <c r="O25" s="184"/>
      <c r="P25" s="184"/>
      <c r="Q25" s="184"/>
      <c r="R25" s="184"/>
      <c r="S25" s="184"/>
      <c r="T25" s="184"/>
    </row>
    <row r="26" spans="1:26" ht="15.75" thickBot="1" x14ac:dyDescent="0.3">
      <c r="I26" s="250"/>
      <c r="M26" s="184"/>
      <c r="N26" s="184"/>
      <c r="O26" s="184"/>
      <c r="P26" s="184"/>
      <c r="Q26" s="184"/>
      <c r="R26" s="184"/>
      <c r="S26" s="184"/>
      <c r="T26" s="184"/>
    </row>
    <row r="27" spans="1:26" ht="15.75" thickBot="1" x14ac:dyDescent="0.3">
      <c r="A27" s="858" t="s">
        <v>437</v>
      </c>
      <c r="B27" s="851"/>
      <c r="C27" s="851"/>
      <c r="D27" s="851"/>
      <c r="E27" s="851"/>
      <c r="F27" s="852"/>
      <c r="G27" s="853" t="s">
        <v>509</v>
      </c>
      <c r="H27" s="854"/>
      <c r="I27" s="246"/>
      <c r="J27" s="228"/>
      <c r="M27" s="184"/>
      <c r="N27" s="184"/>
      <c r="O27" s="184"/>
      <c r="P27" s="184"/>
      <c r="Q27" s="184"/>
      <c r="R27" s="184"/>
      <c r="S27" s="184"/>
      <c r="T27" s="184"/>
    </row>
    <row r="28" spans="1:26" ht="15.75" thickBot="1" x14ac:dyDescent="0.3">
      <c r="A28" s="215" t="s">
        <v>1271</v>
      </c>
      <c r="B28" s="216" t="s">
        <v>1272</v>
      </c>
      <c r="C28" s="216" t="s">
        <v>32</v>
      </c>
      <c r="D28" s="216" t="s">
        <v>1273</v>
      </c>
      <c r="E28" s="216" t="s">
        <v>1274</v>
      </c>
      <c r="F28" s="217" t="s">
        <v>1275</v>
      </c>
      <c r="G28" s="193"/>
      <c r="H28" s="194" t="s">
        <v>1260</v>
      </c>
      <c r="I28" s="242"/>
      <c r="J28" s="195"/>
      <c r="M28" s="184"/>
      <c r="N28" s="184"/>
      <c r="O28" s="184"/>
      <c r="P28" s="184"/>
      <c r="Q28" s="184"/>
      <c r="R28" s="184"/>
      <c r="S28" s="184"/>
      <c r="T28" s="184"/>
    </row>
    <row r="29" spans="1:26" ht="15.75" thickBot="1" x14ac:dyDescent="0.3">
      <c r="A29" s="218">
        <v>2</v>
      </c>
      <c r="B29" s="219">
        <v>0</v>
      </c>
      <c r="C29" s="219">
        <v>4</v>
      </c>
      <c r="D29" s="219">
        <v>11</v>
      </c>
      <c r="E29" s="219">
        <v>2</v>
      </c>
      <c r="F29" s="220">
        <v>10</v>
      </c>
      <c r="G29" s="193"/>
      <c r="H29" s="201">
        <v>1086510</v>
      </c>
      <c r="I29" s="251"/>
      <c r="J29" s="229">
        <v>1600000</v>
      </c>
      <c r="K29" s="203">
        <v>7800000</v>
      </c>
      <c r="L29" s="203">
        <f>+K29</f>
        <v>7800000</v>
      </c>
      <c r="M29" s="203">
        <f>+L29</f>
        <v>7800000</v>
      </c>
      <c r="N29" s="203">
        <f>+M29-H29</f>
        <v>6713490</v>
      </c>
      <c r="O29" s="203"/>
      <c r="P29" s="203">
        <v>0</v>
      </c>
      <c r="Q29" s="203">
        <f>+N29-P29</f>
        <v>6713490</v>
      </c>
      <c r="R29" s="203">
        <v>8313490</v>
      </c>
      <c r="S29" s="184"/>
      <c r="T29" s="184"/>
    </row>
    <row r="30" spans="1:26" ht="15.75" thickBot="1" x14ac:dyDescent="0.3">
      <c r="A30" s="859" t="s">
        <v>1260</v>
      </c>
      <c r="B30" s="856"/>
      <c r="C30" s="856"/>
      <c r="D30" s="856"/>
      <c r="E30" s="856"/>
      <c r="F30" s="857"/>
      <c r="G30" s="193" t="s">
        <v>1276</v>
      </c>
      <c r="H30" s="230">
        <f>SUM(H29:H29)</f>
        <v>1086510</v>
      </c>
      <c r="I30" s="247"/>
      <c r="J30" s="863">
        <f>SUM(J29:K29)</f>
        <v>9400000</v>
      </c>
      <c r="K30" s="863"/>
      <c r="M30" s="184"/>
      <c r="N30" s="184"/>
      <c r="O30" s="184"/>
      <c r="P30" s="184"/>
      <c r="Q30" s="184"/>
      <c r="R30" s="184"/>
      <c r="S30" s="184"/>
      <c r="T30" s="184"/>
    </row>
    <row r="31" spans="1:26" x14ac:dyDescent="0.25">
      <c r="I31" s="250"/>
      <c r="M31" s="184"/>
      <c r="N31" s="184"/>
      <c r="O31" s="184"/>
      <c r="P31" s="184"/>
      <c r="Q31" s="184"/>
      <c r="R31" s="184"/>
      <c r="S31" s="184"/>
      <c r="T31" s="184"/>
    </row>
    <row r="32" spans="1:26" ht="15.75" thickBot="1" x14ac:dyDescent="0.3">
      <c r="I32" s="250"/>
      <c r="M32" s="184"/>
      <c r="N32" s="184"/>
      <c r="O32" s="184"/>
      <c r="P32" s="184"/>
      <c r="Q32" s="184"/>
      <c r="R32" s="184"/>
      <c r="S32" s="184"/>
      <c r="T32" s="184"/>
    </row>
    <row r="33" spans="1:20" ht="15.75" thickBot="1" x14ac:dyDescent="0.3">
      <c r="A33" s="850" t="s">
        <v>437</v>
      </c>
      <c r="B33" s="851"/>
      <c r="C33" s="851"/>
      <c r="D33" s="851"/>
      <c r="E33" s="851"/>
      <c r="F33" s="852"/>
      <c r="G33" s="853" t="s">
        <v>497</v>
      </c>
      <c r="H33" s="854"/>
      <c r="I33" s="246"/>
      <c r="J33" s="228"/>
      <c r="M33" s="184"/>
      <c r="N33" s="184"/>
      <c r="O33" s="184"/>
      <c r="P33" s="184"/>
      <c r="Q33" s="184"/>
      <c r="R33" s="184"/>
      <c r="S33" s="184"/>
      <c r="T33" s="184"/>
    </row>
    <row r="34" spans="1:20" ht="15.75" thickBot="1" x14ac:dyDescent="0.3">
      <c r="A34" s="215" t="s">
        <v>1271</v>
      </c>
      <c r="B34" s="216" t="s">
        <v>1272</v>
      </c>
      <c r="C34" s="216" t="s">
        <v>32</v>
      </c>
      <c r="D34" s="216" t="s">
        <v>1273</v>
      </c>
      <c r="E34" s="216" t="s">
        <v>1274</v>
      </c>
      <c r="F34" s="217" t="s">
        <v>1275</v>
      </c>
      <c r="G34" s="193"/>
      <c r="H34" s="231" t="s">
        <v>1260</v>
      </c>
      <c r="I34" s="242"/>
      <c r="J34" s="195"/>
      <c r="M34" s="184"/>
      <c r="N34" s="184"/>
      <c r="O34" s="184"/>
      <c r="P34" s="184"/>
      <c r="Q34" s="184"/>
      <c r="R34" s="184"/>
      <c r="S34" s="184"/>
      <c r="T34" s="184"/>
    </row>
    <row r="35" spans="1:20" x14ac:dyDescent="0.25">
      <c r="A35" s="205">
        <v>2</v>
      </c>
      <c r="B35" s="206">
        <v>0</v>
      </c>
      <c r="C35" s="206">
        <v>4</v>
      </c>
      <c r="D35" s="206">
        <v>7</v>
      </c>
      <c r="E35" s="206">
        <v>1</v>
      </c>
      <c r="F35" s="207">
        <v>10</v>
      </c>
      <c r="G35" s="193"/>
      <c r="H35" s="201">
        <v>0</v>
      </c>
      <c r="I35" s="251"/>
      <c r="J35" s="204"/>
      <c r="K35" s="203"/>
      <c r="L35" s="203"/>
      <c r="M35" s="203">
        <v>1000</v>
      </c>
      <c r="N35" s="203">
        <f>+M35-H35</f>
        <v>1000</v>
      </c>
      <c r="O35" s="203"/>
      <c r="P35" s="203"/>
      <c r="Q35" s="203">
        <f>+N35+P35</f>
        <v>1000</v>
      </c>
      <c r="R35" s="184"/>
      <c r="S35" s="184"/>
      <c r="T35" s="184"/>
    </row>
    <row r="36" spans="1:20" x14ac:dyDescent="0.25">
      <c r="A36" s="205">
        <v>2</v>
      </c>
      <c r="B36" s="206">
        <v>0</v>
      </c>
      <c r="C36" s="206">
        <v>4</v>
      </c>
      <c r="D36" s="206">
        <v>7</v>
      </c>
      <c r="E36" s="206">
        <v>3</v>
      </c>
      <c r="F36" s="207">
        <v>10</v>
      </c>
      <c r="G36" s="193"/>
      <c r="H36" s="224">
        <v>0</v>
      </c>
      <c r="I36" s="252"/>
      <c r="J36" s="225"/>
      <c r="K36" s="203"/>
      <c r="L36" s="203"/>
      <c r="M36" s="203">
        <v>200000</v>
      </c>
      <c r="N36" s="203">
        <f>+M36-H36</f>
        <v>200000</v>
      </c>
      <c r="O36" s="203"/>
      <c r="P36" s="203"/>
      <c r="Q36" s="203">
        <f>+N36+P36</f>
        <v>200000</v>
      </c>
      <c r="R36" s="184"/>
      <c r="S36" s="184"/>
      <c r="T36" s="184"/>
    </row>
    <row r="37" spans="1:20" ht="15.75" thickBot="1" x14ac:dyDescent="0.3">
      <c r="A37" s="221">
        <v>2</v>
      </c>
      <c r="B37" s="222">
        <v>0</v>
      </c>
      <c r="C37" s="222">
        <v>4</v>
      </c>
      <c r="D37" s="222">
        <v>7</v>
      </c>
      <c r="E37" s="222">
        <v>6</v>
      </c>
      <c r="F37" s="223">
        <v>10</v>
      </c>
      <c r="G37" s="193"/>
      <c r="H37" s="224">
        <v>304622</v>
      </c>
      <c r="I37" s="252"/>
      <c r="J37" s="227">
        <v>800000</v>
      </c>
      <c r="K37" s="184">
        <v>1200000</v>
      </c>
      <c r="L37" s="184">
        <f>+K37-(SUM(M35:M36))</f>
        <v>999000</v>
      </c>
      <c r="M37" s="184"/>
      <c r="N37" s="184">
        <f>+L37-H37</f>
        <v>694378</v>
      </c>
      <c r="O37" s="184"/>
      <c r="P37" s="184"/>
      <c r="Q37" s="184">
        <f>+N37-SUM(P35:P36)</f>
        <v>694378</v>
      </c>
      <c r="R37" s="203">
        <v>1494378</v>
      </c>
      <c r="S37" s="184"/>
      <c r="T37" s="184"/>
    </row>
    <row r="38" spans="1:20" ht="15.75" thickBot="1" x14ac:dyDescent="0.3">
      <c r="A38" s="858" t="s">
        <v>1260</v>
      </c>
      <c r="B38" s="851"/>
      <c r="C38" s="851"/>
      <c r="D38" s="851"/>
      <c r="E38" s="851"/>
      <c r="F38" s="852"/>
      <c r="G38" s="193" t="s">
        <v>1276</v>
      </c>
      <c r="H38" s="232">
        <v>304622</v>
      </c>
      <c r="I38" s="248"/>
      <c r="J38" s="861">
        <f>SUM(J37:K37)</f>
        <v>2000000</v>
      </c>
      <c r="K38" s="861"/>
      <c r="M38" s="184"/>
      <c r="N38" s="184"/>
      <c r="O38" s="184"/>
      <c r="P38" s="184"/>
      <c r="Q38" s="184"/>
      <c r="R38" s="184"/>
      <c r="S38" s="184"/>
      <c r="T38" s="184"/>
    </row>
    <row r="39" spans="1:20" x14ac:dyDescent="0.25">
      <c r="I39" s="250"/>
      <c r="M39" s="184"/>
      <c r="N39" s="184"/>
      <c r="O39" s="184"/>
      <c r="P39" s="184"/>
      <c r="Q39" s="184"/>
      <c r="R39" s="184"/>
      <c r="S39" s="184"/>
      <c r="T39" s="184"/>
    </row>
    <row r="40" spans="1:20" ht="15.75" thickBot="1" x14ac:dyDescent="0.3">
      <c r="I40" s="250"/>
      <c r="M40" s="184"/>
      <c r="N40" s="184"/>
      <c r="O40" s="184"/>
      <c r="P40" s="184"/>
      <c r="Q40" s="184"/>
      <c r="R40" s="184"/>
      <c r="S40" s="184"/>
      <c r="T40" s="184"/>
    </row>
    <row r="41" spans="1:20" ht="15.75" thickBot="1" x14ac:dyDescent="0.3">
      <c r="A41" s="850" t="s">
        <v>437</v>
      </c>
      <c r="B41" s="851"/>
      <c r="C41" s="851"/>
      <c r="D41" s="851"/>
      <c r="E41" s="851"/>
      <c r="F41" s="852"/>
      <c r="G41" s="853" t="s">
        <v>1278</v>
      </c>
      <c r="H41" s="854"/>
      <c r="I41" s="246"/>
      <c r="J41" s="228"/>
      <c r="M41" s="184"/>
      <c r="N41" s="184"/>
      <c r="O41" s="184"/>
      <c r="P41" s="184"/>
      <c r="Q41" s="184"/>
      <c r="R41" s="184"/>
      <c r="S41" s="184"/>
      <c r="T41" s="184"/>
    </row>
    <row r="42" spans="1:20" ht="15.75" thickBot="1" x14ac:dyDescent="0.3">
      <c r="A42" s="233" t="s">
        <v>1271</v>
      </c>
      <c r="B42" s="216" t="s">
        <v>1272</v>
      </c>
      <c r="C42" s="216" t="s">
        <v>32</v>
      </c>
      <c r="D42" s="216" t="s">
        <v>1273</v>
      </c>
      <c r="E42" s="216" t="s">
        <v>1274</v>
      </c>
      <c r="F42" s="217" t="s">
        <v>1275</v>
      </c>
      <c r="G42" s="193"/>
      <c r="H42" s="194" t="s">
        <v>1260</v>
      </c>
      <c r="I42" s="242"/>
      <c r="J42" s="195"/>
      <c r="M42" s="184"/>
      <c r="N42" s="184"/>
      <c r="O42" s="184"/>
      <c r="P42" s="184"/>
      <c r="Q42" s="184"/>
      <c r="R42" s="184"/>
      <c r="S42" s="184"/>
      <c r="T42" s="184"/>
    </row>
    <row r="43" spans="1:20" x14ac:dyDescent="0.25">
      <c r="A43" s="234">
        <v>2</v>
      </c>
      <c r="B43" s="219">
        <v>0</v>
      </c>
      <c r="C43" s="219">
        <v>4</v>
      </c>
      <c r="D43" s="219">
        <v>5</v>
      </c>
      <c r="E43" s="219">
        <v>1</v>
      </c>
      <c r="F43" s="220">
        <v>10</v>
      </c>
      <c r="G43" s="193"/>
      <c r="H43" s="201">
        <v>473701</v>
      </c>
      <c r="I43" s="251"/>
      <c r="J43" s="204"/>
      <c r="K43" s="203"/>
      <c r="L43" s="203"/>
      <c r="M43" s="203">
        <v>500000</v>
      </c>
      <c r="N43" s="203">
        <f>+M43-H43</f>
        <v>26299</v>
      </c>
      <c r="O43" s="203"/>
      <c r="P43" s="203">
        <v>300000</v>
      </c>
      <c r="Q43" s="203">
        <f>+N43+P43</f>
        <v>326299</v>
      </c>
      <c r="R43" s="184"/>
      <c r="S43" s="184"/>
      <c r="T43" s="184"/>
    </row>
    <row r="44" spans="1:20" x14ac:dyDescent="0.25">
      <c r="A44" s="235">
        <v>2</v>
      </c>
      <c r="B44" s="235">
        <v>0</v>
      </c>
      <c r="C44" s="235">
        <v>4</v>
      </c>
      <c r="D44" s="235">
        <v>5</v>
      </c>
      <c r="E44" s="235">
        <v>2</v>
      </c>
      <c r="F44" s="236">
        <v>10</v>
      </c>
      <c r="G44" s="193"/>
      <c r="H44" s="224">
        <v>721000</v>
      </c>
      <c r="I44" s="252"/>
      <c r="J44" s="225"/>
      <c r="K44" s="203"/>
      <c r="L44" s="203"/>
      <c r="M44" s="203">
        <v>900000</v>
      </c>
      <c r="N44" s="203">
        <f>+M44-H44</f>
        <v>179000</v>
      </c>
      <c r="O44" s="203"/>
      <c r="P44" s="203">
        <v>200000</v>
      </c>
      <c r="Q44" s="203">
        <f>+N44+P44</f>
        <v>379000</v>
      </c>
      <c r="R44" s="184"/>
      <c r="S44" s="184"/>
      <c r="T44" s="184"/>
    </row>
    <row r="45" spans="1:20" ht="15.75" thickBot="1" x14ac:dyDescent="0.3">
      <c r="A45" s="222">
        <v>2</v>
      </c>
      <c r="B45" s="222">
        <v>0</v>
      </c>
      <c r="C45" s="222">
        <v>4</v>
      </c>
      <c r="D45" s="222">
        <v>5</v>
      </c>
      <c r="E45" s="222">
        <v>5</v>
      </c>
      <c r="F45" s="223">
        <v>10</v>
      </c>
      <c r="G45" s="193"/>
      <c r="H45" s="224">
        <v>0</v>
      </c>
      <c r="I45" s="252"/>
      <c r="J45" s="225"/>
      <c r="K45" s="203"/>
      <c r="L45" s="203"/>
      <c r="M45" s="203"/>
      <c r="N45" s="203"/>
      <c r="O45" s="203"/>
      <c r="P45" s="203">
        <v>380000</v>
      </c>
      <c r="Q45" s="203">
        <f>+P45</f>
        <v>380000</v>
      </c>
      <c r="R45" s="184"/>
      <c r="S45" s="184"/>
      <c r="T45" s="184"/>
    </row>
    <row r="46" spans="1:20" ht="15.75" thickBot="1" x14ac:dyDescent="0.3">
      <c r="A46" s="222">
        <v>2</v>
      </c>
      <c r="B46" s="222">
        <v>0</v>
      </c>
      <c r="C46" s="222">
        <v>4</v>
      </c>
      <c r="D46" s="222">
        <v>5</v>
      </c>
      <c r="E46" s="222">
        <v>12</v>
      </c>
      <c r="F46" s="223">
        <v>10</v>
      </c>
      <c r="G46" s="193"/>
      <c r="H46" s="224">
        <v>66500</v>
      </c>
      <c r="I46" s="252"/>
      <c r="J46" s="237">
        <v>1500000</v>
      </c>
      <c r="K46" s="203">
        <v>2500000</v>
      </c>
      <c r="L46" s="203">
        <f>+K46-SUM(M43:M45)</f>
        <v>1100000</v>
      </c>
      <c r="M46" s="203"/>
      <c r="N46" s="203">
        <f>+L46-H46</f>
        <v>1033500</v>
      </c>
      <c r="O46" s="203"/>
      <c r="P46" s="203"/>
      <c r="Q46" s="203">
        <f>+N46-SUM(P43:P45)</f>
        <v>153500</v>
      </c>
      <c r="R46" s="203">
        <v>1653500</v>
      </c>
      <c r="S46" s="184"/>
      <c r="T46" s="184"/>
    </row>
    <row r="47" spans="1:20" ht="15.75" thickBot="1" x14ac:dyDescent="0.3">
      <c r="A47" s="855" t="s">
        <v>1260</v>
      </c>
      <c r="B47" s="856"/>
      <c r="C47" s="856"/>
      <c r="D47" s="856"/>
      <c r="E47" s="856"/>
      <c r="F47" s="857"/>
      <c r="G47" s="193" t="s">
        <v>1276</v>
      </c>
      <c r="H47" s="232">
        <v>1261201</v>
      </c>
      <c r="I47" s="248"/>
      <c r="J47" s="861">
        <f>SUM(J46:K46)</f>
        <v>4000000</v>
      </c>
      <c r="K47" s="861"/>
      <c r="M47" s="184"/>
      <c r="N47" s="184"/>
      <c r="O47" s="184"/>
      <c r="P47" s="184"/>
      <c r="Q47" s="184"/>
      <c r="R47" s="184"/>
      <c r="S47" s="184"/>
      <c r="T47" s="184"/>
    </row>
    <row r="57" spans="8:10" x14ac:dyDescent="0.25">
      <c r="H57" s="184"/>
      <c r="I57" s="184"/>
      <c r="J57" s="184"/>
    </row>
    <row r="58" spans="8:10" x14ac:dyDescent="0.25">
      <c r="H58" s="184"/>
      <c r="I58" s="184"/>
      <c r="J58" s="184"/>
    </row>
    <row r="59" spans="8:10" x14ac:dyDescent="0.25">
      <c r="H59" s="184"/>
      <c r="I59" s="184"/>
      <c r="J59" s="184"/>
    </row>
    <row r="60" spans="8:10" x14ac:dyDescent="0.25">
      <c r="H60" s="184"/>
      <c r="I60" s="184"/>
      <c r="J60" s="184"/>
    </row>
    <row r="61" spans="8:10" x14ac:dyDescent="0.25">
      <c r="H61" s="184"/>
      <c r="I61" s="184"/>
      <c r="J61" s="184"/>
    </row>
    <row r="62" spans="8:10" x14ac:dyDescent="0.25">
      <c r="H62" s="184"/>
      <c r="I62" s="184"/>
      <c r="J62" s="184"/>
    </row>
    <row r="63" spans="8:10" x14ac:dyDescent="0.25">
      <c r="H63" s="184"/>
      <c r="I63" s="184"/>
      <c r="J63" s="184"/>
    </row>
    <row r="64" spans="8:10" x14ac:dyDescent="0.25">
      <c r="H64" s="184"/>
      <c r="I64" s="184"/>
      <c r="J64" s="184"/>
    </row>
    <row r="65" spans="8:13" x14ac:dyDescent="0.25">
      <c r="H65" s="184"/>
      <c r="I65" s="184"/>
      <c r="J65" s="184"/>
    </row>
    <row r="66" spans="8:13" x14ac:dyDescent="0.25">
      <c r="H66" s="184"/>
      <c r="I66" s="184"/>
      <c r="J66" s="184"/>
    </row>
    <row r="67" spans="8:13" x14ac:dyDescent="0.25">
      <c r="H67" s="184"/>
      <c r="I67" s="184"/>
      <c r="J67" s="184"/>
      <c r="M67" s="238"/>
    </row>
    <row r="68" spans="8:13" x14ac:dyDescent="0.25">
      <c r="H68" s="184"/>
      <c r="I68" s="184"/>
      <c r="J68" s="184"/>
    </row>
    <row r="69" spans="8:13" x14ac:dyDescent="0.25">
      <c r="H69" s="184"/>
      <c r="I69" s="184"/>
      <c r="J69" s="184"/>
    </row>
    <row r="70" spans="8:13" x14ac:dyDescent="0.25">
      <c r="H70" s="184"/>
      <c r="I70" s="184"/>
      <c r="J70" s="184"/>
    </row>
    <row r="71" spans="8:13" x14ac:dyDescent="0.25">
      <c r="H71" s="184"/>
      <c r="I71" s="184"/>
      <c r="J71" s="184"/>
    </row>
    <row r="72" spans="8:13" x14ac:dyDescent="0.25">
      <c r="H72" s="184"/>
      <c r="I72" s="184"/>
      <c r="J72" s="184"/>
    </row>
    <row r="73" spans="8:13" x14ac:dyDescent="0.25">
      <c r="H73" s="184"/>
      <c r="I73" s="184"/>
      <c r="J73" s="184"/>
    </row>
    <row r="74" spans="8:13" x14ac:dyDescent="0.25">
      <c r="H74" s="184"/>
      <c r="I74" s="184"/>
      <c r="J74" s="184"/>
    </row>
    <row r="75" spans="8:13" x14ac:dyDescent="0.25">
      <c r="H75" s="184"/>
      <c r="I75" s="184"/>
      <c r="J75" s="184"/>
    </row>
    <row r="76" spans="8:13" x14ac:dyDescent="0.25">
      <c r="H76" s="184"/>
      <c r="I76" s="184"/>
      <c r="J76" s="184"/>
    </row>
    <row r="77" spans="8:13" x14ac:dyDescent="0.25">
      <c r="H77" s="184"/>
      <c r="I77" s="184"/>
      <c r="J77" s="184"/>
    </row>
  </sheetData>
  <mergeCells count="21">
    <mergeCell ref="A8:F8"/>
    <mergeCell ref="G8:H8"/>
    <mergeCell ref="A16:F16"/>
    <mergeCell ref="A19:F19"/>
    <mergeCell ref="G19:H19"/>
    <mergeCell ref="Z9:Z15"/>
    <mergeCell ref="A41:F41"/>
    <mergeCell ref="G41:H41"/>
    <mergeCell ref="A47:F47"/>
    <mergeCell ref="A27:F27"/>
    <mergeCell ref="G27:H27"/>
    <mergeCell ref="A30:F30"/>
    <mergeCell ref="A33:F33"/>
    <mergeCell ref="G33:H33"/>
    <mergeCell ref="A38:F38"/>
    <mergeCell ref="A24:F24"/>
    <mergeCell ref="J16:K16"/>
    <mergeCell ref="J38:K38"/>
    <mergeCell ref="J24:K24"/>
    <mergeCell ref="J30:K30"/>
    <mergeCell ref="J47:K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595"/>
  <sheetViews>
    <sheetView zoomScaleNormal="100" workbookViewId="0">
      <pane xSplit="1" ySplit="1" topLeftCell="F382" activePane="bottomRight" state="frozen"/>
      <selection pane="topRight" activeCell="B1" sqref="B1"/>
      <selection pane="bottomLeft" activeCell="A2" sqref="A2"/>
      <selection pane="bottomRight" activeCell="H244" sqref="H244"/>
    </sheetView>
  </sheetViews>
  <sheetFormatPr baseColWidth="10" defaultColWidth="22.7109375" defaultRowHeight="15" customHeight="1" x14ac:dyDescent="0.25"/>
  <cols>
    <col min="1" max="1" width="2.28515625" style="493" customWidth="1"/>
    <col min="2" max="2" width="20.5703125" style="515" customWidth="1"/>
    <col min="3" max="3" width="17.85546875" style="493" customWidth="1"/>
    <col min="4" max="4" width="22.28515625" style="493" customWidth="1"/>
    <col min="5" max="5" width="33.7109375" style="493" customWidth="1"/>
    <col min="6" max="6" width="21.140625" style="493" customWidth="1"/>
    <col min="7" max="7" width="18.85546875" style="493" customWidth="1"/>
    <col min="8" max="8" width="22.28515625" style="493" customWidth="1"/>
    <col min="9" max="10" width="23" style="493" customWidth="1"/>
    <col min="11" max="11" width="22.5703125" style="493" customWidth="1"/>
    <col min="12" max="12" width="22.28515625" style="501" customWidth="1"/>
    <col min="13" max="14" width="22.7109375" style="501"/>
    <col min="15" max="16384" width="22.7109375" style="493"/>
  </cols>
  <sheetData>
    <row r="1" spans="1:14" ht="33.75" customHeight="1" x14ac:dyDescent="0.25">
      <c r="A1" s="486"/>
      <c r="B1" s="487" t="s">
        <v>1790</v>
      </c>
      <c r="C1" s="488" t="s">
        <v>1791</v>
      </c>
      <c r="D1" s="488" t="s">
        <v>1792</v>
      </c>
      <c r="E1" s="488" t="s">
        <v>196</v>
      </c>
      <c r="F1" s="488" t="s">
        <v>468</v>
      </c>
      <c r="G1" s="489" t="s">
        <v>1551</v>
      </c>
      <c r="H1" s="489" t="s">
        <v>1553</v>
      </c>
      <c r="I1" s="489" t="s">
        <v>1793</v>
      </c>
      <c r="J1" s="488" t="s">
        <v>1794</v>
      </c>
      <c r="K1" s="490" t="s">
        <v>1795</v>
      </c>
      <c r="L1" s="491"/>
      <c r="M1" s="491"/>
      <c r="N1" s="492"/>
    </row>
    <row r="2" spans="1:14" ht="15" hidden="1" customHeight="1" x14ac:dyDescent="0.25">
      <c r="A2" s="486" t="s">
        <v>1796</v>
      </c>
      <c r="B2" s="494">
        <v>116</v>
      </c>
      <c r="C2" s="495" t="s">
        <v>1797</v>
      </c>
      <c r="D2" s="495" t="s">
        <v>1798</v>
      </c>
      <c r="E2" s="496" t="s">
        <v>1655</v>
      </c>
      <c r="F2" s="496" t="s">
        <v>492</v>
      </c>
      <c r="G2" s="497">
        <v>203120528.22999999</v>
      </c>
      <c r="H2" s="497">
        <v>203120528.22999999</v>
      </c>
      <c r="I2" s="497">
        <f>+G2-H2</f>
        <v>0</v>
      </c>
      <c r="J2" s="495" t="s">
        <v>1799</v>
      </c>
      <c r="K2" s="498" t="s">
        <v>1800</v>
      </c>
      <c r="L2" s="499">
        <f>+IFERROR(VLOOKUP($A2,[1]Hoja4!$A$1:$B$182,2,0),0)</f>
        <v>203120528.22999999</v>
      </c>
      <c r="M2" s="500"/>
    </row>
    <row r="3" spans="1:14" ht="15" hidden="1" customHeight="1" x14ac:dyDescent="0.25">
      <c r="A3" s="486" t="s">
        <v>1801</v>
      </c>
      <c r="B3" s="502">
        <v>216</v>
      </c>
      <c r="C3" s="503" t="s">
        <v>1797</v>
      </c>
      <c r="D3" s="503" t="s">
        <v>1798</v>
      </c>
      <c r="E3" s="504" t="s">
        <v>1654</v>
      </c>
      <c r="F3" s="504" t="s">
        <v>523</v>
      </c>
      <c r="G3" s="505">
        <v>47449288</v>
      </c>
      <c r="H3" s="505">
        <v>47449288</v>
      </c>
      <c r="I3" s="505">
        <f t="shared" ref="I3:I66" si="0">+G3-H3</f>
        <v>0</v>
      </c>
      <c r="J3" s="503" t="s">
        <v>1802</v>
      </c>
      <c r="K3" s="506" t="s">
        <v>1803</v>
      </c>
      <c r="L3" s="499">
        <f>+IFERROR(VLOOKUP($A3,[1]Hoja4!$A$1:$B$182,2,0),0)</f>
        <v>47449288</v>
      </c>
      <c r="M3" s="500"/>
    </row>
    <row r="4" spans="1:14" ht="15" hidden="1" customHeight="1" x14ac:dyDescent="0.25">
      <c r="A4" s="486" t="s">
        <v>1804</v>
      </c>
      <c r="B4" s="502">
        <v>316</v>
      </c>
      <c r="C4" s="503" t="s">
        <v>1797</v>
      </c>
      <c r="D4" s="503" t="s">
        <v>1798</v>
      </c>
      <c r="E4" s="504" t="s">
        <v>1657</v>
      </c>
      <c r="F4" s="504" t="s">
        <v>494</v>
      </c>
      <c r="G4" s="505">
        <v>80593030</v>
      </c>
      <c r="H4" s="505">
        <v>80593030</v>
      </c>
      <c r="I4" s="505">
        <f t="shared" si="0"/>
        <v>0</v>
      </c>
      <c r="J4" s="503" t="s">
        <v>1805</v>
      </c>
      <c r="K4" s="506" t="s">
        <v>1806</v>
      </c>
      <c r="L4" s="499">
        <f>+IFERROR(VLOOKUP($A4,[1]Hoja4!$A$1:$B$182,2,0),0)</f>
        <v>53593030</v>
      </c>
      <c r="M4" s="500"/>
    </row>
    <row r="5" spans="1:14" ht="15" customHeight="1" x14ac:dyDescent="0.25">
      <c r="A5" s="486" t="s">
        <v>1807</v>
      </c>
      <c r="B5" s="502">
        <v>416</v>
      </c>
      <c r="C5" s="503" t="s">
        <v>1797</v>
      </c>
      <c r="D5" s="503" t="s">
        <v>1798</v>
      </c>
      <c r="E5" s="504" t="s">
        <v>1647</v>
      </c>
      <c r="F5" s="504" t="s">
        <v>1091</v>
      </c>
      <c r="G5" s="505">
        <v>4678380</v>
      </c>
      <c r="H5" s="535">
        <v>4678380</v>
      </c>
      <c r="I5" s="505">
        <f t="shared" si="0"/>
        <v>0</v>
      </c>
      <c r="J5" s="503" t="s">
        <v>1808</v>
      </c>
      <c r="K5" s="506" t="s">
        <v>1809</v>
      </c>
      <c r="L5" s="499">
        <f>+IFERROR(VLOOKUP($A5,[1]Hoja4!$A$1:$B$182,2,0),0)</f>
        <v>4678380</v>
      </c>
      <c r="M5" s="500"/>
    </row>
    <row r="6" spans="1:14" ht="15" hidden="1" customHeight="1" x14ac:dyDescent="0.25">
      <c r="A6" s="486" t="s">
        <v>1810</v>
      </c>
      <c r="B6" s="502">
        <v>516</v>
      </c>
      <c r="C6" s="503" t="s">
        <v>1797</v>
      </c>
      <c r="D6" s="503" t="s">
        <v>1798</v>
      </c>
      <c r="E6" s="504" t="s">
        <v>1650</v>
      </c>
      <c r="F6" s="504" t="s">
        <v>1651</v>
      </c>
      <c r="G6" s="505">
        <v>5000000</v>
      </c>
      <c r="H6" s="505">
        <v>5000000</v>
      </c>
      <c r="I6" s="505">
        <f t="shared" si="0"/>
        <v>0</v>
      </c>
      <c r="J6" s="503" t="s">
        <v>1811</v>
      </c>
      <c r="K6" s="506" t="s">
        <v>1812</v>
      </c>
      <c r="L6" s="499">
        <f>+IFERROR(VLOOKUP($A6,[1]Hoja4!$A$1:$B$182,2,0),0)</f>
        <v>5000000</v>
      </c>
      <c r="M6" s="500"/>
    </row>
    <row r="7" spans="1:14" ht="15" hidden="1" customHeight="1" x14ac:dyDescent="0.25">
      <c r="A7" s="486" t="s">
        <v>1813</v>
      </c>
      <c r="B7" s="502">
        <v>616</v>
      </c>
      <c r="C7" s="507" t="s">
        <v>1797</v>
      </c>
      <c r="D7" s="503" t="s">
        <v>1798</v>
      </c>
      <c r="E7" s="504" t="s">
        <v>1658</v>
      </c>
      <c r="F7" s="504" t="s">
        <v>495</v>
      </c>
      <c r="G7" s="505">
        <v>97810166.670000002</v>
      </c>
      <c r="H7" s="505">
        <v>97810166.670000002</v>
      </c>
      <c r="I7" s="505">
        <f t="shared" si="0"/>
        <v>0</v>
      </c>
      <c r="J7" s="503" t="s">
        <v>1814</v>
      </c>
      <c r="K7" s="506" t="s">
        <v>1815</v>
      </c>
      <c r="L7" s="499"/>
      <c r="M7" s="500"/>
    </row>
    <row r="8" spans="1:14" ht="15" hidden="1" customHeight="1" x14ac:dyDescent="0.25">
      <c r="A8" s="486" t="s">
        <v>1816</v>
      </c>
      <c r="B8" s="502">
        <v>716</v>
      </c>
      <c r="C8" s="507" t="s">
        <v>1797</v>
      </c>
      <c r="D8" s="503" t="s">
        <v>1798</v>
      </c>
      <c r="E8" s="504" t="s">
        <v>1628</v>
      </c>
      <c r="F8" s="504" t="s">
        <v>486</v>
      </c>
      <c r="G8" s="505">
        <v>36000000</v>
      </c>
      <c r="H8" s="505">
        <v>36000000</v>
      </c>
      <c r="I8" s="505">
        <f t="shared" si="0"/>
        <v>0</v>
      </c>
      <c r="J8" s="503" t="s">
        <v>1817</v>
      </c>
      <c r="K8" s="506" t="s">
        <v>1818</v>
      </c>
      <c r="L8" s="499"/>
      <c r="M8" s="500"/>
    </row>
    <row r="9" spans="1:14" ht="15" hidden="1" customHeight="1" x14ac:dyDescent="0.25">
      <c r="A9" s="486" t="s">
        <v>1819</v>
      </c>
      <c r="B9" s="502">
        <v>816</v>
      </c>
      <c r="C9" s="507" t="s">
        <v>1797</v>
      </c>
      <c r="D9" s="503" t="s">
        <v>1798</v>
      </c>
      <c r="E9" s="504" t="s">
        <v>1658</v>
      </c>
      <c r="F9" s="504" t="s">
        <v>495</v>
      </c>
      <c r="G9" s="505">
        <v>527399361.66000003</v>
      </c>
      <c r="H9" s="505">
        <v>527399361.66000003</v>
      </c>
      <c r="I9" s="505">
        <f t="shared" si="0"/>
        <v>0</v>
      </c>
      <c r="J9" s="503" t="s">
        <v>1820</v>
      </c>
      <c r="K9" s="506" t="s">
        <v>1821</v>
      </c>
      <c r="L9" s="499"/>
      <c r="M9" s="500"/>
    </row>
    <row r="10" spans="1:14" ht="15" hidden="1" customHeight="1" x14ac:dyDescent="0.25">
      <c r="A10" s="486" t="s">
        <v>1822</v>
      </c>
      <c r="B10" s="502">
        <v>916</v>
      </c>
      <c r="C10" s="507" t="s">
        <v>1797</v>
      </c>
      <c r="D10" s="503" t="s">
        <v>1798</v>
      </c>
      <c r="E10" s="504" t="s">
        <v>1650</v>
      </c>
      <c r="F10" s="504" t="s">
        <v>1651</v>
      </c>
      <c r="G10" s="505">
        <v>17933280</v>
      </c>
      <c r="H10" s="505">
        <v>17933280</v>
      </c>
      <c r="I10" s="505">
        <f t="shared" si="0"/>
        <v>0</v>
      </c>
      <c r="J10" s="503" t="s">
        <v>1823</v>
      </c>
      <c r="K10" s="506" t="s">
        <v>1824</v>
      </c>
      <c r="L10" s="499"/>
      <c r="M10" s="500"/>
    </row>
    <row r="11" spans="1:14" ht="15" hidden="1" customHeight="1" x14ac:dyDescent="0.25">
      <c r="A11" s="486" t="s">
        <v>1825</v>
      </c>
      <c r="B11" s="502">
        <v>1016</v>
      </c>
      <c r="C11" s="503" t="s">
        <v>1797</v>
      </c>
      <c r="D11" s="503" t="s">
        <v>1798</v>
      </c>
      <c r="E11" s="504" t="s">
        <v>1642</v>
      </c>
      <c r="F11" s="504" t="s">
        <v>1643</v>
      </c>
      <c r="G11" s="505">
        <v>19462509</v>
      </c>
      <c r="H11" s="505">
        <v>19462509</v>
      </c>
      <c r="I11" s="505">
        <f t="shared" si="0"/>
        <v>0</v>
      </c>
      <c r="J11" s="503" t="s">
        <v>1826</v>
      </c>
      <c r="K11" s="506" t="s">
        <v>1827</v>
      </c>
      <c r="L11" s="499">
        <f>+IFERROR(VLOOKUP($A11,[1]Hoja4!$A$1:$B$182,2,0),0)</f>
        <v>19462509</v>
      </c>
      <c r="M11" s="500"/>
    </row>
    <row r="12" spans="1:14" ht="15" hidden="1" customHeight="1" x14ac:dyDescent="0.25">
      <c r="A12" s="486" t="s">
        <v>1828</v>
      </c>
      <c r="B12" s="502">
        <v>1016</v>
      </c>
      <c r="C12" s="503" t="s">
        <v>1797</v>
      </c>
      <c r="D12" s="503" t="s">
        <v>1798</v>
      </c>
      <c r="E12" s="504" t="s">
        <v>1652</v>
      </c>
      <c r="F12" s="504" t="s">
        <v>1653</v>
      </c>
      <c r="G12" s="505">
        <v>15193282</v>
      </c>
      <c r="H12" s="505">
        <v>15193282</v>
      </c>
      <c r="I12" s="505">
        <f t="shared" si="0"/>
        <v>0</v>
      </c>
      <c r="J12" s="503" t="s">
        <v>1826</v>
      </c>
      <c r="K12" s="506" t="s">
        <v>1827</v>
      </c>
      <c r="L12" s="499">
        <f>+IFERROR(VLOOKUP($A12,[1]Hoja4!$A$1:$B$182,2,0),0)</f>
        <v>15193282</v>
      </c>
      <c r="M12" s="500"/>
    </row>
    <row r="13" spans="1:14" ht="15" hidden="1" customHeight="1" x14ac:dyDescent="0.25">
      <c r="A13" s="486" t="s">
        <v>1829</v>
      </c>
      <c r="B13" s="502">
        <v>1116</v>
      </c>
      <c r="C13" s="503" t="s">
        <v>1797</v>
      </c>
      <c r="D13" s="503" t="s">
        <v>1798</v>
      </c>
      <c r="E13" s="504" t="s">
        <v>1633</v>
      </c>
      <c r="F13" s="504" t="s">
        <v>515</v>
      </c>
      <c r="G13" s="505">
        <v>37000000</v>
      </c>
      <c r="H13" s="505">
        <v>37000000</v>
      </c>
      <c r="I13" s="505">
        <f t="shared" si="0"/>
        <v>0</v>
      </c>
      <c r="J13" s="503" t="s">
        <v>1830</v>
      </c>
      <c r="K13" s="506" t="s">
        <v>1831</v>
      </c>
      <c r="L13" s="499">
        <f>+IFERROR(VLOOKUP($A13,[1]Hoja4!$A$1:$B$182,2,0),0)</f>
        <v>37000000</v>
      </c>
      <c r="M13" s="500"/>
    </row>
    <row r="14" spans="1:14" ht="15" hidden="1" customHeight="1" x14ac:dyDescent="0.25">
      <c r="A14" s="486" t="s">
        <v>1832</v>
      </c>
      <c r="B14" s="502">
        <v>1216</v>
      </c>
      <c r="C14" s="503" t="s">
        <v>1797</v>
      </c>
      <c r="D14" s="503" t="s">
        <v>1833</v>
      </c>
      <c r="E14" s="504" t="s">
        <v>1716</v>
      </c>
      <c r="F14" s="504" t="s">
        <v>1718</v>
      </c>
      <c r="G14" s="505">
        <v>26670000</v>
      </c>
      <c r="H14" s="505">
        <v>26670000</v>
      </c>
      <c r="I14" s="505">
        <f t="shared" si="0"/>
        <v>0</v>
      </c>
      <c r="J14" s="503" t="s">
        <v>1834</v>
      </c>
      <c r="K14" s="506" t="s">
        <v>1835</v>
      </c>
      <c r="L14" s="499">
        <f>+IFERROR(VLOOKUP($A14,[1]Hoja4!$A$1:$B$182,2,0),0)</f>
        <v>20000000</v>
      </c>
      <c r="M14" s="500"/>
    </row>
    <row r="15" spans="1:14" ht="15" hidden="1" customHeight="1" x14ac:dyDescent="0.25">
      <c r="A15" s="486" t="s">
        <v>1836</v>
      </c>
      <c r="B15" s="502">
        <v>1316</v>
      </c>
      <c r="C15" s="503" t="s">
        <v>1797</v>
      </c>
      <c r="D15" s="503" t="s">
        <v>1833</v>
      </c>
      <c r="E15" s="504" t="s">
        <v>1716</v>
      </c>
      <c r="F15" s="504" t="s">
        <v>1718</v>
      </c>
      <c r="G15" s="505">
        <v>6180000</v>
      </c>
      <c r="H15" s="505">
        <v>6180000</v>
      </c>
      <c r="I15" s="505">
        <f t="shared" si="0"/>
        <v>0</v>
      </c>
      <c r="J15" s="503" t="s">
        <v>1837</v>
      </c>
      <c r="K15" s="506" t="s">
        <v>1838</v>
      </c>
      <c r="L15" s="499">
        <f>+IFERROR(VLOOKUP($A15,[1]Hoja4!$A$1:$B$182,2,0),0)</f>
        <v>6180000</v>
      </c>
      <c r="M15" s="500"/>
    </row>
    <row r="16" spans="1:14" ht="15" hidden="1" customHeight="1" x14ac:dyDescent="0.25">
      <c r="A16" s="486" t="s">
        <v>1839</v>
      </c>
      <c r="B16" s="502">
        <v>1416</v>
      </c>
      <c r="C16" s="503" t="s">
        <v>1797</v>
      </c>
      <c r="D16" s="503" t="s">
        <v>1833</v>
      </c>
      <c r="E16" s="504" t="s">
        <v>1716</v>
      </c>
      <c r="F16" s="504" t="s">
        <v>1718</v>
      </c>
      <c r="G16" s="505">
        <v>11000000</v>
      </c>
      <c r="H16" s="505">
        <v>11000000</v>
      </c>
      <c r="I16" s="505">
        <f t="shared" si="0"/>
        <v>0</v>
      </c>
      <c r="J16" s="503" t="s">
        <v>1840</v>
      </c>
      <c r="K16" s="506" t="s">
        <v>1841</v>
      </c>
      <c r="L16" s="499">
        <f>+IFERROR(VLOOKUP($A16,[1]Hoja4!$A$1:$B$182,2,0),0)</f>
        <v>11000000</v>
      </c>
      <c r="M16" s="500"/>
    </row>
    <row r="17" spans="1:13" ht="15" hidden="1" customHeight="1" x14ac:dyDescent="0.25">
      <c r="A17" s="486" t="s">
        <v>1842</v>
      </c>
      <c r="B17" s="502">
        <v>1516</v>
      </c>
      <c r="C17" s="503" t="s">
        <v>1797</v>
      </c>
      <c r="D17" s="503" t="s">
        <v>1833</v>
      </c>
      <c r="E17" s="504" t="s">
        <v>1716</v>
      </c>
      <c r="F17" s="504" t="s">
        <v>1718</v>
      </c>
      <c r="G17" s="505">
        <v>12000000</v>
      </c>
      <c r="H17" s="505">
        <v>12000000</v>
      </c>
      <c r="I17" s="505">
        <f t="shared" si="0"/>
        <v>0</v>
      </c>
      <c r="J17" s="503" t="s">
        <v>1843</v>
      </c>
      <c r="K17" s="506" t="s">
        <v>1844</v>
      </c>
      <c r="L17" s="499">
        <f>+IFERROR(VLOOKUP($A17,[1]Hoja4!$A$1:$B$182,2,0),0)</f>
        <v>12000000</v>
      </c>
      <c r="M17" s="500"/>
    </row>
    <row r="18" spans="1:13" ht="15" hidden="1" customHeight="1" x14ac:dyDescent="0.25">
      <c r="A18" s="486" t="s">
        <v>1845</v>
      </c>
      <c r="B18" s="502">
        <v>1616</v>
      </c>
      <c r="C18" s="503" t="s">
        <v>1797</v>
      </c>
      <c r="D18" s="503" t="s">
        <v>1833</v>
      </c>
      <c r="E18" s="504" t="s">
        <v>1716</v>
      </c>
      <c r="F18" s="504" t="s">
        <v>1718</v>
      </c>
      <c r="G18" s="505">
        <v>4000000</v>
      </c>
      <c r="H18" s="505">
        <v>4000000</v>
      </c>
      <c r="I18" s="505">
        <f t="shared" si="0"/>
        <v>0</v>
      </c>
      <c r="J18" s="503" t="s">
        <v>1846</v>
      </c>
      <c r="K18" s="506" t="s">
        <v>1847</v>
      </c>
      <c r="L18" s="499">
        <f>+IFERROR(VLOOKUP($A18,[1]Hoja4!$A$1:$B$182,2,0),0)</f>
        <v>4000000</v>
      </c>
      <c r="M18" s="500"/>
    </row>
    <row r="19" spans="1:13" ht="15" hidden="1" customHeight="1" x14ac:dyDescent="0.25">
      <c r="A19" s="486" t="s">
        <v>1848</v>
      </c>
      <c r="B19" s="502">
        <v>1616</v>
      </c>
      <c r="C19" s="503" t="s">
        <v>1797</v>
      </c>
      <c r="D19" s="503" t="s">
        <v>1833</v>
      </c>
      <c r="E19" s="504" t="s">
        <v>1763</v>
      </c>
      <c r="F19" s="504" t="s">
        <v>439</v>
      </c>
      <c r="G19" s="505">
        <v>1333333</v>
      </c>
      <c r="H19" s="505">
        <v>1333333</v>
      </c>
      <c r="I19" s="505">
        <f t="shared" si="0"/>
        <v>0</v>
      </c>
      <c r="J19" s="503" t="s">
        <v>1846</v>
      </c>
      <c r="K19" s="506" t="s">
        <v>1847</v>
      </c>
      <c r="L19" s="499">
        <f>+IFERROR(VLOOKUP($A19,[1]Hoja4!$A$1:$B$182,2,0),0)</f>
        <v>4000000</v>
      </c>
      <c r="M19" s="500"/>
    </row>
    <row r="20" spans="1:13" ht="15" hidden="1" customHeight="1" x14ac:dyDescent="0.25">
      <c r="A20" s="486" t="s">
        <v>1849</v>
      </c>
      <c r="B20" s="502">
        <v>1816</v>
      </c>
      <c r="C20" s="503" t="s">
        <v>1797</v>
      </c>
      <c r="D20" s="503" t="s">
        <v>1833</v>
      </c>
      <c r="E20" s="504" t="s">
        <v>1716</v>
      </c>
      <c r="F20" s="504" t="s">
        <v>1718</v>
      </c>
      <c r="G20" s="505">
        <v>10000000</v>
      </c>
      <c r="H20" s="505">
        <v>10000000</v>
      </c>
      <c r="I20" s="505">
        <f t="shared" si="0"/>
        <v>0</v>
      </c>
      <c r="J20" s="503" t="s">
        <v>1840</v>
      </c>
      <c r="K20" s="506" t="s">
        <v>1850</v>
      </c>
      <c r="L20" s="499">
        <f>+IFERROR(VLOOKUP($A20,[1]Hoja4!$A$1:$B$182,2,0),0)</f>
        <v>10000000</v>
      </c>
      <c r="M20" s="500"/>
    </row>
    <row r="21" spans="1:13" ht="15" hidden="1" customHeight="1" x14ac:dyDescent="0.25">
      <c r="A21" s="486" t="s">
        <v>1851</v>
      </c>
      <c r="B21" s="502">
        <v>1916</v>
      </c>
      <c r="C21" s="503" t="s">
        <v>1797</v>
      </c>
      <c r="D21" s="503" t="s">
        <v>1833</v>
      </c>
      <c r="E21" s="504" t="s">
        <v>1716</v>
      </c>
      <c r="F21" s="504" t="s">
        <v>1718</v>
      </c>
      <c r="G21" s="505">
        <v>4000000</v>
      </c>
      <c r="H21" s="505">
        <v>4000000</v>
      </c>
      <c r="I21" s="505">
        <f t="shared" si="0"/>
        <v>0</v>
      </c>
      <c r="J21" s="503" t="s">
        <v>1846</v>
      </c>
      <c r="K21" s="506" t="s">
        <v>1852</v>
      </c>
      <c r="L21" s="499">
        <f>+IFERROR(VLOOKUP($A21,[1]Hoja4!$A$1:$B$182,2,0),0)</f>
        <v>4000000</v>
      </c>
      <c r="M21" s="500"/>
    </row>
    <row r="22" spans="1:13" ht="15" hidden="1" customHeight="1" x14ac:dyDescent="0.25">
      <c r="A22" s="486" t="s">
        <v>1853</v>
      </c>
      <c r="B22" s="502">
        <v>1916</v>
      </c>
      <c r="C22" s="503" t="s">
        <v>1797</v>
      </c>
      <c r="D22" s="503" t="s">
        <v>1833</v>
      </c>
      <c r="E22" s="504" t="s">
        <v>1763</v>
      </c>
      <c r="F22" s="504" t="s">
        <v>439</v>
      </c>
      <c r="G22" s="505">
        <v>6666667</v>
      </c>
      <c r="H22" s="505">
        <v>6666667</v>
      </c>
      <c r="I22" s="505">
        <f t="shared" si="0"/>
        <v>0</v>
      </c>
      <c r="J22" s="503" t="s">
        <v>1846</v>
      </c>
      <c r="K22" s="506" t="s">
        <v>1852</v>
      </c>
      <c r="L22" s="499">
        <f>+IFERROR(VLOOKUP($A22,[1]Hoja4!$A$1:$B$182,2,0),0)</f>
        <v>4000000</v>
      </c>
      <c r="M22" s="500"/>
    </row>
    <row r="23" spans="1:13" ht="15" hidden="1" customHeight="1" x14ac:dyDescent="0.25">
      <c r="A23" s="486" t="s">
        <v>1854</v>
      </c>
      <c r="B23" s="502">
        <v>2016</v>
      </c>
      <c r="C23" s="503" t="s">
        <v>1797</v>
      </c>
      <c r="D23" s="503" t="s">
        <v>1833</v>
      </c>
      <c r="E23" s="504" t="s">
        <v>1716</v>
      </c>
      <c r="F23" s="504" t="s">
        <v>1718</v>
      </c>
      <c r="G23" s="505">
        <v>4600000</v>
      </c>
      <c r="H23" s="505">
        <v>4600000</v>
      </c>
      <c r="I23" s="505">
        <f t="shared" si="0"/>
        <v>0</v>
      </c>
      <c r="J23" s="503" t="s">
        <v>1855</v>
      </c>
      <c r="K23" s="506" t="s">
        <v>1856</v>
      </c>
      <c r="L23" s="499">
        <f>+IFERROR(VLOOKUP($A23,[1]Hoja4!$A$1:$B$182,2,0),0)</f>
        <v>4600000</v>
      </c>
      <c r="M23" s="500"/>
    </row>
    <row r="24" spans="1:13" ht="15" hidden="1" customHeight="1" x14ac:dyDescent="0.25">
      <c r="A24" s="486" t="s">
        <v>1857</v>
      </c>
      <c r="B24" s="502">
        <v>2316</v>
      </c>
      <c r="C24" s="503" t="s">
        <v>1797</v>
      </c>
      <c r="D24" s="503" t="s">
        <v>1833</v>
      </c>
      <c r="E24" s="504" t="s">
        <v>1763</v>
      </c>
      <c r="F24" s="504" t="s">
        <v>439</v>
      </c>
      <c r="G24" s="505">
        <v>10300000</v>
      </c>
      <c r="H24" s="505">
        <v>10300000</v>
      </c>
      <c r="I24" s="505">
        <f t="shared" si="0"/>
        <v>0</v>
      </c>
      <c r="J24" s="503" t="s">
        <v>1858</v>
      </c>
      <c r="K24" s="506" t="s">
        <v>1859</v>
      </c>
      <c r="L24" s="499">
        <f>+IFERROR(VLOOKUP($A24,[1]Hoja4!$A$1:$B$182,2,0),0)</f>
        <v>10300000</v>
      </c>
      <c r="M24" s="500"/>
    </row>
    <row r="25" spans="1:13" ht="15" hidden="1" customHeight="1" x14ac:dyDescent="0.25">
      <c r="A25" s="486" t="s">
        <v>1860</v>
      </c>
      <c r="B25" s="502">
        <v>2516</v>
      </c>
      <c r="C25" s="503" t="s">
        <v>1797</v>
      </c>
      <c r="D25" s="503" t="s">
        <v>1833</v>
      </c>
      <c r="E25" s="504" t="s">
        <v>1716</v>
      </c>
      <c r="F25" s="504" t="s">
        <v>1718</v>
      </c>
      <c r="G25" s="505">
        <v>6180000</v>
      </c>
      <c r="H25" s="505">
        <v>6180000</v>
      </c>
      <c r="I25" s="505">
        <f t="shared" si="0"/>
        <v>0</v>
      </c>
      <c r="J25" s="503" t="s">
        <v>1861</v>
      </c>
      <c r="K25" s="506" t="s">
        <v>1862</v>
      </c>
      <c r="L25" s="499">
        <f>+IFERROR(VLOOKUP($A25,[1]Hoja4!$A$1:$B$182,2,0),0)</f>
        <v>6180000</v>
      </c>
      <c r="M25" s="500"/>
    </row>
    <row r="26" spans="1:13" ht="15" hidden="1" customHeight="1" x14ac:dyDescent="0.25">
      <c r="A26" s="486" t="s">
        <v>1863</v>
      </c>
      <c r="B26" s="502">
        <v>2716</v>
      </c>
      <c r="C26" s="503" t="s">
        <v>1797</v>
      </c>
      <c r="D26" s="503" t="s">
        <v>1833</v>
      </c>
      <c r="E26" s="504" t="s">
        <v>1716</v>
      </c>
      <c r="F26" s="504" t="s">
        <v>1718</v>
      </c>
      <c r="G26" s="505">
        <v>19000000</v>
      </c>
      <c r="H26" s="505">
        <v>19000000</v>
      </c>
      <c r="I26" s="505">
        <f t="shared" si="0"/>
        <v>0</v>
      </c>
      <c r="J26" s="503" t="s">
        <v>1864</v>
      </c>
      <c r="K26" s="506" t="s">
        <v>1865</v>
      </c>
      <c r="L26" s="499">
        <f>+IFERROR(VLOOKUP($A26,[1]Hoja4!$A$1:$B$182,2,0),0)</f>
        <v>19000000</v>
      </c>
      <c r="M26" s="500"/>
    </row>
    <row r="27" spans="1:13" ht="15" hidden="1" customHeight="1" x14ac:dyDescent="0.25">
      <c r="A27" s="486" t="s">
        <v>1866</v>
      </c>
      <c r="B27" s="502">
        <v>2816</v>
      </c>
      <c r="C27" s="503" t="s">
        <v>1867</v>
      </c>
      <c r="D27" s="503" t="s">
        <v>1798</v>
      </c>
      <c r="E27" s="504" t="s">
        <v>1629</v>
      </c>
      <c r="F27" s="504" t="s">
        <v>1630</v>
      </c>
      <c r="G27" s="505">
        <v>600000</v>
      </c>
      <c r="H27" s="505">
        <v>600000</v>
      </c>
      <c r="I27" s="505">
        <f t="shared" si="0"/>
        <v>0</v>
      </c>
      <c r="J27" s="503" t="s">
        <v>1868</v>
      </c>
      <c r="K27" s="506" t="s">
        <v>1584</v>
      </c>
      <c r="L27" s="499">
        <f>+IFERROR(VLOOKUP($A27,[1]Hoja4!$A$1:$B$182,2,0),0)</f>
        <v>600000</v>
      </c>
      <c r="M27" s="500"/>
    </row>
    <row r="28" spans="1:13" ht="15" hidden="1" customHeight="1" x14ac:dyDescent="0.25">
      <c r="A28" s="486" t="s">
        <v>1869</v>
      </c>
      <c r="B28" s="502">
        <v>2816</v>
      </c>
      <c r="C28" s="503" t="s">
        <v>1867</v>
      </c>
      <c r="D28" s="503" t="s">
        <v>1798</v>
      </c>
      <c r="E28" s="504" t="s">
        <v>1686</v>
      </c>
      <c r="F28" s="504" t="s">
        <v>1687</v>
      </c>
      <c r="G28" s="505">
        <v>5000000</v>
      </c>
      <c r="H28" s="505">
        <v>5000000</v>
      </c>
      <c r="I28" s="505">
        <f t="shared" si="0"/>
        <v>0</v>
      </c>
      <c r="J28" s="503" t="s">
        <v>1868</v>
      </c>
      <c r="K28" s="506" t="s">
        <v>1584</v>
      </c>
      <c r="L28" s="499">
        <f>+IFERROR(VLOOKUP($A28,[1]Hoja4!$A$1:$B$182,2,0),0)</f>
        <v>5000000</v>
      </c>
      <c r="M28" s="500"/>
    </row>
    <row r="29" spans="1:13" ht="15" hidden="1" customHeight="1" x14ac:dyDescent="0.25">
      <c r="A29" s="486" t="s">
        <v>1870</v>
      </c>
      <c r="B29" s="502">
        <v>2816</v>
      </c>
      <c r="C29" s="503" t="s">
        <v>1867</v>
      </c>
      <c r="D29" s="503" t="s">
        <v>1798</v>
      </c>
      <c r="E29" s="504" t="s">
        <v>1646</v>
      </c>
      <c r="F29" s="504" t="s">
        <v>520</v>
      </c>
      <c r="G29" s="505">
        <v>4000000</v>
      </c>
      <c r="H29" s="505">
        <v>4000000</v>
      </c>
      <c r="I29" s="505">
        <f t="shared" si="0"/>
        <v>0</v>
      </c>
      <c r="J29" s="503" t="s">
        <v>1868</v>
      </c>
      <c r="K29" s="506" t="s">
        <v>1584</v>
      </c>
      <c r="L29" s="499">
        <f>+IFERROR(VLOOKUP($A29,[1]Hoja4!$A$1:$B$182,2,0),0)</f>
        <v>4000000</v>
      </c>
      <c r="M29" s="500"/>
    </row>
    <row r="30" spans="1:13" ht="15" hidden="1" customHeight="1" x14ac:dyDescent="0.25">
      <c r="A30" s="486" t="s">
        <v>1871</v>
      </c>
      <c r="B30" s="502">
        <v>2816</v>
      </c>
      <c r="C30" s="503" t="s">
        <v>1867</v>
      </c>
      <c r="D30" s="503" t="s">
        <v>1798</v>
      </c>
      <c r="E30" s="504" t="s">
        <v>1656</v>
      </c>
      <c r="F30" s="504" t="s">
        <v>493</v>
      </c>
      <c r="G30" s="505">
        <v>1500000</v>
      </c>
      <c r="H30" s="505">
        <v>1500000</v>
      </c>
      <c r="I30" s="505">
        <f t="shared" si="0"/>
        <v>0</v>
      </c>
      <c r="J30" s="503" t="s">
        <v>1868</v>
      </c>
      <c r="K30" s="506" t="s">
        <v>1584</v>
      </c>
      <c r="L30" s="499">
        <f>+IFERROR(VLOOKUP($A30,[1]Hoja4!$A$1:$B$182,2,0),0)</f>
        <v>1500000</v>
      </c>
      <c r="M30" s="500"/>
    </row>
    <row r="31" spans="1:13" ht="15" hidden="1" customHeight="1" x14ac:dyDescent="0.25">
      <c r="A31" s="486" t="s">
        <v>1872</v>
      </c>
      <c r="B31" s="502">
        <v>2816</v>
      </c>
      <c r="C31" s="503" t="s">
        <v>1867</v>
      </c>
      <c r="D31" s="503" t="s">
        <v>1798</v>
      </c>
      <c r="E31" s="504" t="s">
        <v>1660</v>
      </c>
      <c r="F31" s="504" t="s">
        <v>1661</v>
      </c>
      <c r="G31" s="505">
        <v>1500000</v>
      </c>
      <c r="H31" s="505">
        <v>1500000</v>
      </c>
      <c r="I31" s="505">
        <f t="shared" si="0"/>
        <v>0</v>
      </c>
      <c r="J31" s="503" t="s">
        <v>1868</v>
      </c>
      <c r="K31" s="506" t="s">
        <v>1584</v>
      </c>
      <c r="L31" s="499">
        <f>+IFERROR(VLOOKUP($A31,[1]Hoja4!$A$1:$B$182,2,0),0)</f>
        <v>1500000</v>
      </c>
      <c r="M31" s="500"/>
    </row>
    <row r="32" spans="1:13" ht="15" hidden="1" customHeight="1" x14ac:dyDescent="0.25">
      <c r="A32" s="486" t="s">
        <v>1873</v>
      </c>
      <c r="B32" s="502">
        <v>2816</v>
      </c>
      <c r="C32" s="503" t="s">
        <v>1867</v>
      </c>
      <c r="D32" s="503" t="s">
        <v>1798</v>
      </c>
      <c r="E32" s="504" t="s">
        <v>1665</v>
      </c>
      <c r="F32" s="504" t="s">
        <v>1666</v>
      </c>
      <c r="G32" s="505">
        <v>800000</v>
      </c>
      <c r="H32" s="505">
        <v>800000</v>
      </c>
      <c r="I32" s="505">
        <f t="shared" si="0"/>
        <v>0</v>
      </c>
      <c r="J32" s="503" t="s">
        <v>1868</v>
      </c>
      <c r="K32" s="506" t="s">
        <v>1584</v>
      </c>
      <c r="L32" s="499">
        <f>+IFERROR(VLOOKUP($A32,[1]Hoja4!$A$1:$B$182,2,0),0)</f>
        <v>800000</v>
      </c>
      <c r="M32" s="500"/>
    </row>
    <row r="33" spans="1:13" ht="15" hidden="1" customHeight="1" x14ac:dyDescent="0.25">
      <c r="A33" s="486" t="s">
        <v>1874</v>
      </c>
      <c r="B33" s="502">
        <v>2916</v>
      </c>
      <c r="C33" s="503" t="s">
        <v>1867</v>
      </c>
      <c r="D33" s="503" t="s">
        <v>1798</v>
      </c>
      <c r="E33" s="504" t="s">
        <v>1667</v>
      </c>
      <c r="F33" s="504" t="s">
        <v>500</v>
      </c>
      <c r="G33" s="505">
        <v>10200000</v>
      </c>
      <c r="H33" s="505">
        <v>2625388</v>
      </c>
      <c r="I33" s="505">
        <f t="shared" si="0"/>
        <v>7574612</v>
      </c>
      <c r="J33" s="503" t="s">
        <v>1875</v>
      </c>
      <c r="K33" s="506" t="s">
        <v>1876</v>
      </c>
      <c r="L33" s="499">
        <f>+IFERROR(VLOOKUP($A33,[1]Hoja4!$A$1:$B$182,2,0),0)</f>
        <v>0</v>
      </c>
      <c r="M33" s="500"/>
    </row>
    <row r="34" spans="1:13" ht="15" hidden="1" customHeight="1" x14ac:dyDescent="0.25">
      <c r="A34" s="486" t="s">
        <v>1877</v>
      </c>
      <c r="B34" s="502">
        <v>3016</v>
      </c>
      <c r="C34" s="503" t="s">
        <v>1867</v>
      </c>
      <c r="D34" s="503" t="s">
        <v>1798</v>
      </c>
      <c r="E34" s="504" t="s">
        <v>1668</v>
      </c>
      <c r="F34" s="504" t="s">
        <v>1669</v>
      </c>
      <c r="G34" s="505">
        <v>99000000</v>
      </c>
      <c r="H34" s="505">
        <v>44358420</v>
      </c>
      <c r="I34" s="505">
        <f t="shared" si="0"/>
        <v>54641580</v>
      </c>
      <c r="J34" s="503" t="s">
        <v>1878</v>
      </c>
      <c r="K34" s="506" t="s">
        <v>1879</v>
      </c>
      <c r="L34" s="499">
        <f>+IFERROR(VLOOKUP($A34,[1]Hoja4!$A$1:$B$182,2,0),0)</f>
        <v>19432310</v>
      </c>
      <c r="M34" s="500"/>
    </row>
    <row r="35" spans="1:13" ht="15" hidden="1" customHeight="1" x14ac:dyDescent="0.25">
      <c r="A35" s="486" t="s">
        <v>1880</v>
      </c>
      <c r="B35" s="502">
        <v>3116</v>
      </c>
      <c r="C35" s="503" t="s">
        <v>1867</v>
      </c>
      <c r="D35" s="503" t="s">
        <v>1798</v>
      </c>
      <c r="E35" s="504" t="s">
        <v>1670</v>
      </c>
      <c r="F35" s="504" t="s">
        <v>1671</v>
      </c>
      <c r="G35" s="505">
        <v>25200000</v>
      </c>
      <c r="H35" s="505">
        <v>8392466</v>
      </c>
      <c r="I35" s="505">
        <f t="shared" si="0"/>
        <v>16807534</v>
      </c>
      <c r="J35" s="503" t="s">
        <v>1881</v>
      </c>
      <c r="K35" s="506" t="s">
        <v>1882</v>
      </c>
      <c r="L35" s="499">
        <f>+IFERROR(VLOOKUP($A35,[1]Hoja4!$A$1:$B$182,2,0),0)</f>
        <v>3244880</v>
      </c>
      <c r="M35" s="500"/>
    </row>
    <row r="36" spans="1:13" ht="15" hidden="1" customHeight="1" x14ac:dyDescent="0.25">
      <c r="A36" s="486" t="s">
        <v>1883</v>
      </c>
      <c r="B36" s="502">
        <v>3216</v>
      </c>
      <c r="C36" s="503" t="s">
        <v>1867</v>
      </c>
      <c r="D36" s="503" t="s">
        <v>1798</v>
      </c>
      <c r="E36" s="504" t="s">
        <v>1672</v>
      </c>
      <c r="F36" s="504" t="s">
        <v>1673</v>
      </c>
      <c r="G36" s="505">
        <v>104500000</v>
      </c>
      <c r="H36" s="505">
        <v>55379991</v>
      </c>
      <c r="I36" s="505">
        <f t="shared" si="0"/>
        <v>49120009</v>
      </c>
      <c r="J36" s="503" t="s">
        <v>1884</v>
      </c>
      <c r="K36" s="506" t="s">
        <v>1885</v>
      </c>
      <c r="L36" s="499">
        <f>+IFERROR(VLOOKUP($A36,[1]Hoja4!$A$1:$B$182,2,0),0)</f>
        <v>21076330</v>
      </c>
      <c r="M36" s="500"/>
    </row>
    <row r="37" spans="1:13" ht="15" hidden="1" customHeight="1" x14ac:dyDescent="0.25">
      <c r="A37" s="486" t="s">
        <v>1886</v>
      </c>
      <c r="B37" s="502">
        <v>3316</v>
      </c>
      <c r="C37" s="503" t="s">
        <v>1867</v>
      </c>
      <c r="D37" s="503" t="s">
        <v>1798</v>
      </c>
      <c r="E37" s="504" t="s">
        <v>1642</v>
      </c>
      <c r="F37" s="504" t="s">
        <v>1643</v>
      </c>
      <c r="G37" s="505">
        <v>1350000</v>
      </c>
      <c r="H37" s="505">
        <v>1350000</v>
      </c>
      <c r="I37" s="505">
        <f t="shared" si="0"/>
        <v>0</v>
      </c>
      <c r="J37" s="503" t="s">
        <v>1887</v>
      </c>
      <c r="K37" s="506" t="s">
        <v>1888</v>
      </c>
      <c r="L37" s="499">
        <f>+IFERROR(VLOOKUP($A37,[1]Hoja4!$A$1:$B$182,2,0),0)</f>
        <v>0</v>
      </c>
      <c r="M37" s="500"/>
    </row>
    <row r="38" spans="1:13" ht="15" hidden="1" customHeight="1" x14ac:dyDescent="0.25">
      <c r="A38" s="486" t="s">
        <v>1889</v>
      </c>
      <c r="B38" s="502">
        <v>3316</v>
      </c>
      <c r="C38" s="503" t="s">
        <v>1867</v>
      </c>
      <c r="D38" s="503" t="s">
        <v>1798</v>
      </c>
      <c r="E38" s="504" t="s">
        <v>1648</v>
      </c>
      <c r="F38" s="504" t="s">
        <v>1649</v>
      </c>
      <c r="G38" s="505">
        <v>8100000</v>
      </c>
      <c r="H38" s="505">
        <v>8100000</v>
      </c>
      <c r="I38" s="505">
        <f t="shared" si="0"/>
        <v>0</v>
      </c>
      <c r="J38" s="503" t="s">
        <v>1887</v>
      </c>
      <c r="K38" s="506" t="s">
        <v>1888</v>
      </c>
      <c r="L38" s="499">
        <f>+IFERROR(VLOOKUP($A38,[1]Hoja4!$A$1:$B$182,2,0),0)</f>
        <v>0</v>
      </c>
      <c r="M38" s="500"/>
    </row>
    <row r="39" spans="1:13" ht="15" hidden="1" customHeight="1" x14ac:dyDescent="0.25">
      <c r="A39" s="486" t="s">
        <v>1890</v>
      </c>
      <c r="B39" s="502">
        <v>3516</v>
      </c>
      <c r="C39" s="503" t="s">
        <v>1867</v>
      </c>
      <c r="D39" s="503" t="s">
        <v>1798</v>
      </c>
      <c r="E39" s="504" t="s">
        <v>1639</v>
      </c>
      <c r="F39" s="504" t="s">
        <v>518</v>
      </c>
      <c r="G39" s="505">
        <v>3101205</v>
      </c>
      <c r="H39" s="505">
        <v>3101205</v>
      </c>
      <c r="I39" s="505">
        <f t="shared" si="0"/>
        <v>0</v>
      </c>
      <c r="J39" s="503" t="s">
        <v>1891</v>
      </c>
      <c r="K39" s="506" t="s">
        <v>1892</v>
      </c>
      <c r="L39" s="499">
        <f>+IFERROR(VLOOKUP($A39,[1]Hoja4!$A$1:$B$182,2,0),0)</f>
        <v>3101205</v>
      </c>
      <c r="M39" s="500"/>
    </row>
    <row r="40" spans="1:13" ht="15" hidden="1" customHeight="1" x14ac:dyDescent="0.25">
      <c r="A40" s="486" t="s">
        <v>1893</v>
      </c>
      <c r="B40" s="502">
        <v>3516</v>
      </c>
      <c r="C40" s="503" t="s">
        <v>1867</v>
      </c>
      <c r="D40" s="503" t="s">
        <v>1798</v>
      </c>
      <c r="E40" s="504" t="s">
        <v>1640</v>
      </c>
      <c r="F40" s="504" t="s">
        <v>1641</v>
      </c>
      <c r="G40" s="505">
        <v>5740453</v>
      </c>
      <c r="H40" s="505">
        <v>5740453</v>
      </c>
      <c r="I40" s="505">
        <f t="shared" si="0"/>
        <v>0</v>
      </c>
      <c r="J40" s="503" t="s">
        <v>1891</v>
      </c>
      <c r="K40" s="506" t="s">
        <v>1892</v>
      </c>
      <c r="L40" s="499">
        <f>+IFERROR(VLOOKUP($A40,[1]Hoja4!$A$1:$B$182,2,0),0)</f>
        <v>5740453</v>
      </c>
      <c r="M40" s="500"/>
    </row>
    <row r="41" spans="1:13" ht="15" hidden="1" customHeight="1" x14ac:dyDescent="0.25">
      <c r="A41" s="486" t="s">
        <v>1894</v>
      </c>
      <c r="B41" s="502">
        <v>3616</v>
      </c>
      <c r="C41" s="503" t="s">
        <v>1867</v>
      </c>
      <c r="D41" s="503" t="s">
        <v>1833</v>
      </c>
      <c r="E41" s="504" t="s">
        <v>1716</v>
      </c>
      <c r="F41" s="504" t="s">
        <v>1718</v>
      </c>
      <c r="G41" s="505">
        <v>20000000</v>
      </c>
      <c r="H41" s="505">
        <v>20000000</v>
      </c>
      <c r="I41" s="505">
        <f t="shared" si="0"/>
        <v>0</v>
      </c>
      <c r="J41" s="503" t="s">
        <v>1895</v>
      </c>
      <c r="K41" s="506" t="s">
        <v>1896</v>
      </c>
      <c r="L41" s="499">
        <f>+IFERROR(VLOOKUP($A41,[1]Hoja4!$A$1:$B$182,2,0),0)</f>
        <v>20000000</v>
      </c>
      <c r="M41" s="500"/>
    </row>
    <row r="42" spans="1:13" ht="15" hidden="1" customHeight="1" x14ac:dyDescent="0.25">
      <c r="A42" s="486" t="s">
        <v>1897</v>
      </c>
      <c r="B42" s="502">
        <v>3716</v>
      </c>
      <c r="C42" s="503" t="s">
        <v>1867</v>
      </c>
      <c r="D42" s="503" t="s">
        <v>1833</v>
      </c>
      <c r="E42" s="504" t="s">
        <v>1716</v>
      </c>
      <c r="F42" s="504" t="s">
        <v>1718</v>
      </c>
      <c r="G42" s="505">
        <v>15270000</v>
      </c>
      <c r="H42" s="505">
        <v>15270000</v>
      </c>
      <c r="I42" s="505">
        <f t="shared" si="0"/>
        <v>0</v>
      </c>
      <c r="J42" s="503" t="s">
        <v>1898</v>
      </c>
      <c r="K42" s="506" t="s">
        <v>1899</v>
      </c>
      <c r="L42" s="499">
        <f>+IFERROR(VLOOKUP($A42,[1]Hoja4!$A$1:$B$182,2,0),0)</f>
        <v>11600000</v>
      </c>
      <c r="M42" s="500"/>
    </row>
    <row r="43" spans="1:13" ht="15" hidden="1" customHeight="1" x14ac:dyDescent="0.25">
      <c r="A43" s="486" t="s">
        <v>1900</v>
      </c>
      <c r="B43" s="502">
        <v>3816</v>
      </c>
      <c r="C43" s="503" t="s">
        <v>1901</v>
      </c>
      <c r="D43" s="503" t="s">
        <v>1833</v>
      </c>
      <c r="E43" s="504" t="s">
        <v>1716</v>
      </c>
      <c r="F43" s="504" t="s">
        <v>1718</v>
      </c>
      <c r="G43" s="505">
        <v>5000000</v>
      </c>
      <c r="H43" s="505">
        <v>5000000</v>
      </c>
      <c r="I43" s="505">
        <f t="shared" si="0"/>
        <v>0</v>
      </c>
      <c r="J43" s="503" t="s">
        <v>1902</v>
      </c>
      <c r="K43" s="506" t="s">
        <v>1903</v>
      </c>
      <c r="L43" s="499">
        <f>+IFERROR(VLOOKUP($A43,[1]Hoja4!$A$1:$B$182,2,0),0)</f>
        <v>5000000</v>
      </c>
      <c r="M43" s="500"/>
    </row>
    <row r="44" spans="1:13" ht="15" hidden="1" customHeight="1" x14ac:dyDescent="0.25">
      <c r="A44" s="486" t="s">
        <v>1904</v>
      </c>
      <c r="B44" s="502">
        <v>3916</v>
      </c>
      <c r="C44" s="503" t="s">
        <v>1901</v>
      </c>
      <c r="D44" s="503" t="s">
        <v>1833</v>
      </c>
      <c r="E44" s="504" t="s">
        <v>1746</v>
      </c>
      <c r="F44" s="504" t="s">
        <v>350</v>
      </c>
      <c r="G44" s="505">
        <v>40250000</v>
      </c>
      <c r="H44" s="505">
        <v>40250000</v>
      </c>
      <c r="I44" s="505">
        <f t="shared" si="0"/>
        <v>0</v>
      </c>
      <c r="J44" s="503" t="s">
        <v>1905</v>
      </c>
      <c r="K44" s="506" t="s">
        <v>1906</v>
      </c>
      <c r="L44" s="499">
        <f>+IFERROR(VLOOKUP($A44,[1]Hoja4!$A$1:$B$182,2,0),0)</f>
        <v>40250000</v>
      </c>
      <c r="M44" s="500"/>
    </row>
    <row r="45" spans="1:13" ht="15" hidden="1" customHeight="1" x14ac:dyDescent="0.25">
      <c r="A45" s="486" t="s">
        <v>1907</v>
      </c>
      <c r="B45" s="502">
        <v>4016</v>
      </c>
      <c r="C45" s="503" t="s">
        <v>1901</v>
      </c>
      <c r="D45" s="503" t="s">
        <v>1833</v>
      </c>
      <c r="E45" s="504" t="s">
        <v>1746</v>
      </c>
      <c r="F45" s="504" t="s">
        <v>350</v>
      </c>
      <c r="G45" s="505">
        <v>71300000</v>
      </c>
      <c r="H45" s="505">
        <v>71300000</v>
      </c>
      <c r="I45" s="505">
        <f t="shared" si="0"/>
        <v>0</v>
      </c>
      <c r="J45" s="503" t="s">
        <v>1908</v>
      </c>
      <c r="K45" s="506" t="s">
        <v>1909</v>
      </c>
      <c r="L45" s="499">
        <f>+IFERROR(VLOOKUP($A45,[1]Hoja4!$A$1:$B$182,2,0),0)</f>
        <v>71300000</v>
      </c>
      <c r="M45" s="500"/>
    </row>
    <row r="46" spans="1:13" ht="15" hidden="1" customHeight="1" x14ac:dyDescent="0.25">
      <c r="A46" s="486" t="s">
        <v>1910</v>
      </c>
      <c r="B46" s="502">
        <v>4116</v>
      </c>
      <c r="C46" s="503" t="s">
        <v>1901</v>
      </c>
      <c r="D46" s="503" t="s">
        <v>1833</v>
      </c>
      <c r="E46" s="504" t="s">
        <v>1746</v>
      </c>
      <c r="F46" s="504" t="s">
        <v>350</v>
      </c>
      <c r="G46" s="505">
        <v>71300000</v>
      </c>
      <c r="H46" s="505">
        <v>71300000</v>
      </c>
      <c r="I46" s="505">
        <f t="shared" si="0"/>
        <v>0</v>
      </c>
      <c r="J46" s="503" t="s">
        <v>1911</v>
      </c>
      <c r="K46" s="506" t="s">
        <v>1912</v>
      </c>
      <c r="L46" s="499">
        <f>+IFERROR(VLOOKUP($A46,[1]Hoja4!$A$1:$B$182,2,0),0)</f>
        <v>71300000</v>
      </c>
      <c r="M46" s="500"/>
    </row>
    <row r="47" spans="1:13" ht="15" hidden="1" customHeight="1" x14ac:dyDescent="0.25">
      <c r="A47" s="486" t="s">
        <v>1913</v>
      </c>
      <c r="B47" s="502">
        <v>4216</v>
      </c>
      <c r="C47" s="503" t="s">
        <v>1901</v>
      </c>
      <c r="D47" s="503" t="s">
        <v>1833</v>
      </c>
      <c r="E47" s="504" t="s">
        <v>1746</v>
      </c>
      <c r="F47" s="504" t="s">
        <v>350</v>
      </c>
      <c r="G47" s="505">
        <v>71300000</v>
      </c>
      <c r="H47" s="505">
        <v>71300000</v>
      </c>
      <c r="I47" s="505">
        <f t="shared" si="0"/>
        <v>0</v>
      </c>
      <c r="J47" s="503" t="s">
        <v>1914</v>
      </c>
      <c r="K47" s="506" t="s">
        <v>1915</v>
      </c>
      <c r="L47" s="499">
        <f>+IFERROR(VLOOKUP($A47,[1]Hoja4!$A$1:$B$182,2,0),0)</f>
        <v>71300000</v>
      </c>
      <c r="M47" s="500"/>
    </row>
    <row r="48" spans="1:13" ht="15" hidden="1" customHeight="1" x14ac:dyDescent="0.25">
      <c r="A48" s="486" t="s">
        <v>1916</v>
      </c>
      <c r="B48" s="502">
        <v>4316</v>
      </c>
      <c r="C48" s="503" t="s">
        <v>1901</v>
      </c>
      <c r="D48" s="503" t="s">
        <v>1833</v>
      </c>
      <c r="E48" s="504" t="s">
        <v>1746</v>
      </c>
      <c r="F48" s="504" t="s">
        <v>350</v>
      </c>
      <c r="G48" s="505">
        <v>71300000</v>
      </c>
      <c r="H48" s="505">
        <v>71300000</v>
      </c>
      <c r="I48" s="505">
        <f t="shared" si="0"/>
        <v>0</v>
      </c>
      <c r="J48" s="503" t="s">
        <v>1917</v>
      </c>
      <c r="K48" s="506" t="s">
        <v>1918</v>
      </c>
      <c r="L48" s="499">
        <f>+IFERROR(VLOOKUP($A48,[1]Hoja4!$A$1:$B$182,2,0),0)</f>
        <v>71300000</v>
      </c>
      <c r="M48" s="500"/>
    </row>
    <row r="49" spans="1:13" ht="15" hidden="1" customHeight="1" x14ac:dyDescent="0.25">
      <c r="A49" s="486" t="s">
        <v>1919</v>
      </c>
      <c r="B49" s="502">
        <v>4416</v>
      </c>
      <c r="C49" s="503" t="s">
        <v>1901</v>
      </c>
      <c r="D49" s="503" t="s">
        <v>1833</v>
      </c>
      <c r="E49" s="504" t="s">
        <v>1746</v>
      </c>
      <c r="F49" s="504" t="s">
        <v>350</v>
      </c>
      <c r="G49" s="505">
        <v>20000000</v>
      </c>
      <c r="H49" s="505">
        <v>20000000</v>
      </c>
      <c r="I49" s="505">
        <f t="shared" si="0"/>
        <v>0</v>
      </c>
      <c r="J49" s="503" t="s">
        <v>1920</v>
      </c>
      <c r="K49" s="506" t="s">
        <v>1921</v>
      </c>
      <c r="L49" s="499">
        <f>+IFERROR(VLOOKUP($A49,[1]Hoja4!$A$1:$B$182,2,0),0)</f>
        <v>20000000</v>
      </c>
      <c r="M49" s="500"/>
    </row>
    <row r="50" spans="1:13" ht="15" hidden="1" customHeight="1" x14ac:dyDescent="0.25">
      <c r="A50" s="486" t="s">
        <v>1922</v>
      </c>
      <c r="B50" s="502">
        <v>4516</v>
      </c>
      <c r="C50" s="503" t="s">
        <v>1901</v>
      </c>
      <c r="D50" s="503" t="s">
        <v>1833</v>
      </c>
      <c r="E50" s="504" t="s">
        <v>1746</v>
      </c>
      <c r="F50" s="504" t="s">
        <v>350</v>
      </c>
      <c r="G50" s="505">
        <v>24800000</v>
      </c>
      <c r="H50" s="505">
        <v>24800000</v>
      </c>
      <c r="I50" s="505">
        <f t="shared" si="0"/>
        <v>0</v>
      </c>
      <c r="J50" s="503" t="s">
        <v>1923</v>
      </c>
      <c r="K50" s="506" t="s">
        <v>1924</v>
      </c>
      <c r="L50" s="499">
        <f>+IFERROR(VLOOKUP($A50,[1]Hoja4!$A$1:$B$182,2,0),0)</f>
        <v>24800000</v>
      </c>
      <c r="M50" s="500"/>
    </row>
    <row r="51" spans="1:13" ht="15" hidden="1" customHeight="1" x14ac:dyDescent="0.25">
      <c r="A51" s="486" t="s">
        <v>1925</v>
      </c>
      <c r="B51" s="502">
        <v>4616</v>
      </c>
      <c r="C51" s="503" t="s">
        <v>1901</v>
      </c>
      <c r="D51" s="503" t="s">
        <v>1833</v>
      </c>
      <c r="E51" s="504" t="s">
        <v>1746</v>
      </c>
      <c r="F51" s="504" t="s">
        <v>350</v>
      </c>
      <c r="G51" s="505">
        <v>24800000</v>
      </c>
      <c r="H51" s="505">
        <v>24800000</v>
      </c>
      <c r="I51" s="505">
        <f t="shared" si="0"/>
        <v>0</v>
      </c>
      <c r="J51" s="503" t="s">
        <v>1926</v>
      </c>
      <c r="K51" s="506" t="s">
        <v>1927</v>
      </c>
      <c r="L51" s="499">
        <f>+IFERROR(VLOOKUP($A51,[1]Hoja4!$A$1:$B$182,2,0),0)</f>
        <v>24800000</v>
      </c>
      <c r="M51" s="500"/>
    </row>
    <row r="52" spans="1:13" ht="15" hidden="1" customHeight="1" x14ac:dyDescent="0.25">
      <c r="A52" s="486" t="s">
        <v>1928</v>
      </c>
      <c r="B52" s="502">
        <v>4716</v>
      </c>
      <c r="C52" s="503" t="s">
        <v>1929</v>
      </c>
      <c r="D52" s="503" t="s">
        <v>1798</v>
      </c>
      <c r="E52" s="504" t="s">
        <v>1682</v>
      </c>
      <c r="F52" s="504" t="s">
        <v>1683</v>
      </c>
      <c r="G52" s="505">
        <v>5900000</v>
      </c>
      <c r="H52" s="505">
        <v>2359980</v>
      </c>
      <c r="I52" s="505">
        <f t="shared" si="0"/>
        <v>3540020</v>
      </c>
      <c r="J52" s="503" t="s">
        <v>1930</v>
      </c>
      <c r="K52" s="506" t="s">
        <v>1931</v>
      </c>
      <c r="L52" s="499">
        <f>+IFERROR(VLOOKUP($A52,[1]Hoja4!$A$1:$B$182,2,0),0)</f>
        <v>0</v>
      </c>
      <c r="M52" s="500"/>
    </row>
    <row r="53" spans="1:13" ht="15" hidden="1" customHeight="1" x14ac:dyDescent="0.25">
      <c r="A53" s="486" t="s">
        <v>1932</v>
      </c>
      <c r="B53" s="502">
        <v>4816</v>
      </c>
      <c r="C53" s="503" t="s">
        <v>1929</v>
      </c>
      <c r="D53" s="503" t="s">
        <v>1833</v>
      </c>
      <c r="E53" s="504" t="s">
        <v>1716</v>
      </c>
      <c r="F53" s="504" t="s">
        <v>1718</v>
      </c>
      <c r="G53" s="505">
        <v>6000000</v>
      </c>
      <c r="H53" s="505">
        <v>6000000</v>
      </c>
      <c r="I53" s="505">
        <f t="shared" si="0"/>
        <v>0</v>
      </c>
      <c r="J53" s="503" t="s">
        <v>1933</v>
      </c>
      <c r="K53" s="506" t="s">
        <v>1934</v>
      </c>
      <c r="L53" s="499">
        <f>+IFERROR(VLOOKUP($A53,[1]Hoja4!$A$1:$B$182,2,0),0)</f>
        <v>6000000</v>
      </c>
      <c r="M53" s="500"/>
    </row>
    <row r="54" spans="1:13" ht="15" hidden="1" customHeight="1" x14ac:dyDescent="0.25">
      <c r="A54" s="486" t="s">
        <v>1935</v>
      </c>
      <c r="B54" s="502">
        <v>4916</v>
      </c>
      <c r="C54" s="503" t="s">
        <v>1929</v>
      </c>
      <c r="D54" s="503" t="s">
        <v>1833</v>
      </c>
      <c r="E54" s="504" t="s">
        <v>1716</v>
      </c>
      <c r="F54" s="504" t="s">
        <v>1718</v>
      </c>
      <c r="G54" s="505">
        <v>6000000</v>
      </c>
      <c r="H54" s="505">
        <v>6000000</v>
      </c>
      <c r="I54" s="505">
        <f t="shared" si="0"/>
        <v>0</v>
      </c>
      <c r="J54" s="503" t="s">
        <v>1936</v>
      </c>
      <c r="K54" s="506" t="s">
        <v>1937</v>
      </c>
      <c r="L54" s="499">
        <f>+IFERROR(VLOOKUP($A54,[1]Hoja4!$A$1:$B$182,2,0),0)</f>
        <v>6000000</v>
      </c>
      <c r="M54" s="500"/>
    </row>
    <row r="55" spans="1:13" ht="15" hidden="1" customHeight="1" x14ac:dyDescent="0.25">
      <c r="A55" s="486" t="s">
        <v>1938</v>
      </c>
      <c r="B55" s="502">
        <v>5016</v>
      </c>
      <c r="C55" s="503" t="s">
        <v>1929</v>
      </c>
      <c r="D55" s="503" t="s">
        <v>1833</v>
      </c>
      <c r="E55" s="504" t="s">
        <v>1763</v>
      </c>
      <c r="F55" s="504" t="s">
        <v>439</v>
      </c>
      <c r="G55" s="505">
        <v>8000000</v>
      </c>
      <c r="H55" s="505">
        <v>8000000</v>
      </c>
      <c r="I55" s="505">
        <f t="shared" si="0"/>
        <v>0</v>
      </c>
      <c r="J55" s="503" t="s">
        <v>1939</v>
      </c>
      <c r="K55" s="506" t="s">
        <v>1940</v>
      </c>
      <c r="L55" s="499">
        <f>+IFERROR(VLOOKUP($A55,[1]Hoja4!$A$1:$B$182,2,0),0)</f>
        <v>8000000</v>
      </c>
      <c r="M55" s="500"/>
    </row>
    <row r="56" spans="1:13" ht="15" hidden="1" customHeight="1" x14ac:dyDescent="0.25">
      <c r="A56" s="486" t="s">
        <v>1941</v>
      </c>
      <c r="B56" s="502">
        <v>5116</v>
      </c>
      <c r="C56" s="503" t="s">
        <v>1929</v>
      </c>
      <c r="D56" s="503" t="s">
        <v>1833</v>
      </c>
      <c r="E56" s="504" t="s">
        <v>1716</v>
      </c>
      <c r="F56" s="504" t="s">
        <v>1718</v>
      </c>
      <c r="G56" s="505">
        <v>12400000</v>
      </c>
      <c r="H56" s="505">
        <v>12400000</v>
      </c>
      <c r="I56" s="505">
        <f t="shared" si="0"/>
        <v>0</v>
      </c>
      <c r="J56" s="503" t="s">
        <v>1942</v>
      </c>
      <c r="K56" s="506" t="s">
        <v>1943</v>
      </c>
      <c r="L56" s="499">
        <f>+IFERROR(VLOOKUP($A56,[1]Hoja4!$A$1:$B$182,2,0),0)</f>
        <v>12400000</v>
      </c>
      <c r="M56" s="500"/>
    </row>
    <row r="57" spans="1:13" ht="15" hidden="1" customHeight="1" x14ac:dyDescent="0.25">
      <c r="A57" s="486" t="s">
        <v>1944</v>
      </c>
      <c r="B57" s="502">
        <v>5216</v>
      </c>
      <c r="C57" s="503" t="s">
        <v>1929</v>
      </c>
      <c r="D57" s="503" t="s">
        <v>1833</v>
      </c>
      <c r="E57" s="504" t="s">
        <v>1716</v>
      </c>
      <c r="F57" s="504" t="s">
        <v>1718</v>
      </c>
      <c r="G57" s="505">
        <v>3400000</v>
      </c>
      <c r="H57" s="505">
        <v>3400000</v>
      </c>
      <c r="I57" s="505">
        <f t="shared" si="0"/>
        <v>0</v>
      </c>
      <c r="J57" s="503" t="s">
        <v>1945</v>
      </c>
      <c r="K57" s="506" t="s">
        <v>1946</v>
      </c>
      <c r="L57" s="499">
        <f>+IFERROR(VLOOKUP($A57,[1]Hoja4!$A$1:$B$182,2,0),0)</f>
        <v>3400000</v>
      </c>
      <c r="M57" s="500"/>
    </row>
    <row r="58" spans="1:13" ht="15" hidden="1" customHeight="1" x14ac:dyDescent="0.25">
      <c r="A58" s="486" t="s">
        <v>1947</v>
      </c>
      <c r="B58" s="502">
        <v>5316</v>
      </c>
      <c r="C58" s="503" t="s">
        <v>1929</v>
      </c>
      <c r="D58" s="503" t="s">
        <v>1833</v>
      </c>
      <c r="E58" s="504" t="s">
        <v>1716</v>
      </c>
      <c r="F58" s="504" t="s">
        <v>1718</v>
      </c>
      <c r="G58" s="505">
        <v>14000000</v>
      </c>
      <c r="H58" s="505">
        <v>14000000</v>
      </c>
      <c r="I58" s="505">
        <f t="shared" si="0"/>
        <v>0</v>
      </c>
      <c r="J58" s="503" t="s">
        <v>1948</v>
      </c>
      <c r="K58" s="506" t="s">
        <v>1949</v>
      </c>
      <c r="L58" s="499">
        <f>+IFERROR(VLOOKUP($A58,[1]Hoja4!$A$1:$B$182,2,0),0)</f>
        <v>14000000</v>
      </c>
      <c r="M58" s="500"/>
    </row>
    <row r="59" spans="1:13" ht="15" hidden="1" customHeight="1" x14ac:dyDescent="0.25">
      <c r="A59" s="486" t="s">
        <v>1950</v>
      </c>
      <c r="B59" s="502">
        <v>5416</v>
      </c>
      <c r="C59" s="503" t="s">
        <v>1951</v>
      </c>
      <c r="D59" s="503" t="s">
        <v>1952</v>
      </c>
      <c r="E59" s="504" t="s">
        <v>1599</v>
      </c>
      <c r="F59" s="504" t="s">
        <v>428</v>
      </c>
      <c r="G59" s="505">
        <v>11552200</v>
      </c>
      <c r="H59" s="505">
        <v>11552200</v>
      </c>
      <c r="I59" s="505">
        <f t="shared" si="0"/>
        <v>0</v>
      </c>
      <c r="J59" s="503" t="s">
        <v>1953</v>
      </c>
      <c r="K59" s="506" t="s">
        <v>1954</v>
      </c>
      <c r="L59" s="499">
        <f>+IFERROR(VLOOKUP($A59,[1]Hoja4!$A$1:$B$182,2,0),0)</f>
        <v>11552200</v>
      </c>
      <c r="M59" s="500"/>
    </row>
    <row r="60" spans="1:13" ht="15" hidden="1" customHeight="1" x14ac:dyDescent="0.25">
      <c r="A60" s="486" t="s">
        <v>1955</v>
      </c>
      <c r="B60" s="502">
        <v>5516</v>
      </c>
      <c r="C60" s="503" t="s">
        <v>1951</v>
      </c>
      <c r="D60" s="503" t="s">
        <v>1833</v>
      </c>
      <c r="E60" s="504" t="s">
        <v>1742</v>
      </c>
      <c r="F60" s="504" t="s">
        <v>1560</v>
      </c>
      <c r="G60" s="505">
        <v>671710735</v>
      </c>
      <c r="H60" s="505">
        <v>227514064</v>
      </c>
      <c r="I60" s="505">
        <f t="shared" si="0"/>
        <v>444196671</v>
      </c>
      <c r="J60" s="503" t="s">
        <v>1956</v>
      </c>
      <c r="K60" s="506" t="s">
        <v>1831</v>
      </c>
      <c r="L60" s="499">
        <f>+IFERROR(VLOOKUP($A60,[1]Hoja4!$A$1:$B$182,2,0),0)</f>
        <v>84850844</v>
      </c>
      <c r="M60" s="500"/>
    </row>
    <row r="61" spans="1:13" ht="15" hidden="1" customHeight="1" x14ac:dyDescent="0.25">
      <c r="A61" s="486" t="s">
        <v>1957</v>
      </c>
      <c r="B61" s="502">
        <v>5516</v>
      </c>
      <c r="C61" s="503" t="s">
        <v>1951</v>
      </c>
      <c r="D61" s="503" t="s">
        <v>1833</v>
      </c>
      <c r="E61" s="504" t="s">
        <v>1739</v>
      </c>
      <c r="F61" s="504" t="s">
        <v>1562</v>
      </c>
      <c r="G61" s="505">
        <v>25000000</v>
      </c>
      <c r="H61" s="505">
        <v>23711931</v>
      </c>
      <c r="I61" s="505">
        <f t="shared" si="0"/>
        <v>1288069</v>
      </c>
      <c r="J61" s="503" t="s">
        <v>1956</v>
      </c>
      <c r="K61" s="506" t="s">
        <v>1831</v>
      </c>
      <c r="L61" s="499">
        <f>+IFERROR(VLOOKUP($A61,[1]Hoja4!$A$1:$B$182,2,0),0)</f>
        <v>6460963</v>
      </c>
      <c r="M61" s="500"/>
    </row>
    <row r="62" spans="1:13" ht="15" hidden="1" customHeight="1" x14ac:dyDescent="0.25">
      <c r="A62" s="486" t="s">
        <v>1958</v>
      </c>
      <c r="B62" s="502">
        <v>5516</v>
      </c>
      <c r="C62" s="503" t="s">
        <v>1951</v>
      </c>
      <c r="D62" s="503" t="s">
        <v>1833</v>
      </c>
      <c r="E62" s="504" t="s">
        <v>1758</v>
      </c>
      <c r="F62" s="504" t="s">
        <v>1701</v>
      </c>
      <c r="G62" s="505">
        <v>3200000</v>
      </c>
      <c r="H62" s="505">
        <v>712304</v>
      </c>
      <c r="I62" s="505">
        <f t="shared" si="0"/>
        <v>2487696</v>
      </c>
      <c r="J62" s="503" t="s">
        <v>1956</v>
      </c>
      <c r="K62" s="506" t="s">
        <v>1831</v>
      </c>
      <c r="L62" s="499">
        <f>+IFERROR(VLOOKUP($A62,[1]Hoja4!$A$1:$B$182,2,0),0)</f>
        <v>712304</v>
      </c>
      <c r="M62" s="500"/>
    </row>
    <row r="63" spans="1:13" ht="15" hidden="1" customHeight="1" x14ac:dyDescent="0.25">
      <c r="A63" s="486" t="s">
        <v>1959</v>
      </c>
      <c r="B63" s="502">
        <v>5516</v>
      </c>
      <c r="C63" s="503" t="s">
        <v>1951</v>
      </c>
      <c r="D63" s="503" t="s">
        <v>1833</v>
      </c>
      <c r="E63" s="504" t="s">
        <v>1745</v>
      </c>
      <c r="F63" s="504" t="s">
        <v>1572</v>
      </c>
      <c r="G63" s="505">
        <v>31134624</v>
      </c>
      <c r="H63" s="505">
        <v>10155578</v>
      </c>
      <c r="I63" s="505">
        <f t="shared" si="0"/>
        <v>20979046</v>
      </c>
      <c r="J63" s="503" t="s">
        <v>1956</v>
      </c>
      <c r="K63" s="506" t="s">
        <v>1831</v>
      </c>
      <c r="L63" s="499">
        <f>+IFERROR(VLOOKUP($A63,[1]Hoja4!$A$1:$B$182,2,0),0)</f>
        <v>6785197</v>
      </c>
      <c r="M63" s="500"/>
    </row>
    <row r="64" spans="1:13" ht="15" hidden="1" customHeight="1" x14ac:dyDescent="0.25">
      <c r="A64" s="486" t="s">
        <v>1960</v>
      </c>
      <c r="B64" s="502">
        <v>5516</v>
      </c>
      <c r="C64" s="503" t="s">
        <v>1951</v>
      </c>
      <c r="D64" s="503" t="s">
        <v>1833</v>
      </c>
      <c r="E64" s="504" t="s">
        <v>1743</v>
      </c>
      <c r="F64" s="504" t="s">
        <v>1574</v>
      </c>
      <c r="G64" s="505">
        <v>5732117</v>
      </c>
      <c r="H64" s="505">
        <v>2165480</v>
      </c>
      <c r="I64" s="505">
        <f t="shared" si="0"/>
        <v>3566637</v>
      </c>
      <c r="J64" s="503" t="s">
        <v>1956</v>
      </c>
      <c r="K64" s="506" t="s">
        <v>1831</v>
      </c>
      <c r="L64" s="499">
        <f>+IFERROR(VLOOKUP($A64,[1]Hoja4!$A$1:$B$182,2,0),0)</f>
        <v>570448</v>
      </c>
      <c r="M64" s="500"/>
    </row>
    <row r="65" spans="1:13" ht="15" hidden="1" customHeight="1" x14ac:dyDescent="0.25">
      <c r="A65" s="486" t="s">
        <v>1961</v>
      </c>
      <c r="B65" s="502">
        <v>5516</v>
      </c>
      <c r="C65" s="503" t="s">
        <v>1951</v>
      </c>
      <c r="D65" s="503" t="s">
        <v>1833</v>
      </c>
      <c r="E65" s="504" t="s">
        <v>1741</v>
      </c>
      <c r="F65" s="504" t="s">
        <v>1580</v>
      </c>
      <c r="G65" s="505">
        <v>40566460</v>
      </c>
      <c r="H65" s="505">
        <v>1554177</v>
      </c>
      <c r="I65" s="505">
        <f t="shared" si="0"/>
        <v>39012283</v>
      </c>
      <c r="J65" s="503" t="s">
        <v>1962</v>
      </c>
      <c r="K65" s="506" t="s">
        <v>1963</v>
      </c>
      <c r="L65" s="499">
        <f>+IFERROR(VLOOKUP($A65,[1]Hoja4!$A$1:$B$182,2,0),0)</f>
        <v>0</v>
      </c>
      <c r="M65" s="500"/>
    </row>
    <row r="66" spans="1:13" ht="15" hidden="1" customHeight="1" x14ac:dyDescent="0.25">
      <c r="A66" s="486" t="s">
        <v>1964</v>
      </c>
      <c r="B66" s="502">
        <v>5516</v>
      </c>
      <c r="C66" s="503" t="s">
        <v>1951</v>
      </c>
      <c r="D66" s="503" t="s">
        <v>1833</v>
      </c>
      <c r="E66" s="504" t="s">
        <v>1759</v>
      </c>
      <c r="F66" s="504" t="s">
        <v>1582</v>
      </c>
      <c r="G66" s="505">
        <v>47422274</v>
      </c>
      <c r="H66" s="505">
        <v>17148613</v>
      </c>
      <c r="I66" s="505">
        <f t="shared" si="0"/>
        <v>30273661</v>
      </c>
      <c r="J66" s="503" t="s">
        <v>1956</v>
      </c>
      <c r="K66" s="506" t="s">
        <v>1831</v>
      </c>
      <c r="L66" s="499">
        <f>+IFERROR(VLOOKUP($A66,[1]Hoja4!$A$1:$B$182,2,0),0)</f>
        <v>4569655</v>
      </c>
      <c r="M66" s="500"/>
    </row>
    <row r="67" spans="1:13" ht="15" hidden="1" customHeight="1" x14ac:dyDescent="0.25">
      <c r="A67" s="486" t="s">
        <v>1965</v>
      </c>
      <c r="B67" s="502">
        <v>5516</v>
      </c>
      <c r="C67" s="503" t="s">
        <v>1951</v>
      </c>
      <c r="D67" s="503" t="s">
        <v>1833</v>
      </c>
      <c r="E67" s="504" t="s">
        <v>1754</v>
      </c>
      <c r="F67" s="504" t="s">
        <v>1585</v>
      </c>
      <c r="G67" s="505">
        <v>69938878</v>
      </c>
      <c r="H67" s="505">
        <v>1116332</v>
      </c>
      <c r="I67" s="505">
        <f t="shared" ref="I67:I130" si="1">+G67-H67</f>
        <v>68822546</v>
      </c>
      <c r="J67" s="503" t="s">
        <v>1962</v>
      </c>
      <c r="K67" s="506" t="s">
        <v>1963</v>
      </c>
      <c r="L67" s="499">
        <f>+IFERROR(VLOOKUP($A67,[1]Hoja4!$A$1:$B$182,2,0),0)</f>
        <v>0</v>
      </c>
      <c r="M67" s="500"/>
    </row>
    <row r="68" spans="1:13" ht="15" hidden="1" customHeight="1" x14ac:dyDescent="0.25">
      <c r="A68" s="486" t="s">
        <v>1966</v>
      </c>
      <c r="B68" s="502">
        <v>5516</v>
      </c>
      <c r="C68" s="503" t="s">
        <v>1951</v>
      </c>
      <c r="D68" s="503" t="s">
        <v>1833</v>
      </c>
      <c r="E68" s="504" t="s">
        <v>1751</v>
      </c>
      <c r="F68" s="504" t="s">
        <v>1591</v>
      </c>
      <c r="G68" s="505">
        <v>24983819</v>
      </c>
      <c r="H68" s="505">
        <v>10399628</v>
      </c>
      <c r="I68" s="505">
        <f t="shared" si="1"/>
        <v>14584191</v>
      </c>
      <c r="J68" s="503" t="s">
        <v>1956</v>
      </c>
      <c r="K68" s="506" t="s">
        <v>1831</v>
      </c>
      <c r="L68" s="499">
        <f>+IFERROR(VLOOKUP($A68,[1]Hoja4!$A$1:$B$182,2,0),0)</f>
        <v>3988898</v>
      </c>
      <c r="M68" s="500"/>
    </row>
    <row r="69" spans="1:13" ht="15" hidden="1" customHeight="1" x14ac:dyDescent="0.25">
      <c r="A69" s="486" t="s">
        <v>1967</v>
      </c>
      <c r="B69" s="502">
        <v>5516</v>
      </c>
      <c r="C69" s="503" t="s">
        <v>1951</v>
      </c>
      <c r="D69" s="503" t="s">
        <v>1833</v>
      </c>
      <c r="E69" s="504" t="s">
        <v>1749</v>
      </c>
      <c r="F69" s="504" t="s">
        <v>1598</v>
      </c>
      <c r="G69" s="505">
        <v>33000000</v>
      </c>
      <c r="H69" s="505">
        <v>147797</v>
      </c>
      <c r="I69" s="505">
        <f t="shared" si="1"/>
        <v>32852203</v>
      </c>
      <c r="J69" s="503" t="s">
        <v>1962</v>
      </c>
      <c r="K69" s="506" t="s">
        <v>1963</v>
      </c>
      <c r="L69" s="499">
        <f>+IFERROR(VLOOKUP($A69,[1]Hoja4!$A$1:$B$182,2,0),0)</f>
        <v>0</v>
      </c>
      <c r="M69" s="500"/>
    </row>
    <row r="70" spans="1:13" ht="15" hidden="1" customHeight="1" x14ac:dyDescent="0.25">
      <c r="A70" s="486" t="s">
        <v>1968</v>
      </c>
      <c r="B70" s="502">
        <v>5516</v>
      </c>
      <c r="C70" s="503" t="s">
        <v>1951</v>
      </c>
      <c r="D70" s="503" t="s">
        <v>1833</v>
      </c>
      <c r="E70" s="504" t="s">
        <v>1750</v>
      </c>
      <c r="F70" s="504" t="s">
        <v>1603</v>
      </c>
      <c r="G70" s="505">
        <v>33570661</v>
      </c>
      <c r="H70" s="505">
        <v>11209400</v>
      </c>
      <c r="I70" s="505">
        <f t="shared" si="1"/>
        <v>22361261</v>
      </c>
      <c r="J70" s="503" t="s">
        <v>1969</v>
      </c>
      <c r="K70" s="506" t="s">
        <v>1831</v>
      </c>
      <c r="L70" s="499">
        <f>+IFERROR(VLOOKUP($A70,[1]Hoja4!$A$1:$B$182,2,0),0)</f>
        <v>3959300</v>
      </c>
      <c r="M70" s="500"/>
    </row>
    <row r="71" spans="1:13" ht="15" hidden="1" customHeight="1" x14ac:dyDescent="0.25">
      <c r="A71" s="486" t="s">
        <v>1970</v>
      </c>
      <c r="B71" s="502">
        <v>5516</v>
      </c>
      <c r="C71" s="503" t="s">
        <v>1951</v>
      </c>
      <c r="D71" s="503" t="s">
        <v>1833</v>
      </c>
      <c r="E71" s="504" t="s">
        <v>1744</v>
      </c>
      <c r="F71" s="504" t="s">
        <v>1605</v>
      </c>
      <c r="G71" s="505">
        <v>81153337</v>
      </c>
      <c r="H71" s="505">
        <v>25973800</v>
      </c>
      <c r="I71" s="505">
        <f t="shared" si="1"/>
        <v>55179537</v>
      </c>
      <c r="J71" s="503" t="s">
        <v>1969</v>
      </c>
      <c r="K71" s="506" t="s">
        <v>1831</v>
      </c>
      <c r="L71" s="499">
        <f>+IFERROR(VLOOKUP($A71,[1]Hoja4!$A$1:$B$182,2,0),0)</f>
        <v>10625000</v>
      </c>
      <c r="M71" s="500"/>
    </row>
    <row r="72" spans="1:13" ht="15" hidden="1" customHeight="1" x14ac:dyDescent="0.25">
      <c r="A72" s="486" t="s">
        <v>1971</v>
      </c>
      <c r="B72" s="502">
        <v>5516</v>
      </c>
      <c r="C72" s="503" t="s">
        <v>1951</v>
      </c>
      <c r="D72" s="503" t="s">
        <v>1833</v>
      </c>
      <c r="E72" s="504" t="s">
        <v>1760</v>
      </c>
      <c r="F72" s="504" t="s">
        <v>1607</v>
      </c>
      <c r="G72" s="505">
        <v>63858613</v>
      </c>
      <c r="H72" s="505">
        <v>20637000</v>
      </c>
      <c r="I72" s="505">
        <f t="shared" si="1"/>
        <v>43221613</v>
      </c>
      <c r="J72" s="503" t="s">
        <v>1969</v>
      </c>
      <c r="K72" s="506" t="s">
        <v>1831</v>
      </c>
      <c r="L72" s="499">
        <f>+IFERROR(VLOOKUP($A72,[1]Hoja4!$A$1:$B$182,2,0),0)</f>
        <v>8505700</v>
      </c>
      <c r="M72" s="500"/>
    </row>
    <row r="73" spans="1:13" ht="15" hidden="1" customHeight="1" x14ac:dyDescent="0.25">
      <c r="A73" s="486" t="s">
        <v>1972</v>
      </c>
      <c r="B73" s="502">
        <v>5516</v>
      </c>
      <c r="C73" s="503" t="s">
        <v>1951</v>
      </c>
      <c r="D73" s="503" t="s">
        <v>1833</v>
      </c>
      <c r="E73" s="504" t="s">
        <v>1756</v>
      </c>
      <c r="F73" s="504" t="s">
        <v>1609</v>
      </c>
      <c r="G73" s="505">
        <v>75767118</v>
      </c>
      <c r="H73" s="505">
        <v>22046623</v>
      </c>
      <c r="I73" s="505">
        <f t="shared" si="1"/>
        <v>53720495</v>
      </c>
      <c r="J73" s="503" t="s">
        <v>1969</v>
      </c>
      <c r="K73" s="506" t="s">
        <v>1831</v>
      </c>
      <c r="L73" s="499">
        <f>+IFERROR(VLOOKUP($A73,[1]Hoja4!$A$1:$B$182,2,0),0)</f>
        <v>8579996</v>
      </c>
      <c r="M73" s="500"/>
    </row>
    <row r="74" spans="1:13" ht="15" hidden="1" customHeight="1" x14ac:dyDescent="0.25">
      <c r="A74" s="486" t="s">
        <v>1973</v>
      </c>
      <c r="B74" s="502">
        <v>5516</v>
      </c>
      <c r="C74" s="503" t="s">
        <v>1951</v>
      </c>
      <c r="D74" s="503" t="s">
        <v>1833</v>
      </c>
      <c r="E74" s="504" t="s">
        <v>1757</v>
      </c>
      <c r="F74" s="504" t="s">
        <v>1611</v>
      </c>
      <c r="G74" s="505">
        <v>9000000</v>
      </c>
      <c r="H74" s="505">
        <v>3262600</v>
      </c>
      <c r="I74" s="505">
        <f t="shared" si="1"/>
        <v>5737400</v>
      </c>
      <c r="J74" s="503" t="s">
        <v>1969</v>
      </c>
      <c r="K74" s="506" t="s">
        <v>1831</v>
      </c>
      <c r="L74" s="499">
        <f>+IFERROR(VLOOKUP($A74,[1]Hoja4!$A$1:$B$182,2,0),0)</f>
        <v>1329400</v>
      </c>
      <c r="M74" s="500"/>
    </row>
    <row r="75" spans="1:13" ht="15" hidden="1" customHeight="1" x14ac:dyDescent="0.25">
      <c r="A75" s="486" t="s">
        <v>1974</v>
      </c>
      <c r="B75" s="502">
        <v>5516</v>
      </c>
      <c r="C75" s="503" t="s">
        <v>1951</v>
      </c>
      <c r="D75" s="503" t="s">
        <v>1833</v>
      </c>
      <c r="E75" s="504" t="s">
        <v>1748</v>
      </c>
      <c r="F75" s="504" t="s">
        <v>1615</v>
      </c>
      <c r="G75" s="505">
        <v>3921670</v>
      </c>
      <c r="H75" s="505">
        <v>1241100</v>
      </c>
      <c r="I75" s="505">
        <f t="shared" si="1"/>
        <v>2680570</v>
      </c>
      <c r="J75" s="503" t="s">
        <v>1969</v>
      </c>
      <c r="K75" s="506" t="s">
        <v>1831</v>
      </c>
      <c r="L75" s="499">
        <f>+IFERROR(VLOOKUP($A75,[1]Hoja4!$A$1:$B$182,2,0),0)</f>
        <v>462400</v>
      </c>
      <c r="M75" s="500"/>
    </row>
    <row r="76" spans="1:13" ht="15" hidden="1" customHeight="1" x14ac:dyDescent="0.25">
      <c r="A76" s="486" t="s">
        <v>1975</v>
      </c>
      <c r="B76" s="502">
        <v>5516</v>
      </c>
      <c r="C76" s="503" t="s">
        <v>1951</v>
      </c>
      <c r="D76" s="503" t="s">
        <v>1833</v>
      </c>
      <c r="E76" s="504" t="s">
        <v>1753</v>
      </c>
      <c r="F76" s="504" t="s">
        <v>1617</v>
      </c>
      <c r="G76" s="505">
        <v>25177996</v>
      </c>
      <c r="H76" s="505">
        <v>8407500</v>
      </c>
      <c r="I76" s="505">
        <f t="shared" si="1"/>
        <v>16770496</v>
      </c>
      <c r="J76" s="503" t="s">
        <v>1969</v>
      </c>
      <c r="K76" s="506" t="s">
        <v>1831</v>
      </c>
      <c r="L76" s="499">
        <f>+IFERROR(VLOOKUP($A76,[1]Hoja4!$A$1:$B$182,2,0),0)</f>
        <v>2969500</v>
      </c>
      <c r="M76" s="500"/>
    </row>
    <row r="77" spans="1:13" ht="15" hidden="1" customHeight="1" x14ac:dyDescent="0.25">
      <c r="A77" s="486" t="s">
        <v>1976</v>
      </c>
      <c r="B77" s="502">
        <v>5516</v>
      </c>
      <c r="C77" s="503" t="s">
        <v>1951</v>
      </c>
      <c r="D77" s="503" t="s">
        <v>1833</v>
      </c>
      <c r="E77" s="504" t="s">
        <v>1755</v>
      </c>
      <c r="F77" s="504" t="s">
        <v>1619</v>
      </c>
      <c r="G77" s="505">
        <v>4196333</v>
      </c>
      <c r="H77" s="505">
        <v>1400700</v>
      </c>
      <c r="I77" s="505">
        <f t="shared" si="1"/>
        <v>2795633</v>
      </c>
      <c r="J77" s="503" t="s">
        <v>1969</v>
      </c>
      <c r="K77" s="506" t="s">
        <v>1831</v>
      </c>
      <c r="L77" s="499">
        <f>+IFERROR(VLOOKUP($A77,[1]Hoja4!$A$1:$B$182,2,0),0)</f>
        <v>494600</v>
      </c>
      <c r="M77" s="500"/>
    </row>
    <row r="78" spans="1:13" ht="15" hidden="1" customHeight="1" x14ac:dyDescent="0.25">
      <c r="A78" s="486" t="s">
        <v>1977</v>
      </c>
      <c r="B78" s="502">
        <v>5516</v>
      </c>
      <c r="C78" s="503" t="s">
        <v>1951</v>
      </c>
      <c r="D78" s="503" t="s">
        <v>1833</v>
      </c>
      <c r="E78" s="504" t="s">
        <v>1747</v>
      </c>
      <c r="F78" s="504" t="s">
        <v>1621</v>
      </c>
      <c r="G78" s="505">
        <v>4196333</v>
      </c>
      <c r="H78" s="505">
        <v>1400700</v>
      </c>
      <c r="I78" s="505">
        <f t="shared" si="1"/>
        <v>2795633</v>
      </c>
      <c r="J78" s="503" t="s">
        <v>1969</v>
      </c>
      <c r="K78" s="506" t="s">
        <v>1831</v>
      </c>
      <c r="L78" s="499">
        <f>+IFERROR(VLOOKUP($A78,[1]Hoja4!$A$1:$B$182,2,0),0)</f>
        <v>494600</v>
      </c>
      <c r="M78" s="500"/>
    </row>
    <row r="79" spans="1:13" ht="15" hidden="1" customHeight="1" x14ac:dyDescent="0.25">
      <c r="A79" s="486" t="s">
        <v>1978</v>
      </c>
      <c r="B79" s="502">
        <v>5516</v>
      </c>
      <c r="C79" s="503" t="s">
        <v>1951</v>
      </c>
      <c r="D79" s="503" t="s">
        <v>1833</v>
      </c>
      <c r="E79" s="504" t="s">
        <v>1740</v>
      </c>
      <c r="F79" s="504" t="s">
        <v>1623</v>
      </c>
      <c r="G79" s="505">
        <v>8392665</v>
      </c>
      <c r="H79" s="505">
        <v>2801900</v>
      </c>
      <c r="I79" s="505">
        <f t="shared" si="1"/>
        <v>5590765</v>
      </c>
      <c r="J79" s="503" t="s">
        <v>1969</v>
      </c>
      <c r="K79" s="506" t="s">
        <v>1831</v>
      </c>
      <c r="L79" s="499">
        <f>+IFERROR(VLOOKUP($A79,[1]Hoja4!$A$1:$B$182,2,0),0)</f>
        <v>989900</v>
      </c>
      <c r="M79" s="500"/>
    </row>
    <row r="80" spans="1:13" ht="15" hidden="1" customHeight="1" x14ac:dyDescent="0.25">
      <c r="A80" s="486" t="s">
        <v>1979</v>
      </c>
      <c r="B80" s="502">
        <v>5616</v>
      </c>
      <c r="C80" s="503" t="s">
        <v>1951</v>
      </c>
      <c r="D80" s="503" t="s">
        <v>1833</v>
      </c>
      <c r="E80" s="504" t="s">
        <v>1697</v>
      </c>
      <c r="F80" s="504" t="s">
        <v>1560</v>
      </c>
      <c r="G80" s="505">
        <v>1339578568</v>
      </c>
      <c r="H80" s="505">
        <v>504767518</v>
      </c>
      <c r="I80" s="505">
        <f t="shared" si="1"/>
        <v>834811050</v>
      </c>
      <c r="J80" s="503" t="s">
        <v>1980</v>
      </c>
      <c r="K80" s="506" t="s">
        <v>1831</v>
      </c>
      <c r="L80" s="499">
        <f>+IFERROR(VLOOKUP($A80,[1]Hoja4!$A$1:$B$182,2,0),0)</f>
        <v>206397231</v>
      </c>
      <c r="M80" s="500"/>
    </row>
    <row r="81" spans="1:13" ht="15" hidden="1" customHeight="1" x14ac:dyDescent="0.25">
      <c r="A81" s="486" t="s">
        <v>1981</v>
      </c>
      <c r="B81" s="502">
        <v>5616</v>
      </c>
      <c r="C81" s="503" t="s">
        <v>1951</v>
      </c>
      <c r="D81" s="503" t="s">
        <v>1833</v>
      </c>
      <c r="E81" s="504" t="s">
        <v>1704</v>
      </c>
      <c r="F81" s="504" t="s">
        <v>1562</v>
      </c>
      <c r="G81" s="505">
        <v>80000000</v>
      </c>
      <c r="H81" s="505">
        <v>29958462</v>
      </c>
      <c r="I81" s="505">
        <f t="shared" si="1"/>
        <v>50041538</v>
      </c>
      <c r="J81" s="503" t="s">
        <v>1982</v>
      </c>
      <c r="K81" s="506" t="s">
        <v>1983</v>
      </c>
      <c r="L81" s="499">
        <f>+IFERROR(VLOOKUP($A81,[1]Hoja4!$A$1:$B$182,2,0),0)</f>
        <v>7302302</v>
      </c>
      <c r="M81" s="500"/>
    </row>
    <row r="82" spans="1:13" ht="15" hidden="1" customHeight="1" x14ac:dyDescent="0.25">
      <c r="A82" s="486" t="s">
        <v>1984</v>
      </c>
      <c r="B82" s="502">
        <v>5616</v>
      </c>
      <c r="C82" s="503" t="s">
        <v>1951</v>
      </c>
      <c r="D82" s="503" t="s">
        <v>1833</v>
      </c>
      <c r="E82" s="504" t="s">
        <v>1699</v>
      </c>
      <c r="F82" s="504" t="s">
        <v>1701</v>
      </c>
      <c r="G82" s="505">
        <v>23500000</v>
      </c>
      <c r="H82" s="505">
        <v>8191480</v>
      </c>
      <c r="I82" s="505">
        <f t="shared" si="1"/>
        <v>15308520</v>
      </c>
      <c r="J82" s="503" t="s">
        <v>1980</v>
      </c>
      <c r="K82" s="506" t="s">
        <v>1831</v>
      </c>
      <c r="L82" s="499">
        <f>+IFERROR(VLOOKUP($A82,[1]Hoja4!$A$1:$B$182,2,0),0)</f>
        <v>3398129</v>
      </c>
      <c r="M82" s="500"/>
    </row>
    <row r="83" spans="1:13" ht="15" hidden="1" customHeight="1" x14ac:dyDescent="0.25">
      <c r="A83" s="486" t="s">
        <v>1985</v>
      </c>
      <c r="B83" s="502">
        <v>5616</v>
      </c>
      <c r="C83" s="503" t="s">
        <v>1951</v>
      </c>
      <c r="D83" s="503" t="s">
        <v>1833</v>
      </c>
      <c r="E83" s="504" t="s">
        <v>1729</v>
      </c>
      <c r="F83" s="504" t="s">
        <v>1572</v>
      </c>
      <c r="G83" s="505">
        <v>78310705</v>
      </c>
      <c r="H83" s="505">
        <v>28606152</v>
      </c>
      <c r="I83" s="505">
        <f t="shared" si="1"/>
        <v>49704553</v>
      </c>
      <c r="J83" s="503" t="s">
        <v>1980</v>
      </c>
      <c r="K83" s="506" t="s">
        <v>1831</v>
      </c>
      <c r="L83" s="499">
        <f>+IFERROR(VLOOKUP($A83,[1]Hoja4!$A$1:$B$182,2,0),0)</f>
        <v>25685259</v>
      </c>
      <c r="M83" s="500"/>
    </row>
    <row r="84" spans="1:13" ht="15" hidden="1" customHeight="1" x14ac:dyDescent="0.25">
      <c r="A84" s="486" t="s">
        <v>1986</v>
      </c>
      <c r="B84" s="502">
        <v>5616</v>
      </c>
      <c r="C84" s="503" t="s">
        <v>1951</v>
      </c>
      <c r="D84" s="503" t="s">
        <v>1833</v>
      </c>
      <c r="E84" s="504" t="s">
        <v>1735</v>
      </c>
      <c r="F84" s="504" t="s">
        <v>1574</v>
      </c>
      <c r="G84" s="505">
        <v>13795858</v>
      </c>
      <c r="H84" s="505">
        <v>2904214</v>
      </c>
      <c r="I84" s="505">
        <f t="shared" si="1"/>
        <v>10891644</v>
      </c>
      <c r="J84" s="503" t="s">
        <v>1987</v>
      </c>
      <c r="K84" s="506" t="s">
        <v>1988</v>
      </c>
      <c r="L84" s="499">
        <f>+IFERROR(VLOOKUP($A84,[1]Hoja4!$A$1:$B$182,2,0),0)</f>
        <v>685017</v>
      </c>
      <c r="M84" s="500"/>
    </row>
    <row r="85" spans="1:13" ht="15" hidden="1" customHeight="1" x14ac:dyDescent="0.25">
      <c r="A85" s="486" t="s">
        <v>1989</v>
      </c>
      <c r="B85" s="502">
        <v>5616</v>
      </c>
      <c r="C85" s="503" t="s">
        <v>1951</v>
      </c>
      <c r="D85" s="503" t="s">
        <v>1833</v>
      </c>
      <c r="E85" s="504" t="s">
        <v>1721</v>
      </c>
      <c r="F85" s="504" t="s">
        <v>1580</v>
      </c>
      <c r="G85" s="505">
        <v>94788818</v>
      </c>
      <c r="H85" s="505">
        <v>2286117</v>
      </c>
      <c r="I85" s="505">
        <f t="shared" si="1"/>
        <v>92502701</v>
      </c>
      <c r="J85" s="503" t="s">
        <v>1987</v>
      </c>
      <c r="K85" s="506" t="s">
        <v>1988</v>
      </c>
      <c r="L85" s="499">
        <f>+IFERROR(VLOOKUP($A85,[1]Hoja4!$A$1:$B$182,2,0),0)</f>
        <v>783162</v>
      </c>
      <c r="M85" s="500"/>
    </row>
    <row r="86" spans="1:13" ht="15" hidden="1" customHeight="1" x14ac:dyDescent="0.25">
      <c r="A86" s="486" t="s">
        <v>1990</v>
      </c>
      <c r="B86" s="502">
        <v>5616</v>
      </c>
      <c r="C86" s="503" t="s">
        <v>1951</v>
      </c>
      <c r="D86" s="503" t="s">
        <v>1833</v>
      </c>
      <c r="E86" s="504" t="s">
        <v>1723</v>
      </c>
      <c r="F86" s="504" t="s">
        <v>1582</v>
      </c>
      <c r="G86" s="505">
        <v>116035632</v>
      </c>
      <c r="H86" s="505">
        <v>23198255</v>
      </c>
      <c r="I86" s="505">
        <f t="shared" si="1"/>
        <v>92837377</v>
      </c>
      <c r="J86" s="503" t="s">
        <v>1987</v>
      </c>
      <c r="K86" s="506" t="s">
        <v>1988</v>
      </c>
      <c r="L86" s="499">
        <f>+IFERROR(VLOOKUP($A86,[1]Hoja4!$A$1:$B$182,2,0),0)</f>
        <v>5460071</v>
      </c>
      <c r="M86" s="500"/>
    </row>
    <row r="87" spans="1:13" ht="15" hidden="1" customHeight="1" x14ac:dyDescent="0.25">
      <c r="A87" s="486" t="s">
        <v>1991</v>
      </c>
      <c r="B87" s="502">
        <v>5616</v>
      </c>
      <c r="C87" s="503" t="s">
        <v>1951</v>
      </c>
      <c r="D87" s="503" t="s">
        <v>1833</v>
      </c>
      <c r="E87" s="504" t="s">
        <v>1719</v>
      </c>
      <c r="F87" s="504" t="s">
        <v>1585</v>
      </c>
      <c r="G87" s="505">
        <v>145978901</v>
      </c>
      <c r="H87" s="505">
        <v>583823</v>
      </c>
      <c r="I87" s="505">
        <f t="shared" si="1"/>
        <v>145395078</v>
      </c>
      <c r="J87" s="503" t="s">
        <v>1987</v>
      </c>
      <c r="K87" s="506" t="s">
        <v>1988</v>
      </c>
      <c r="L87" s="499">
        <f>+IFERROR(VLOOKUP($A87,[1]Hoja4!$A$1:$B$182,2,0),0)</f>
        <v>53330</v>
      </c>
      <c r="M87" s="500"/>
    </row>
    <row r="88" spans="1:13" ht="15" hidden="1" customHeight="1" x14ac:dyDescent="0.25">
      <c r="A88" s="486" t="s">
        <v>1992</v>
      </c>
      <c r="B88" s="502">
        <v>5616</v>
      </c>
      <c r="C88" s="503" t="s">
        <v>1951</v>
      </c>
      <c r="D88" s="503" t="s">
        <v>1833</v>
      </c>
      <c r="E88" s="504" t="s">
        <v>1702</v>
      </c>
      <c r="F88" s="504" t="s">
        <v>1598</v>
      </c>
      <c r="G88" s="505">
        <v>23000000</v>
      </c>
      <c r="H88" s="505">
        <v>4618798</v>
      </c>
      <c r="I88" s="505">
        <f t="shared" si="1"/>
        <v>18381202</v>
      </c>
      <c r="J88" s="503" t="s">
        <v>1987</v>
      </c>
      <c r="K88" s="506" t="s">
        <v>1988</v>
      </c>
      <c r="L88" s="499">
        <f>+IFERROR(VLOOKUP($A88,[1]Hoja4!$A$1:$B$182,2,0),0)</f>
        <v>1248708</v>
      </c>
      <c r="M88" s="500"/>
    </row>
    <row r="89" spans="1:13" ht="15" hidden="1" customHeight="1" x14ac:dyDescent="0.25">
      <c r="A89" s="486" t="s">
        <v>1993</v>
      </c>
      <c r="B89" s="502">
        <v>5616</v>
      </c>
      <c r="C89" s="503" t="s">
        <v>1951</v>
      </c>
      <c r="D89" s="503" t="s">
        <v>1833</v>
      </c>
      <c r="E89" s="504" t="s">
        <v>1725</v>
      </c>
      <c r="F89" s="504" t="s">
        <v>1603</v>
      </c>
      <c r="G89" s="505">
        <v>70069872</v>
      </c>
      <c r="H89" s="505">
        <v>23660200</v>
      </c>
      <c r="I89" s="505">
        <f t="shared" si="1"/>
        <v>46409672</v>
      </c>
      <c r="J89" s="503" t="s">
        <v>1969</v>
      </c>
      <c r="K89" s="506" t="s">
        <v>1831</v>
      </c>
      <c r="L89" s="499">
        <f>+IFERROR(VLOOKUP($A89,[1]Hoja4!$A$1:$B$182,2,0),0)</f>
        <v>9390800</v>
      </c>
      <c r="M89" s="500"/>
    </row>
    <row r="90" spans="1:13" ht="15" hidden="1" customHeight="1" x14ac:dyDescent="0.25">
      <c r="A90" s="486" t="s">
        <v>1994</v>
      </c>
      <c r="B90" s="502">
        <v>5616</v>
      </c>
      <c r="C90" s="507" t="s">
        <v>1951</v>
      </c>
      <c r="D90" s="503" t="s">
        <v>1833</v>
      </c>
      <c r="E90" s="504" t="s">
        <v>1733</v>
      </c>
      <c r="F90" s="504" t="s">
        <v>1605</v>
      </c>
      <c r="G90" s="505">
        <v>135156905</v>
      </c>
      <c r="H90" s="505">
        <v>42695400</v>
      </c>
      <c r="I90" s="505">
        <f t="shared" si="1"/>
        <v>92461505</v>
      </c>
      <c r="J90" s="503" t="s">
        <v>1969</v>
      </c>
      <c r="K90" s="506" t="s">
        <v>1831</v>
      </c>
      <c r="L90" s="499">
        <f>+IFERROR(VLOOKUP($A90,[1]Hoja4!$A$1:$B$182,2,0),0)</f>
        <v>17343200</v>
      </c>
      <c r="M90" s="500"/>
    </row>
    <row r="91" spans="1:13" ht="15" hidden="1" customHeight="1" x14ac:dyDescent="0.25">
      <c r="A91" s="486" t="s">
        <v>1995</v>
      </c>
      <c r="B91" s="502">
        <v>5616</v>
      </c>
      <c r="C91" s="507" t="s">
        <v>1951</v>
      </c>
      <c r="D91" s="503" t="s">
        <v>1833</v>
      </c>
      <c r="E91" s="504" t="s">
        <v>1731</v>
      </c>
      <c r="F91" s="504" t="s">
        <v>1607</v>
      </c>
      <c r="G91" s="505">
        <v>130978401</v>
      </c>
      <c r="H91" s="505">
        <v>46740748</v>
      </c>
      <c r="I91" s="505">
        <f t="shared" si="1"/>
        <v>84237653</v>
      </c>
      <c r="J91" s="503" t="s">
        <v>1969</v>
      </c>
      <c r="K91" s="506" t="s">
        <v>1831</v>
      </c>
      <c r="L91" s="499">
        <f>+IFERROR(VLOOKUP($A91,[1]Hoja4!$A$1:$B$182,2,0),0)</f>
        <v>19241900</v>
      </c>
      <c r="M91" s="500"/>
    </row>
    <row r="92" spans="1:13" ht="15" hidden="1" customHeight="1" x14ac:dyDescent="0.25">
      <c r="A92" s="486" t="s">
        <v>1996</v>
      </c>
      <c r="B92" s="502">
        <v>5616</v>
      </c>
      <c r="C92" s="507" t="s">
        <v>1951</v>
      </c>
      <c r="D92" s="503" t="s">
        <v>1833</v>
      </c>
      <c r="E92" s="504" t="s">
        <v>1714</v>
      </c>
      <c r="F92" s="504" t="s">
        <v>1609</v>
      </c>
      <c r="G92" s="505">
        <v>158143810</v>
      </c>
      <c r="H92" s="505">
        <v>38102698</v>
      </c>
      <c r="I92" s="505">
        <f t="shared" si="1"/>
        <v>120041112</v>
      </c>
      <c r="J92" s="503" t="s">
        <v>1997</v>
      </c>
      <c r="K92" s="506" t="s">
        <v>1983</v>
      </c>
      <c r="L92" s="499">
        <f>+IFERROR(VLOOKUP($A92,[1]Hoja4!$A$1:$B$182,2,0),0)</f>
        <v>9144134</v>
      </c>
      <c r="M92" s="500"/>
    </row>
    <row r="93" spans="1:13" ht="15" hidden="1" customHeight="1" x14ac:dyDescent="0.25">
      <c r="A93" s="486" t="s">
        <v>1998</v>
      </c>
      <c r="B93" s="502">
        <v>5616</v>
      </c>
      <c r="C93" s="507" t="s">
        <v>1951</v>
      </c>
      <c r="D93" s="503" t="s">
        <v>1833</v>
      </c>
      <c r="E93" s="504" t="s">
        <v>1727</v>
      </c>
      <c r="F93" s="504" t="s">
        <v>1611</v>
      </c>
      <c r="G93" s="505">
        <v>49753780</v>
      </c>
      <c r="H93" s="505">
        <v>23309248</v>
      </c>
      <c r="I93" s="505">
        <f t="shared" si="1"/>
        <v>26444532</v>
      </c>
      <c r="J93" s="503" t="s">
        <v>1969</v>
      </c>
      <c r="K93" s="506" t="s">
        <v>1831</v>
      </c>
      <c r="L93" s="499">
        <f>+IFERROR(VLOOKUP($A93,[1]Hoja4!$A$1:$B$182,2,0),0)</f>
        <v>9732500</v>
      </c>
      <c r="M93" s="500"/>
    </row>
    <row r="94" spans="1:13" ht="15" hidden="1" customHeight="1" x14ac:dyDescent="0.25">
      <c r="A94" s="486" t="s">
        <v>1999</v>
      </c>
      <c r="B94" s="502">
        <v>5616</v>
      </c>
      <c r="C94" s="507" t="s">
        <v>1951</v>
      </c>
      <c r="D94" s="503" t="s">
        <v>1833</v>
      </c>
      <c r="E94" s="504" t="s">
        <v>1706</v>
      </c>
      <c r="F94" s="504" t="s">
        <v>1615</v>
      </c>
      <c r="G94" s="505">
        <v>8043614</v>
      </c>
      <c r="H94" s="505">
        <v>2720400</v>
      </c>
      <c r="I94" s="505">
        <f t="shared" si="1"/>
        <v>5323214</v>
      </c>
      <c r="J94" s="503" t="s">
        <v>1969</v>
      </c>
      <c r="K94" s="506" t="s">
        <v>1831</v>
      </c>
      <c r="L94" s="499">
        <f>+IFERROR(VLOOKUP($A94,[1]Hoja4!$A$1:$B$182,2,0),0)</f>
        <v>1113600</v>
      </c>
      <c r="M94" s="500"/>
    </row>
    <row r="95" spans="1:13" ht="15" hidden="1" customHeight="1" x14ac:dyDescent="0.25">
      <c r="A95" s="486" t="s">
        <v>2000</v>
      </c>
      <c r="B95" s="502">
        <v>5616</v>
      </c>
      <c r="C95" s="507" t="s">
        <v>1951</v>
      </c>
      <c r="D95" s="503" t="s">
        <v>1833</v>
      </c>
      <c r="E95" s="504" t="s">
        <v>1708</v>
      </c>
      <c r="F95" s="504" t="s">
        <v>1617</v>
      </c>
      <c r="G95" s="505">
        <v>52552405</v>
      </c>
      <c r="H95" s="505">
        <v>17841590</v>
      </c>
      <c r="I95" s="505">
        <f t="shared" si="1"/>
        <v>34710815</v>
      </c>
      <c r="J95" s="503" t="s">
        <v>1969</v>
      </c>
      <c r="K95" s="506" t="s">
        <v>1831</v>
      </c>
      <c r="L95" s="499">
        <f>+IFERROR(VLOOKUP($A95,[1]Hoja4!$A$1:$B$182,2,0),0)</f>
        <v>7042800</v>
      </c>
      <c r="M95" s="500"/>
    </row>
    <row r="96" spans="1:13" ht="15" hidden="1" customHeight="1" x14ac:dyDescent="0.25">
      <c r="A96" s="486" t="s">
        <v>2001</v>
      </c>
      <c r="B96" s="502">
        <v>5616</v>
      </c>
      <c r="C96" s="507" t="s">
        <v>1951</v>
      </c>
      <c r="D96" s="503" t="s">
        <v>1833</v>
      </c>
      <c r="E96" s="504" t="s">
        <v>1712</v>
      </c>
      <c r="F96" s="504" t="s">
        <v>1619</v>
      </c>
      <c r="G96" s="505">
        <v>8758734</v>
      </c>
      <c r="H96" s="505">
        <v>2953200</v>
      </c>
      <c r="I96" s="505">
        <f t="shared" si="1"/>
        <v>5805534</v>
      </c>
      <c r="J96" s="503" t="s">
        <v>1969</v>
      </c>
      <c r="K96" s="506" t="s">
        <v>1831</v>
      </c>
      <c r="L96" s="499">
        <f>+IFERROR(VLOOKUP($A96,[1]Hoja4!$A$1:$B$182,2,0),0)</f>
        <v>1172900</v>
      </c>
      <c r="M96" s="500"/>
    </row>
    <row r="97" spans="1:13" ht="15" hidden="1" customHeight="1" x14ac:dyDescent="0.25">
      <c r="A97" s="486" t="s">
        <v>2002</v>
      </c>
      <c r="B97" s="502">
        <v>5616</v>
      </c>
      <c r="C97" s="507" t="s">
        <v>1951</v>
      </c>
      <c r="D97" s="503" t="s">
        <v>1833</v>
      </c>
      <c r="E97" s="504" t="s">
        <v>1737</v>
      </c>
      <c r="F97" s="504" t="s">
        <v>1621</v>
      </c>
      <c r="G97" s="505">
        <v>8758434</v>
      </c>
      <c r="H97" s="505">
        <v>2953200</v>
      </c>
      <c r="I97" s="505">
        <f t="shared" si="1"/>
        <v>5805234</v>
      </c>
      <c r="J97" s="503" t="s">
        <v>1969</v>
      </c>
      <c r="K97" s="506" t="s">
        <v>1831</v>
      </c>
      <c r="L97" s="499">
        <f>+IFERROR(VLOOKUP($A97,[1]Hoja4!$A$1:$B$182,2,0),0)</f>
        <v>1172900</v>
      </c>
      <c r="M97" s="500"/>
    </row>
    <row r="98" spans="1:13" ht="15" hidden="1" customHeight="1" x14ac:dyDescent="0.25">
      <c r="A98" s="486" t="s">
        <v>2003</v>
      </c>
      <c r="B98" s="502">
        <v>5616</v>
      </c>
      <c r="C98" s="507" t="s">
        <v>1951</v>
      </c>
      <c r="D98" s="503" t="s">
        <v>1833</v>
      </c>
      <c r="E98" s="504" t="s">
        <v>1710</v>
      </c>
      <c r="F98" s="504" t="s">
        <v>1623</v>
      </c>
      <c r="G98" s="505">
        <v>17517468</v>
      </c>
      <c r="H98" s="505">
        <v>5896500</v>
      </c>
      <c r="I98" s="505">
        <f t="shared" si="1"/>
        <v>11620968</v>
      </c>
      <c r="J98" s="503" t="s">
        <v>1969</v>
      </c>
      <c r="K98" s="506" t="s">
        <v>1831</v>
      </c>
      <c r="L98" s="499">
        <f>+IFERROR(VLOOKUP($A98,[1]Hoja4!$A$1:$B$182,2,0),0)</f>
        <v>2347700</v>
      </c>
      <c r="M98" s="500"/>
    </row>
    <row r="99" spans="1:13" ht="15" hidden="1" customHeight="1" x14ac:dyDescent="0.25">
      <c r="A99" s="486" t="s">
        <v>2004</v>
      </c>
      <c r="B99" s="502">
        <v>5716</v>
      </c>
      <c r="C99" s="507" t="s">
        <v>1951</v>
      </c>
      <c r="D99" s="503" t="s">
        <v>1833</v>
      </c>
      <c r="E99" s="504" t="s">
        <v>1716</v>
      </c>
      <c r="F99" s="504" t="s">
        <v>1718</v>
      </c>
      <c r="G99" s="505">
        <v>9000000</v>
      </c>
      <c r="H99" s="505">
        <v>9000000</v>
      </c>
      <c r="I99" s="505">
        <f t="shared" si="1"/>
        <v>0</v>
      </c>
      <c r="J99" s="503" t="s">
        <v>2005</v>
      </c>
      <c r="K99" s="506" t="s">
        <v>2006</v>
      </c>
      <c r="L99" s="499"/>
      <c r="M99" s="500"/>
    </row>
    <row r="100" spans="1:13" ht="15" hidden="1" customHeight="1" x14ac:dyDescent="0.25">
      <c r="A100" s="486" t="s">
        <v>2007</v>
      </c>
      <c r="B100" s="502">
        <v>5816</v>
      </c>
      <c r="C100" s="507" t="s">
        <v>1951</v>
      </c>
      <c r="D100" s="503" t="s">
        <v>1833</v>
      </c>
      <c r="E100" s="504" t="s">
        <v>1763</v>
      </c>
      <c r="F100" s="504" t="s">
        <v>439</v>
      </c>
      <c r="G100" s="505">
        <v>8000000</v>
      </c>
      <c r="H100" s="505">
        <v>8000000</v>
      </c>
      <c r="I100" s="505">
        <f t="shared" si="1"/>
        <v>0</v>
      </c>
      <c r="J100" s="503" t="s">
        <v>2008</v>
      </c>
      <c r="K100" s="506" t="s">
        <v>2009</v>
      </c>
      <c r="L100" s="499"/>
      <c r="M100" s="500"/>
    </row>
    <row r="101" spans="1:13" ht="15" hidden="1" customHeight="1" x14ac:dyDescent="0.25">
      <c r="A101" s="486" t="s">
        <v>2010</v>
      </c>
      <c r="B101" s="502">
        <v>5916</v>
      </c>
      <c r="C101" s="507" t="s">
        <v>1951</v>
      </c>
      <c r="D101" s="503" t="s">
        <v>1833</v>
      </c>
      <c r="E101" s="504" t="s">
        <v>1716</v>
      </c>
      <c r="F101" s="504" t="s">
        <v>1718</v>
      </c>
      <c r="G101" s="505">
        <v>7800000</v>
      </c>
      <c r="H101" s="505">
        <v>7800000</v>
      </c>
      <c r="I101" s="505">
        <f t="shared" si="1"/>
        <v>0</v>
      </c>
      <c r="J101" s="503" t="s">
        <v>2011</v>
      </c>
      <c r="K101" s="506" t="s">
        <v>2012</v>
      </c>
      <c r="L101" s="499"/>
      <c r="M101" s="500"/>
    </row>
    <row r="102" spans="1:13" ht="15" hidden="1" customHeight="1" x14ac:dyDescent="0.25">
      <c r="A102" s="486" t="s">
        <v>2013</v>
      </c>
      <c r="B102" s="502">
        <v>6016</v>
      </c>
      <c r="C102" s="507" t="s">
        <v>1951</v>
      </c>
      <c r="D102" s="503" t="s">
        <v>1833</v>
      </c>
      <c r="E102" s="504" t="s">
        <v>1716</v>
      </c>
      <c r="F102" s="504" t="s">
        <v>1718</v>
      </c>
      <c r="G102" s="505">
        <v>16000000</v>
      </c>
      <c r="H102" s="505">
        <v>16000000</v>
      </c>
      <c r="I102" s="505">
        <f t="shared" si="1"/>
        <v>0</v>
      </c>
      <c r="J102" s="503" t="s">
        <v>2014</v>
      </c>
      <c r="K102" s="506" t="s">
        <v>2015</v>
      </c>
      <c r="L102" s="499"/>
      <c r="M102" s="500"/>
    </row>
    <row r="103" spans="1:13" ht="15" hidden="1" customHeight="1" x14ac:dyDescent="0.25">
      <c r="A103" s="486" t="s">
        <v>2016</v>
      </c>
      <c r="B103" s="502">
        <v>6216</v>
      </c>
      <c r="C103" s="507" t="s">
        <v>2017</v>
      </c>
      <c r="D103" s="503" t="s">
        <v>1952</v>
      </c>
      <c r="E103" s="504" t="s">
        <v>1599</v>
      </c>
      <c r="F103" s="504" t="s">
        <v>428</v>
      </c>
      <c r="G103" s="505">
        <v>8800000</v>
      </c>
      <c r="H103" s="505">
        <v>8800000</v>
      </c>
      <c r="I103" s="505">
        <f t="shared" si="1"/>
        <v>0</v>
      </c>
      <c r="J103" s="503" t="s">
        <v>2018</v>
      </c>
      <c r="K103" s="506" t="s">
        <v>2019</v>
      </c>
      <c r="L103" s="499"/>
      <c r="M103" s="500"/>
    </row>
    <row r="104" spans="1:13" ht="15" hidden="1" customHeight="1" x14ac:dyDescent="0.25">
      <c r="A104" s="486" t="s">
        <v>2020</v>
      </c>
      <c r="B104" s="502">
        <v>6316</v>
      </c>
      <c r="C104" s="507" t="s">
        <v>2017</v>
      </c>
      <c r="D104" s="503" t="s">
        <v>1833</v>
      </c>
      <c r="E104" s="504" t="s">
        <v>1716</v>
      </c>
      <c r="F104" s="504" t="s">
        <v>1718</v>
      </c>
      <c r="G104" s="505">
        <v>9000000</v>
      </c>
      <c r="H104" s="505">
        <v>9000000</v>
      </c>
      <c r="I104" s="505">
        <f t="shared" si="1"/>
        <v>0</v>
      </c>
      <c r="J104" s="503" t="s">
        <v>2021</v>
      </c>
      <c r="K104" s="506" t="s">
        <v>2022</v>
      </c>
      <c r="L104" s="499"/>
      <c r="M104" s="500"/>
    </row>
    <row r="105" spans="1:13" ht="15" hidden="1" customHeight="1" x14ac:dyDescent="0.25">
      <c r="A105" s="486" t="s">
        <v>2023</v>
      </c>
      <c r="B105" s="502">
        <v>6416</v>
      </c>
      <c r="C105" s="507" t="s">
        <v>2017</v>
      </c>
      <c r="D105" s="503" t="s">
        <v>1833</v>
      </c>
      <c r="E105" s="504" t="s">
        <v>1716</v>
      </c>
      <c r="F105" s="504" t="s">
        <v>1718</v>
      </c>
      <c r="G105" s="505">
        <v>9000000</v>
      </c>
      <c r="H105" s="505">
        <v>9000000</v>
      </c>
      <c r="I105" s="505">
        <f t="shared" si="1"/>
        <v>0</v>
      </c>
      <c r="J105" s="503" t="s">
        <v>2021</v>
      </c>
      <c r="K105" s="506" t="s">
        <v>2024</v>
      </c>
      <c r="L105" s="499"/>
      <c r="M105" s="500"/>
    </row>
    <row r="106" spans="1:13" ht="15" hidden="1" customHeight="1" x14ac:dyDescent="0.25">
      <c r="A106" s="486" t="s">
        <v>2025</v>
      </c>
      <c r="B106" s="502">
        <v>6516</v>
      </c>
      <c r="C106" s="507" t="s">
        <v>2017</v>
      </c>
      <c r="D106" s="503" t="s">
        <v>1833</v>
      </c>
      <c r="E106" s="504" t="s">
        <v>1716</v>
      </c>
      <c r="F106" s="504" t="s">
        <v>1718</v>
      </c>
      <c r="G106" s="505">
        <v>10000000</v>
      </c>
      <c r="H106" s="505">
        <v>10000000</v>
      </c>
      <c r="I106" s="505">
        <f t="shared" si="1"/>
        <v>0</v>
      </c>
      <c r="J106" s="503" t="s">
        <v>2026</v>
      </c>
      <c r="K106" s="506" t="s">
        <v>2027</v>
      </c>
      <c r="L106" s="499"/>
      <c r="M106" s="500"/>
    </row>
    <row r="107" spans="1:13" ht="15" hidden="1" customHeight="1" x14ac:dyDescent="0.25">
      <c r="A107" s="486" t="s">
        <v>2028</v>
      </c>
      <c r="B107" s="502">
        <v>6616</v>
      </c>
      <c r="C107" s="507" t="s">
        <v>2017</v>
      </c>
      <c r="D107" s="503" t="s">
        <v>1833</v>
      </c>
      <c r="E107" s="504" t="s">
        <v>1716</v>
      </c>
      <c r="F107" s="504" t="s">
        <v>1718</v>
      </c>
      <c r="G107" s="505">
        <v>8600000</v>
      </c>
      <c r="H107" s="505">
        <v>8600000</v>
      </c>
      <c r="I107" s="505">
        <f t="shared" si="1"/>
        <v>0</v>
      </c>
      <c r="J107" s="503" t="s">
        <v>2029</v>
      </c>
      <c r="K107" s="506" t="s">
        <v>2030</v>
      </c>
      <c r="L107" s="499"/>
      <c r="M107" s="500"/>
    </row>
    <row r="108" spans="1:13" ht="15" hidden="1" customHeight="1" x14ac:dyDescent="0.25">
      <c r="A108" s="486" t="s">
        <v>2031</v>
      </c>
      <c r="B108" s="502">
        <v>6716</v>
      </c>
      <c r="C108" s="507" t="s">
        <v>2017</v>
      </c>
      <c r="D108" s="503" t="s">
        <v>1952</v>
      </c>
      <c r="E108" s="504" t="s">
        <v>1599</v>
      </c>
      <c r="F108" s="504" t="s">
        <v>428</v>
      </c>
      <c r="G108" s="505">
        <v>13500000</v>
      </c>
      <c r="H108" s="505">
        <v>13500000</v>
      </c>
      <c r="I108" s="505">
        <f t="shared" si="1"/>
        <v>0</v>
      </c>
      <c r="J108" s="503" t="s">
        <v>2032</v>
      </c>
      <c r="K108" s="506" t="s">
        <v>2033</v>
      </c>
      <c r="L108" s="499"/>
      <c r="M108" s="500"/>
    </row>
    <row r="109" spans="1:13" ht="15" hidden="1" customHeight="1" x14ac:dyDescent="0.25">
      <c r="A109" s="486" t="s">
        <v>2034</v>
      </c>
      <c r="B109" s="502">
        <v>6916</v>
      </c>
      <c r="C109" s="507" t="s">
        <v>2017</v>
      </c>
      <c r="D109" s="503" t="s">
        <v>1833</v>
      </c>
      <c r="E109" s="504" t="s">
        <v>1763</v>
      </c>
      <c r="F109" s="504" t="s">
        <v>439</v>
      </c>
      <c r="G109" s="505">
        <v>20880000</v>
      </c>
      <c r="H109" s="505">
        <v>20880000</v>
      </c>
      <c r="I109" s="505">
        <f t="shared" si="1"/>
        <v>0</v>
      </c>
      <c r="J109" s="503" t="s">
        <v>2035</v>
      </c>
      <c r="K109" s="506" t="s">
        <v>2036</v>
      </c>
      <c r="L109" s="499"/>
      <c r="M109" s="500"/>
    </row>
    <row r="110" spans="1:13" ht="15" hidden="1" customHeight="1" x14ac:dyDescent="0.25">
      <c r="A110" s="486" t="s">
        <v>2037</v>
      </c>
      <c r="B110" s="502">
        <v>7016</v>
      </c>
      <c r="C110" s="507" t="s">
        <v>2038</v>
      </c>
      <c r="D110" s="503" t="s">
        <v>1952</v>
      </c>
      <c r="E110" s="504" t="s">
        <v>1559</v>
      </c>
      <c r="F110" s="504" t="s">
        <v>1560</v>
      </c>
      <c r="G110" s="505">
        <v>6254728000</v>
      </c>
      <c r="H110" s="505">
        <v>2761083251</v>
      </c>
      <c r="I110" s="505">
        <f t="shared" si="1"/>
        <v>3493644749</v>
      </c>
      <c r="J110" s="503" t="s">
        <v>2039</v>
      </c>
      <c r="K110" s="506" t="s">
        <v>1831</v>
      </c>
      <c r="L110" s="499"/>
      <c r="M110" s="500"/>
    </row>
    <row r="111" spans="1:13" ht="15" hidden="1" customHeight="1" x14ac:dyDescent="0.25">
      <c r="A111" s="486" t="s">
        <v>2040</v>
      </c>
      <c r="B111" s="502">
        <v>7016</v>
      </c>
      <c r="C111" s="507" t="s">
        <v>2038</v>
      </c>
      <c r="D111" s="503" t="s">
        <v>1952</v>
      </c>
      <c r="E111" s="504" t="s">
        <v>1561</v>
      </c>
      <c r="F111" s="504" t="s">
        <v>1562</v>
      </c>
      <c r="G111" s="505">
        <v>480000000</v>
      </c>
      <c r="H111" s="505">
        <v>167478877</v>
      </c>
      <c r="I111" s="505">
        <f t="shared" si="1"/>
        <v>312521123</v>
      </c>
      <c r="J111" s="503" t="s">
        <v>2041</v>
      </c>
      <c r="K111" s="506" t="s">
        <v>448</v>
      </c>
      <c r="L111" s="499"/>
      <c r="M111" s="500"/>
    </row>
    <row r="112" spans="1:13" ht="15" hidden="1" customHeight="1" x14ac:dyDescent="0.25">
      <c r="A112" s="486" t="s">
        <v>2042</v>
      </c>
      <c r="B112" s="502">
        <v>7016</v>
      </c>
      <c r="C112" s="507" t="s">
        <v>2038</v>
      </c>
      <c r="D112" s="503" t="s">
        <v>1952</v>
      </c>
      <c r="E112" s="504" t="s">
        <v>1563</v>
      </c>
      <c r="F112" s="504" t="s">
        <v>1564</v>
      </c>
      <c r="G112" s="505">
        <v>54000000</v>
      </c>
      <c r="H112" s="505">
        <v>27509780</v>
      </c>
      <c r="I112" s="505">
        <f t="shared" si="1"/>
        <v>26490220</v>
      </c>
      <c r="J112" s="503" t="s">
        <v>2041</v>
      </c>
      <c r="K112" s="506" t="s">
        <v>448</v>
      </c>
      <c r="L112" s="499"/>
      <c r="M112" s="500"/>
    </row>
    <row r="113" spans="1:13" ht="15" hidden="1" customHeight="1" x14ac:dyDescent="0.25">
      <c r="A113" s="486" t="s">
        <v>2043</v>
      </c>
      <c r="B113" s="502">
        <v>7016</v>
      </c>
      <c r="C113" s="507" t="s">
        <v>2038</v>
      </c>
      <c r="D113" s="503" t="s">
        <v>1952</v>
      </c>
      <c r="E113" s="504" t="s">
        <v>1565</v>
      </c>
      <c r="F113" s="504" t="s">
        <v>1566</v>
      </c>
      <c r="G113" s="505">
        <v>406459005</v>
      </c>
      <c r="H113" s="505">
        <v>167899463</v>
      </c>
      <c r="I113" s="505">
        <f t="shared" si="1"/>
        <v>238559542</v>
      </c>
      <c r="J113" s="503" t="s">
        <v>2041</v>
      </c>
      <c r="K113" s="506" t="s">
        <v>448</v>
      </c>
      <c r="L113" s="499"/>
      <c r="M113" s="500"/>
    </row>
    <row r="114" spans="1:13" ht="15" hidden="1" customHeight="1" x14ac:dyDescent="0.25">
      <c r="A114" s="486" t="s">
        <v>2044</v>
      </c>
      <c r="B114" s="502">
        <v>7016</v>
      </c>
      <c r="C114" s="507" t="s">
        <v>2038</v>
      </c>
      <c r="D114" s="503" t="s">
        <v>1952</v>
      </c>
      <c r="E114" s="504" t="s">
        <v>1567</v>
      </c>
      <c r="F114" s="504" t="s">
        <v>1568</v>
      </c>
      <c r="G114" s="505">
        <v>307601995</v>
      </c>
      <c r="H114" s="505">
        <v>117747337</v>
      </c>
      <c r="I114" s="505">
        <f t="shared" si="1"/>
        <v>189854658</v>
      </c>
      <c r="J114" s="503" t="s">
        <v>2041</v>
      </c>
      <c r="K114" s="506" t="s">
        <v>448</v>
      </c>
      <c r="L114" s="499"/>
      <c r="M114" s="500"/>
    </row>
    <row r="115" spans="1:13" ht="15" hidden="1" customHeight="1" x14ac:dyDescent="0.25">
      <c r="A115" s="486" t="s">
        <v>2045</v>
      </c>
      <c r="B115" s="502">
        <v>7016</v>
      </c>
      <c r="C115" s="507" t="s">
        <v>2038</v>
      </c>
      <c r="D115" s="503" t="s">
        <v>1952</v>
      </c>
      <c r="E115" s="504" t="s">
        <v>1569</v>
      </c>
      <c r="F115" s="504" t="s">
        <v>1570</v>
      </c>
      <c r="G115" s="505">
        <v>146047836</v>
      </c>
      <c r="H115" s="505">
        <v>63368549</v>
      </c>
      <c r="I115" s="505">
        <f t="shared" si="1"/>
        <v>82679287</v>
      </c>
      <c r="J115" s="503" t="s">
        <v>2041</v>
      </c>
      <c r="K115" s="506" t="s">
        <v>448</v>
      </c>
      <c r="L115" s="499"/>
      <c r="M115" s="500"/>
    </row>
    <row r="116" spans="1:13" ht="15" hidden="1" customHeight="1" x14ac:dyDescent="0.25">
      <c r="A116" s="486" t="s">
        <v>2046</v>
      </c>
      <c r="B116" s="502">
        <v>7016</v>
      </c>
      <c r="C116" s="507" t="s">
        <v>2038</v>
      </c>
      <c r="D116" s="503" t="s">
        <v>1952</v>
      </c>
      <c r="E116" s="504" t="s">
        <v>1575</v>
      </c>
      <c r="F116" s="504" t="s">
        <v>1576</v>
      </c>
      <c r="G116" s="505">
        <v>16721712</v>
      </c>
      <c r="H116" s="505">
        <v>6577313</v>
      </c>
      <c r="I116" s="505">
        <f t="shared" si="1"/>
        <v>10144399</v>
      </c>
      <c r="J116" s="503" t="s">
        <v>2039</v>
      </c>
      <c r="K116" s="506" t="s">
        <v>1831</v>
      </c>
      <c r="L116" s="499"/>
      <c r="M116" s="500"/>
    </row>
    <row r="117" spans="1:13" ht="15" hidden="1" customHeight="1" x14ac:dyDescent="0.25">
      <c r="A117" s="486" t="s">
        <v>2047</v>
      </c>
      <c r="B117" s="502">
        <v>7016</v>
      </c>
      <c r="C117" s="507" t="s">
        <v>2038</v>
      </c>
      <c r="D117" s="503" t="s">
        <v>1952</v>
      </c>
      <c r="E117" s="504" t="s">
        <v>1577</v>
      </c>
      <c r="F117" s="504" t="s">
        <v>1578</v>
      </c>
      <c r="G117" s="505">
        <v>10256400</v>
      </c>
      <c r="H117" s="505">
        <v>3403260</v>
      </c>
      <c r="I117" s="505">
        <f t="shared" si="1"/>
        <v>6853140</v>
      </c>
      <c r="J117" s="503" t="s">
        <v>2039</v>
      </c>
      <c r="K117" s="506" t="s">
        <v>1831</v>
      </c>
      <c r="L117" s="499"/>
      <c r="M117" s="500"/>
    </row>
    <row r="118" spans="1:13" ht="15" hidden="1" customHeight="1" x14ac:dyDescent="0.25">
      <c r="A118" s="486" t="s">
        <v>2048</v>
      </c>
      <c r="B118" s="502">
        <v>7016</v>
      </c>
      <c r="C118" s="507" t="s">
        <v>2038</v>
      </c>
      <c r="D118" s="503" t="s">
        <v>1952</v>
      </c>
      <c r="E118" s="504" t="s">
        <v>1579</v>
      </c>
      <c r="F118" s="504" t="s">
        <v>1580</v>
      </c>
      <c r="G118" s="505">
        <v>339129405</v>
      </c>
      <c r="H118" s="505">
        <v>21594638</v>
      </c>
      <c r="I118" s="505">
        <f t="shared" si="1"/>
        <v>317534767</v>
      </c>
      <c r="J118" s="503" t="s">
        <v>2049</v>
      </c>
      <c r="K118" s="506" t="s">
        <v>2050</v>
      </c>
      <c r="L118" s="499"/>
      <c r="M118" s="500"/>
    </row>
    <row r="119" spans="1:13" ht="15" hidden="1" customHeight="1" x14ac:dyDescent="0.25">
      <c r="A119" s="486" t="s">
        <v>2051</v>
      </c>
      <c r="B119" s="502">
        <v>7016</v>
      </c>
      <c r="C119" s="507" t="s">
        <v>2038</v>
      </c>
      <c r="D119" s="503" t="s">
        <v>1952</v>
      </c>
      <c r="E119" s="504" t="s">
        <v>1581</v>
      </c>
      <c r="F119" s="504" t="s">
        <v>1582</v>
      </c>
      <c r="G119" s="505">
        <v>353259798</v>
      </c>
      <c r="H119" s="505">
        <v>140371992</v>
      </c>
      <c r="I119" s="505">
        <f t="shared" si="1"/>
        <v>212887806</v>
      </c>
      <c r="J119" s="503" t="s">
        <v>2041</v>
      </c>
      <c r="K119" s="506" t="s">
        <v>448</v>
      </c>
      <c r="L119" s="499"/>
      <c r="M119" s="500"/>
    </row>
    <row r="120" spans="1:13" ht="15" hidden="1" customHeight="1" x14ac:dyDescent="0.25">
      <c r="A120" s="486" t="s">
        <v>2052</v>
      </c>
      <c r="B120" s="502">
        <v>7016</v>
      </c>
      <c r="C120" s="507" t="s">
        <v>2038</v>
      </c>
      <c r="D120" s="503" t="s">
        <v>1952</v>
      </c>
      <c r="E120" s="504" t="s">
        <v>1583</v>
      </c>
      <c r="F120" s="504" t="s">
        <v>1585</v>
      </c>
      <c r="G120" s="505">
        <v>676499948</v>
      </c>
      <c r="H120" s="505">
        <v>9262694</v>
      </c>
      <c r="I120" s="505">
        <f t="shared" si="1"/>
        <v>667237254</v>
      </c>
      <c r="J120" s="503" t="s">
        <v>2049</v>
      </c>
      <c r="K120" s="506" t="s">
        <v>2050</v>
      </c>
      <c r="L120" s="499"/>
      <c r="M120" s="500"/>
    </row>
    <row r="121" spans="1:13" ht="15" hidden="1" customHeight="1" x14ac:dyDescent="0.25">
      <c r="A121" s="486" t="s">
        <v>2053</v>
      </c>
      <c r="B121" s="502">
        <v>7016</v>
      </c>
      <c r="C121" s="507" t="s">
        <v>2038</v>
      </c>
      <c r="D121" s="503" t="s">
        <v>1952</v>
      </c>
      <c r="E121" s="504" t="s">
        <v>1586</v>
      </c>
      <c r="F121" s="504" t="s">
        <v>1588</v>
      </c>
      <c r="G121" s="505">
        <v>2880600</v>
      </c>
      <c r="H121" s="505">
        <v>1293510</v>
      </c>
      <c r="I121" s="505">
        <f t="shared" si="1"/>
        <v>1587090</v>
      </c>
      <c r="J121" s="503" t="s">
        <v>2041</v>
      </c>
      <c r="K121" s="506" t="s">
        <v>448</v>
      </c>
      <c r="L121" s="499"/>
      <c r="M121" s="500"/>
    </row>
    <row r="122" spans="1:13" ht="15" hidden="1" customHeight="1" x14ac:dyDescent="0.25">
      <c r="A122" s="486" t="s">
        <v>2054</v>
      </c>
      <c r="B122" s="502">
        <v>7016</v>
      </c>
      <c r="C122" s="507" t="s">
        <v>2038</v>
      </c>
      <c r="D122" s="503" t="s">
        <v>1952</v>
      </c>
      <c r="E122" s="504" t="s">
        <v>1571</v>
      </c>
      <c r="F122" s="504" t="s">
        <v>1572</v>
      </c>
      <c r="G122" s="505">
        <v>235020119</v>
      </c>
      <c r="H122" s="505">
        <v>100112942</v>
      </c>
      <c r="I122" s="505">
        <f t="shared" si="1"/>
        <v>134907177</v>
      </c>
      <c r="J122" s="503" t="s">
        <v>2041</v>
      </c>
      <c r="K122" s="506" t="s">
        <v>448</v>
      </c>
      <c r="L122" s="499"/>
      <c r="M122" s="500"/>
    </row>
    <row r="123" spans="1:13" ht="15" hidden="1" customHeight="1" x14ac:dyDescent="0.25">
      <c r="A123" s="486" t="s">
        <v>2055</v>
      </c>
      <c r="B123" s="502">
        <v>7016</v>
      </c>
      <c r="C123" s="507" t="s">
        <v>2038</v>
      </c>
      <c r="D123" s="503" t="s">
        <v>1952</v>
      </c>
      <c r="E123" s="504" t="s">
        <v>1589</v>
      </c>
      <c r="F123" s="504" t="s">
        <v>1591</v>
      </c>
      <c r="G123" s="505">
        <v>113185637</v>
      </c>
      <c r="H123" s="505">
        <v>43776979</v>
      </c>
      <c r="I123" s="505">
        <f t="shared" si="1"/>
        <v>69408658</v>
      </c>
      <c r="J123" s="503" t="s">
        <v>2041</v>
      </c>
      <c r="K123" s="506" t="s">
        <v>448</v>
      </c>
      <c r="L123" s="499"/>
      <c r="M123" s="500"/>
    </row>
    <row r="124" spans="1:13" ht="15" hidden="1" customHeight="1" x14ac:dyDescent="0.25">
      <c r="A124" s="486" t="s">
        <v>2056</v>
      </c>
      <c r="B124" s="502">
        <v>7016</v>
      </c>
      <c r="C124" s="507" t="s">
        <v>2038</v>
      </c>
      <c r="D124" s="503" t="s">
        <v>1952</v>
      </c>
      <c r="E124" s="504" t="s">
        <v>1573</v>
      </c>
      <c r="F124" s="504" t="s">
        <v>1574</v>
      </c>
      <c r="G124" s="505">
        <v>40585145</v>
      </c>
      <c r="H124" s="505">
        <v>16904732</v>
      </c>
      <c r="I124" s="505">
        <f t="shared" si="1"/>
        <v>23680413</v>
      </c>
      <c r="J124" s="503" t="s">
        <v>2041</v>
      </c>
      <c r="K124" s="506" t="s">
        <v>448</v>
      </c>
      <c r="L124" s="499"/>
      <c r="M124" s="500"/>
    </row>
    <row r="125" spans="1:13" ht="15" hidden="1" customHeight="1" x14ac:dyDescent="0.25">
      <c r="A125" s="486" t="s">
        <v>2057</v>
      </c>
      <c r="B125" s="502">
        <v>7016</v>
      </c>
      <c r="C125" s="507" t="s">
        <v>2038</v>
      </c>
      <c r="D125" s="503" t="s">
        <v>1952</v>
      </c>
      <c r="E125" s="504" t="s">
        <v>1592</v>
      </c>
      <c r="F125" s="504" t="s">
        <v>1594</v>
      </c>
      <c r="G125" s="505">
        <v>333194400</v>
      </c>
      <c r="H125" s="505">
        <v>0</v>
      </c>
      <c r="I125" s="505">
        <f t="shared" si="1"/>
        <v>333194400</v>
      </c>
      <c r="J125" s="503" t="s">
        <v>2058</v>
      </c>
      <c r="K125" s="506" t="s">
        <v>2058</v>
      </c>
      <c r="L125" s="499"/>
      <c r="M125" s="500"/>
    </row>
    <row r="126" spans="1:13" ht="15" hidden="1" customHeight="1" x14ac:dyDescent="0.25">
      <c r="A126" s="486" t="s">
        <v>2059</v>
      </c>
      <c r="B126" s="502">
        <v>7016</v>
      </c>
      <c r="C126" s="507" t="s">
        <v>2038</v>
      </c>
      <c r="D126" s="503" t="s">
        <v>1952</v>
      </c>
      <c r="E126" s="504" t="s">
        <v>1595</v>
      </c>
      <c r="F126" s="504" t="s">
        <v>1596</v>
      </c>
      <c r="G126" s="505">
        <v>61286350</v>
      </c>
      <c r="H126" s="505">
        <v>18146693</v>
      </c>
      <c r="I126" s="505">
        <f t="shared" si="1"/>
        <v>43139657</v>
      </c>
      <c r="J126" s="503" t="s">
        <v>2041</v>
      </c>
      <c r="K126" s="506" t="s">
        <v>448</v>
      </c>
      <c r="L126" s="499"/>
      <c r="M126" s="500"/>
    </row>
    <row r="127" spans="1:13" ht="15" hidden="1" customHeight="1" x14ac:dyDescent="0.25">
      <c r="A127" s="486" t="s">
        <v>2060</v>
      </c>
      <c r="B127" s="502">
        <v>7016</v>
      </c>
      <c r="C127" s="507" t="s">
        <v>2038</v>
      </c>
      <c r="D127" s="503" t="s">
        <v>1952</v>
      </c>
      <c r="E127" s="504" t="s">
        <v>1597</v>
      </c>
      <c r="F127" s="504" t="s">
        <v>1598</v>
      </c>
      <c r="G127" s="505">
        <v>207365000</v>
      </c>
      <c r="H127" s="505">
        <v>49897580</v>
      </c>
      <c r="I127" s="505">
        <f t="shared" si="1"/>
        <v>157467420</v>
      </c>
      <c r="J127" s="503" t="s">
        <v>2049</v>
      </c>
      <c r="K127" s="506" t="s">
        <v>2050</v>
      </c>
      <c r="L127" s="499"/>
      <c r="M127" s="500"/>
    </row>
    <row r="128" spans="1:13" ht="15" hidden="1" customHeight="1" x14ac:dyDescent="0.25">
      <c r="A128" s="486" t="s">
        <v>2061</v>
      </c>
      <c r="B128" s="502">
        <v>7116</v>
      </c>
      <c r="C128" s="507" t="s">
        <v>2038</v>
      </c>
      <c r="D128" s="503" t="s">
        <v>1952</v>
      </c>
      <c r="E128" s="504" t="s">
        <v>1602</v>
      </c>
      <c r="F128" s="504" t="s">
        <v>1603</v>
      </c>
      <c r="G128" s="505">
        <v>345009541</v>
      </c>
      <c r="H128" s="505">
        <v>141030400</v>
      </c>
      <c r="I128" s="505">
        <f t="shared" si="1"/>
        <v>203979141</v>
      </c>
      <c r="J128" s="503" t="s">
        <v>2062</v>
      </c>
      <c r="K128" s="506" t="s">
        <v>1831</v>
      </c>
      <c r="L128" s="499"/>
      <c r="M128" s="500"/>
    </row>
    <row r="129" spans="1:13" ht="15" hidden="1" customHeight="1" x14ac:dyDescent="0.25">
      <c r="A129" s="486" t="s">
        <v>2063</v>
      </c>
      <c r="B129" s="502">
        <v>7116</v>
      </c>
      <c r="C129" s="507" t="s">
        <v>2038</v>
      </c>
      <c r="D129" s="503" t="s">
        <v>1952</v>
      </c>
      <c r="E129" s="504" t="s">
        <v>1604</v>
      </c>
      <c r="F129" s="504" t="s">
        <v>1605</v>
      </c>
      <c r="G129" s="505">
        <v>506293545</v>
      </c>
      <c r="H129" s="505">
        <v>194785400</v>
      </c>
      <c r="I129" s="505">
        <f t="shared" si="1"/>
        <v>311508145</v>
      </c>
      <c r="J129" s="503" t="s">
        <v>2062</v>
      </c>
      <c r="K129" s="506" t="s">
        <v>1831</v>
      </c>
      <c r="L129" s="499"/>
      <c r="M129" s="500"/>
    </row>
    <row r="130" spans="1:13" ht="15" hidden="1" customHeight="1" x14ac:dyDescent="0.25">
      <c r="A130" s="486" t="s">
        <v>2064</v>
      </c>
      <c r="B130" s="502">
        <v>7116</v>
      </c>
      <c r="C130" s="507" t="s">
        <v>2038</v>
      </c>
      <c r="D130" s="503" t="s">
        <v>1952</v>
      </c>
      <c r="E130" s="504" t="s">
        <v>1606</v>
      </c>
      <c r="F130" s="504" t="s">
        <v>1607</v>
      </c>
      <c r="G130" s="505">
        <v>673120847</v>
      </c>
      <c r="H130" s="505">
        <v>283613100</v>
      </c>
      <c r="I130" s="505">
        <f t="shared" si="1"/>
        <v>389507747</v>
      </c>
      <c r="J130" s="503" t="s">
        <v>2062</v>
      </c>
      <c r="K130" s="506" t="s">
        <v>1831</v>
      </c>
      <c r="L130" s="499"/>
      <c r="M130" s="500"/>
    </row>
    <row r="131" spans="1:13" ht="15" hidden="1" customHeight="1" x14ac:dyDescent="0.25">
      <c r="A131" s="486" t="s">
        <v>2065</v>
      </c>
      <c r="B131" s="502">
        <v>7116</v>
      </c>
      <c r="C131" s="507" t="s">
        <v>2038</v>
      </c>
      <c r="D131" s="503" t="s">
        <v>1952</v>
      </c>
      <c r="E131" s="504" t="s">
        <v>1608</v>
      </c>
      <c r="F131" s="504" t="s">
        <v>1609</v>
      </c>
      <c r="G131" s="505">
        <v>769908583</v>
      </c>
      <c r="H131" s="505">
        <v>285908584</v>
      </c>
      <c r="I131" s="505">
        <f t="shared" ref="I131:I194" si="2">+G131-H131</f>
        <v>483999999</v>
      </c>
      <c r="J131" s="503" t="s">
        <v>2062</v>
      </c>
      <c r="K131" s="506" t="s">
        <v>1831</v>
      </c>
      <c r="L131" s="499"/>
      <c r="M131" s="500"/>
    </row>
    <row r="132" spans="1:13" ht="15" hidden="1" customHeight="1" x14ac:dyDescent="0.25">
      <c r="A132" s="486" t="s">
        <v>2066</v>
      </c>
      <c r="B132" s="502">
        <v>7116</v>
      </c>
      <c r="C132" s="507" t="s">
        <v>2038</v>
      </c>
      <c r="D132" s="503" t="s">
        <v>1952</v>
      </c>
      <c r="E132" s="504" t="s">
        <v>1610</v>
      </c>
      <c r="F132" s="504" t="s">
        <v>1611</v>
      </c>
      <c r="G132" s="505">
        <v>453641768</v>
      </c>
      <c r="H132" s="505">
        <v>204711101</v>
      </c>
      <c r="I132" s="505">
        <f t="shared" si="2"/>
        <v>248930667</v>
      </c>
      <c r="J132" s="503" t="s">
        <v>2062</v>
      </c>
      <c r="K132" s="506" t="s">
        <v>1831</v>
      </c>
      <c r="L132" s="499"/>
      <c r="M132" s="500"/>
    </row>
    <row r="133" spans="1:13" ht="15" hidden="1" customHeight="1" x14ac:dyDescent="0.25">
      <c r="A133" s="486" t="s">
        <v>2067</v>
      </c>
      <c r="B133" s="502">
        <v>7116</v>
      </c>
      <c r="C133" s="507" t="s">
        <v>2038</v>
      </c>
      <c r="D133" s="503" t="s">
        <v>1952</v>
      </c>
      <c r="E133" s="504" t="s">
        <v>1612</v>
      </c>
      <c r="F133" s="504" t="s">
        <v>1613</v>
      </c>
      <c r="G133" s="505">
        <v>1000000</v>
      </c>
      <c r="H133" s="505">
        <v>0</v>
      </c>
      <c r="I133" s="505">
        <f t="shared" si="2"/>
        <v>1000000</v>
      </c>
      <c r="J133" s="503" t="s">
        <v>2058</v>
      </c>
      <c r="K133" s="506" t="s">
        <v>2058</v>
      </c>
      <c r="L133" s="499"/>
      <c r="M133" s="500"/>
    </row>
    <row r="134" spans="1:13" ht="15" hidden="1" customHeight="1" x14ac:dyDescent="0.25">
      <c r="A134" s="486" t="s">
        <v>2068</v>
      </c>
      <c r="B134" s="502">
        <v>7116</v>
      </c>
      <c r="C134" s="507" t="s">
        <v>2038</v>
      </c>
      <c r="D134" s="503" t="s">
        <v>1952</v>
      </c>
      <c r="E134" s="504" t="s">
        <v>1614</v>
      </c>
      <c r="F134" s="504" t="s">
        <v>1615</v>
      </c>
      <c r="G134" s="505">
        <v>38627186</v>
      </c>
      <c r="H134" s="505">
        <v>16231660</v>
      </c>
      <c r="I134" s="505">
        <f t="shared" si="2"/>
        <v>22395526</v>
      </c>
      <c r="J134" s="503" t="s">
        <v>2062</v>
      </c>
      <c r="K134" s="506" t="s">
        <v>1831</v>
      </c>
      <c r="L134" s="499"/>
      <c r="M134" s="500"/>
    </row>
    <row r="135" spans="1:13" ht="15" hidden="1" customHeight="1" x14ac:dyDescent="0.25">
      <c r="A135" s="486" t="s">
        <v>2069</v>
      </c>
      <c r="B135" s="502">
        <v>7116</v>
      </c>
      <c r="C135" s="507" t="s">
        <v>2038</v>
      </c>
      <c r="D135" s="503" t="s">
        <v>1952</v>
      </c>
      <c r="E135" s="504" t="s">
        <v>1616</v>
      </c>
      <c r="F135" s="504" t="s">
        <v>1617</v>
      </c>
      <c r="G135" s="505">
        <v>248793759</v>
      </c>
      <c r="H135" s="505">
        <v>105768100</v>
      </c>
      <c r="I135" s="505">
        <f t="shared" si="2"/>
        <v>143025659</v>
      </c>
      <c r="J135" s="503" t="s">
        <v>2062</v>
      </c>
      <c r="K135" s="506" t="s">
        <v>1831</v>
      </c>
      <c r="L135" s="499"/>
      <c r="M135" s="500"/>
    </row>
    <row r="136" spans="1:13" ht="15" hidden="1" customHeight="1" x14ac:dyDescent="0.25">
      <c r="A136" s="486" t="s">
        <v>2070</v>
      </c>
      <c r="B136" s="502">
        <v>7116</v>
      </c>
      <c r="C136" s="507" t="s">
        <v>2038</v>
      </c>
      <c r="D136" s="503" t="s">
        <v>1952</v>
      </c>
      <c r="E136" s="504" t="s">
        <v>1618</v>
      </c>
      <c r="F136" s="504" t="s">
        <v>1619</v>
      </c>
      <c r="G136" s="505">
        <v>44376193</v>
      </c>
      <c r="H136" s="505">
        <v>17623200</v>
      </c>
      <c r="I136" s="505">
        <f t="shared" si="2"/>
        <v>26752993</v>
      </c>
      <c r="J136" s="503" t="s">
        <v>2062</v>
      </c>
      <c r="K136" s="506" t="s">
        <v>1831</v>
      </c>
      <c r="L136" s="499"/>
      <c r="M136" s="500"/>
    </row>
    <row r="137" spans="1:13" ht="15" hidden="1" customHeight="1" x14ac:dyDescent="0.25">
      <c r="A137" s="486" t="s">
        <v>2071</v>
      </c>
      <c r="B137" s="502">
        <v>7116</v>
      </c>
      <c r="C137" s="507" t="s">
        <v>2038</v>
      </c>
      <c r="D137" s="503" t="s">
        <v>1952</v>
      </c>
      <c r="E137" s="504" t="s">
        <v>1620</v>
      </c>
      <c r="F137" s="504" t="s">
        <v>1621</v>
      </c>
      <c r="G137" s="505">
        <v>44376193</v>
      </c>
      <c r="H137" s="505">
        <v>17623200</v>
      </c>
      <c r="I137" s="505">
        <f t="shared" si="2"/>
        <v>26752993</v>
      </c>
      <c r="J137" s="503" t="s">
        <v>2062</v>
      </c>
      <c r="K137" s="506" t="s">
        <v>1831</v>
      </c>
      <c r="L137" s="499"/>
      <c r="M137" s="500"/>
    </row>
    <row r="138" spans="1:13" ht="15" hidden="1" customHeight="1" x14ac:dyDescent="0.25">
      <c r="A138" s="486" t="s">
        <v>2072</v>
      </c>
      <c r="B138" s="502">
        <v>7116</v>
      </c>
      <c r="C138" s="507" t="s">
        <v>2038</v>
      </c>
      <c r="D138" s="503" t="s">
        <v>1952</v>
      </c>
      <c r="E138" s="504" t="s">
        <v>1622</v>
      </c>
      <c r="F138" s="504" t="s">
        <v>1623</v>
      </c>
      <c r="G138" s="505">
        <v>88752385</v>
      </c>
      <c r="H138" s="505">
        <v>35254800</v>
      </c>
      <c r="I138" s="505">
        <f t="shared" si="2"/>
        <v>53497585</v>
      </c>
      <c r="J138" s="503" t="s">
        <v>2062</v>
      </c>
      <c r="K138" s="506" t="s">
        <v>1831</v>
      </c>
      <c r="L138" s="499"/>
      <c r="M138" s="500"/>
    </row>
    <row r="139" spans="1:13" ht="15" hidden="1" customHeight="1" x14ac:dyDescent="0.25">
      <c r="A139" s="486" t="s">
        <v>2073</v>
      </c>
      <c r="B139" s="502">
        <v>7216</v>
      </c>
      <c r="C139" s="507" t="s">
        <v>2038</v>
      </c>
      <c r="D139" s="503" t="s">
        <v>2074</v>
      </c>
      <c r="E139" s="504" t="s">
        <v>1693</v>
      </c>
      <c r="F139" s="504" t="s">
        <v>1694</v>
      </c>
      <c r="G139" s="505">
        <v>194594400</v>
      </c>
      <c r="H139" s="505">
        <v>64433250</v>
      </c>
      <c r="I139" s="505">
        <f t="shared" si="2"/>
        <v>130161150</v>
      </c>
      <c r="J139" s="503" t="s">
        <v>2075</v>
      </c>
      <c r="K139" s="506" t="s">
        <v>2076</v>
      </c>
      <c r="L139" s="499"/>
      <c r="M139" s="500"/>
    </row>
    <row r="140" spans="1:13" ht="15" hidden="1" customHeight="1" x14ac:dyDescent="0.25">
      <c r="A140" s="486" t="s">
        <v>2077</v>
      </c>
      <c r="B140" s="502">
        <v>7316</v>
      </c>
      <c r="C140" s="507" t="s">
        <v>2038</v>
      </c>
      <c r="D140" s="503" t="s">
        <v>1952</v>
      </c>
      <c r="E140" s="504" t="s">
        <v>1600</v>
      </c>
      <c r="F140" s="504" t="s">
        <v>484</v>
      </c>
      <c r="G140" s="505">
        <v>1000000</v>
      </c>
      <c r="H140" s="505">
        <v>194400</v>
      </c>
      <c r="I140" s="505">
        <f t="shared" si="2"/>
        <v>805600</v>
      </c>
      <c r="J140" s="503" t="s">
        <v>2078</v>
      </c>
      <c r="K140" s="506" t="s">
        <v>1831</v>
      </c>
      <c r="L140" s="499"/>
      <c r="M140" s="500"/>
    </row>
    <row r="141" spans="1:13" ht="15" hidden="1" customHeight="1" x14ac:dyDescent="0.25">
      <c r="A141" s="486" t="s">
        <v>2079</v>
      </c>
      <c r="B141" s="502">
        <v>7416</v>
      </c>
      <c r="C141" s="507" t="s">
        <v>2080</v>
      </c>
      <c r="D141" s="503" t="s">
        <v>1798</v>
      </c>
      <c r="E141" s="504" t="s">
        <v>1678</v>
      </c>
      <c r="F141" s="504" t="s">
        <v>1679</v>
      </c>
      <c r="G141" s="505">
        <v>2463538</v>
      </c>
      <c r="H141" s="505">
        <v>2463538</v>
      </c>
      <c r="I141" s="505">
        <f t="shared" si="2"/>
        <v>0</v>
      </c>
      <c r="J141" s="503" t="s">
        <v>2081</v>
      </c>
      <c r="K141" s="506" t="s">
        <v>2082</v>
      </c>
      <c r="L141" s="499"/>
      <c r="M141" s="500"/>
    </row>
    <row r="142" spans="1:13" ht="15" hidden="1" customHeight="1" x14ac:dyDescent="0.25">
      <c r="A142" s="486" t="s">
        <v>2083</v>
      </c>
      <c r="B142" s="502">
        <v>7516</v>
      </c>
      <c r="C142" s="507" t="s">
        <v>2080</v>
      </c>
      <c r="D142" s="503" t="s">
        <v>1833</v>
      </c>
      <c r="E142" s="504" t="s">
        <v>1716</v>
      </c>
      <c r="F142" s="504" t="s">
        <v>1718</v>
      </c>
      <c r="G142" s="505">
        <v>10000000</v>
      </c>
      <c r="H142" s="505">
        <v>10000000</v>
      </c>
      <c r="I142" s="505">
        <f t="shared" si="2"/>
        <v>0</v>
      </c>
      <c r="J142" s="503" t="s">
        <v>2084</v>
      </c>
      <c r="K142" s="506" t="s">
        <v>2085</v>
      </c>
      <c r="L142" s="499"/>
      <c r="M142" s="500"/>
    </row>
    <row r="143" spans="1:13" ht="15" hidden="1" customHeight="1" x14ac:dyDescent="0.25">
      <c r="A143" s="486" t="s">
        <v>2086</v>
      </c>
      <c r="B143" s="502">
        <v>7616</v>
      </c>
      <c r="C143" s="507" t="s">
        <v>2080</v>
      </c>
      <c r="D143" s="503" t="s">
        <v>1833</v>
      </c>
      <c r="E143" s="504" t="s">
        <v>1716</v>
      </c>
      <c r="F143" s="504" t="s">
        <v>1718</v>
      </c>
      <c r="G143" s="505">
        <v>3000000</v>
      </c>
      <c r="H143" s="505">
        <v>3000000</v>
      </c>
      <c r="I143" s="505">
        <f t="shared" si="2"/>
        <v>0</v>
      </c>
      <c r="J143" s="503" t="s">
        <v>2087</v>
      </c>
      <c r="K143" s="506" t="s">
        <v>2088</v>
      </c>
      <c r="L143" s="499"/>
      <c r="M143" s="500"/>
    </row>
    <row r="144" spans="1:13" ht="15" hidden="1" customHeight="1" x14ac:dyDescent="0.25">
      <c r="A144" s="486" t="s">
        <v>2089</v>
      </c>
      <c r="B144" s="502">
        <v>7716</v>
      </c>
      <c r="C144" s="507" t="s">
        <v>2080</v>
      </c>
      <c r="D144" s="503" t="s">
        <v>1833</v>
      </c>
      <c r="E144" s="504" t="s">
        <v>1746</v>
      </c>
      <c r="F144" s="504" t="s">
        <v>350</v>
      </c>
      <c r="G144" s="505">
        <v>16400000</v>
      </c>
      <c r="H144" s="505">
        <v>16400000</v>
      </c>
      <c r="I144" s="505">
        <f t="shared" si="2"/>
        <v>0</v>
      </c>
      <c r="J144" s="503" t="s">
        <v>2090</v>
      </c>
      <c r="K144" s="506" t="s">
        <v>2091</v>
      </c>
      <c r="L144" s="499"/>
      <c r="M144" s="500"/>
    </row>
    <row r="145" spans="1:13" ht="15" hidden="1" customHeight="1" x14ac:dyDescent="0.25">
      <c r="A145" s="486" t="s">
        <v>2092</v>
      </c>
      <c r="B145" s="502">
        <v>7816</v>
      </c>
      <c r="C145" s="507" t="s">
        <v>2080</v>
      </c>
      <c r="D145" s="503" t="s">
        <v>1833</v>
      </c>
      <c r="E145" s="504" t="s">
        <v>1746</v>
      </c>
      <c r="F145" s="504" t="s">
        <v>350</v>
      </c>
      <c r="G145" s="505">
        <v>8000000</v>
      </c>
      <c r="H145" s="505">
        <v>8000000</v>
      </c>
      <c r="I145" s="505">
        <f t="shared" si="2"/>
        <v>0</v>
      </c>
      <c r="J145" s="503" t="s">
        <v>2093</v>
      </c>
      <c r="K145" s="506" t="s">
        <v>2094</v>
      </c>
      <c r="L145" s="499"/>
      <c r="M145" s="500"/>
    </row>
    <row r="146" spans="1:13" ht="15" hidden="1" customHeight="1" x14ac:dyDescent="0.25">
      <c r="A146" s="486" t="s">
        <v>2095</v>
      </c>
      <c r="B146" s="502">
        <v>7916</v>
      </c>
      <c r="C146" s="507" t="s">
        <v>2096</v>
      </c>
      <c r="D146" s="503" t="s">
        <v>1833</v>
      </c>
      <c r="E146" s="504" t="s">
        <v>1716</v>
      </c>
      <c r="F146" s="504" t="s">
        <v>1718</v>
      </c>
      <c r="G146" s="505">
        <v>1700000</v>
      </c>
      <c r="H146" s="505">
        <v>1700000</v>
      </c>
      <c r="I146" s="505">
        <f t="shared" si="2"/>
        <v>0</v>
      </c>
      <c r="J146" s="503" t="s">
        <v>2097</v>
      </c>
      <c r="K146" s="506" t="s">
        <v>2098</v>
      </c>
      <c r="L146" s="499"/>
      <c r="M146" s="500"/>
    </row>
    <row r="147" spans="1:13" ht="15" hidden="1" customHeight="1" x14ac:dyDescent="0.25">
      <c r="A147" s="486" t="s">
        <v>2099</v>
      </c>
      <c r="B147" s="502">
        <v>7916</v>
      </c>
      <c r="C147" s="507" t="s">
        <v>2096</v>
      </c>
      <c r="D147" s="503" t="s">
        <v>1833</v>
      </c>
      <c r="E147" s="504" t="s">
        <v>1763</v>
      </c>
      <c r="F147" s="504" t="s">
        <v>439</v>
      </c>
      <c r="G147" s="505">
        <v>1700000</v>
      </c>
      <c r="H147" s="505">
        <v>1700000</v>
      </c>
      <c r="I147" s="505">
        <f t="shared" si="2"/>
        <v>0</v>
      </c>
      <c r="J147" s="503" t="s">
        <v>2097</v>
      </c>
      <c r="K147" s="506" t="s">
        <v>2098</v>
      </c>
      <c r="L147" s="499"/>
      <c r="M147" s="500"/>
    </row>
    <row r="148" spans="1:13" ht="15" hidden="1" customHeight="1" x14ac:dyDescent="0.25">
      <c r="A148" s="486" t="s">
        <v>2100</v>
      </c>
      <c r="B148" s="502">
        <v>8016</v>
      </c>
      <c r="C148" s="507" t="s">
        <v>2101</v>
      </c>
      <c r="D148" s="503" t="s">
        <v>1798</v>
      </c>
      <c r="E148" s="504" t="s">
        <v>1660</v>
      </c>
      <c r="F148" s="504" t="s">
        <v>1661</v>
      </c>
      <c r="G148" s="505">
        <v>3055651</v>
      </c>
      <c r="H148" s="505">
        <v>2600000</v>
      </c>
      <c r="I148" s="505">
        <f t="shared" si="2"/>
        <v>455651</v>
      </c>
      <c r="J148" s="503" t="s">
        <v>2102</v>
      </c>
      <c r="K148" s="506" t="s">
        <v>2103</v>
      </c>
      <c r="L148" s="499"/>
      <c r="M148" s="500"/>
    </row>
    <row r="149" spans="1:13" ht="15" hidden="1" customHeight="1" x14ac:dyDescent="0.25">
      <c r="A149" s="486" t="s">
        <v>2104</v>
      </c>
      <c r="B149" s="502">
        <v>8116</v>
      </c>
      <c r="C149" s="507" t="s">
        <v>2101</v>
      </c>
      <c r="D149" s="503" t="s">
        <v>1833</v>
      </c>
      <c r="E149" s="504" t="s">
        <v>1716</v>
      </c>
      <c r="F149" s="504" t="s">
        <v>1718</v>
      </c>
      <c r="G149" s="505">
        <v>13000000</v>
      </c>
      <c r="H149" s="505">
        <v>13000000</v>
      </c>
      <c r="I149" s="505">
        <f t="shared" si="2"/>
        <v>0</v>
      </c>
      <c r="J149" s="503" t="s">
        <v>2105</v>
      </c>
      <c r="K149" s="506" t="s">
        <v>2106</v>
      </c>
      <c r="L149" s="499"/>
      <c r="M149" s="500"/>
    </row>
    <row r="150" spans="1:13" ht="15" hidden="1" customHeight="1" x14ac:dyDescent="0.25">
      <c r="A150" s="486" t="s">
        <v>2107</v>
      </c>
      <c r="B150" s="502">
        <v>8216</v>
      </c>
      <c r="C150" s="507" t="s">
        <v>2108</v>
      </c>
      <c r="D150" s="503" t="s">
        <v>1798</v>
      </c>
      <c r="E150" s="504" t="s">
        <v>1639</v>
      </c>
      <c r="F150" s="504" t="s">
        <v>518</v>
      </c>
      <c r="G150" s="505">
        <v>299200</v>
      </c>
      <c r="H150" s="505">
        <v>299200</v>
      </c>
      <c r="I150" s="505">
        <f t="shared" si="2"/>
        <v>0</v>
      </c>
      <c r="J150" s="503" t="s">
        <v>2109</v>
      </c>
      <c r="K150" s="506" t="s">
        <v>2110</v>
      </c>
      <c r="L150" s="499"/>
      <c r="M150" s="500"/>
    </row>
    <row r="151" spans="1:13" ht="15" hidden="1" customHeight="1" x14ac:dyDescent="0.25">
      <c r="A151" s="486" t="s">
        <v>2111</v>
      </c>
      <c r="B151" s="502">
        <v>8216</v>
      </c>
      <c r="C151" s="507" t="s">
        <v>2108</v>
      </c>
      <c r="D151" s="503" t="s">
        <v>1798</v>
      </c>
      <c r="E151" s="504" t="s">
        <v>1640</v>
      </c>
      <c r="F151" s="504" t="s">
        <v>1641</v>
      </c>
      <c r="G151" s="505">
        <v>1267107</v>
      </c>
      <c r="H151" s="505">
        <v>1267107</v>
      </c>
      <c r="I151" s="505">
        <f t="shared" si="2"/>
        <v>0</v>
      </c>
      <c r="J151" s="503" t="s">
        <v>2109</v>
      </c>
      <c r="K151" s="506" t="s">
        <v>2110</v>
      </c>
      <c r="L151" s="499"/>
      <c r="M151" s="500"/>
    </row>
    <row r="152" spans="1:13" ht="15" hidden="1" customHeight="1" x14ac:dyDescent="0.25">
      <c r="A152" s="486" t="s">
        <v>2112</v>
      </c>
      <c r="B152" s="502">
        <v>8216</v>
      </c>
      <c r="C152" s="507" t="s">
        <v>2108</v>
      </c>
      <c r="D152" s="503" t="s">
        <v>1798</v>
      </c>
      <c r="E152" s="504" t="s">
        <v>1644</v>
      </c>
      <c r="F152" s="504" t="s">
        <v>1645</v>
      </c>
      <c r="G152" s="505">
        <v>31220</v>
      </c>
      <c r="H152" s="505">
        <v>31220</v>
      </c>
      <c r="I152" s="505">
        <f t="shared" si="2"/>
        <v>0</v>
      </c>
      <c r="J152" s="503" t="s">
        <v>2109</v>
      </c>
      <c r="K152" s="506" t="s">
        <v>2110</v>
      </c>
      <c r="L152" s="499"/>
      <c r="M152" s="500"/>
    </row>
    <row r="153" spans="1:13" ht="15" hidden="1" customHeight="1" x14ac:dyDescent="0.25">
      <c r="A153" s="486" t="s">
        <v>2113</v>
      </c>
      <c r="B153" s="502">
        <v>8216</v>
      </c>
      <c r="C153" s="507" t="s">
        <v>2108</v>
      </c>
      <c r="D153" s="503" t="s">
        <v>1798</v>
      </c>
      <c r="E153" s="504" t="s">
        <v>1646</v>
      </c>
      <c r="F153" s="504" t="s">
        <v>520</v>
      </c>
      <c r="G153" s="505">
        <v>272500</v>
      </c>
      <c r="H153" s="505">
        <v>272500</v>
      </c>
      <c r="I153" s="505">
        <f t="shared" si="2"/>
        <v>0</v>
      </c>
      <c r="J153" s="503" t="s">
        <v>2109</v>
      </c>
      <c r="K153" s="506" t="s">
        <v>2110</v>
      </c>
      <c r="L153" s="499"/>
      <c r="M153" s="500"/>
    </row>
    <row r="154" spans="1:13" ht="15" customHeight="1" x14ac:dyDescent="0.25">
      <c r="A154" s="486" t="s">
        <v>2114</v>
      </c>
      <c r="B154" s="502">
        <v>8216</v>
      </c>
      <c r="C154" s="507" t="s">
        <v>2108</v>
      </c>
      <c r="D154" s="503" t="s">
        <v>1798</v>
      </c>
      <c r="E154" s="504" t="s">
        <v>1647</v>
      </c>
      <c r="F154" s="504" t="s">
        <v>1091</v>
      </c>
      <c r="G154" s="505">
        <v>12000</v>
      </c>
      <c r="H154" s="535">
        <v>12000</v>
      </c>
      <c r="I154" s="505">
        <f t="shared" si="2"/>
        <v>0</v>
      </c>
      <c r="J154" s="503" t="s">
        <v>2109</v>
      </c>
      <c r="K154" s="506" t="s">
        <v>2110</v>
      </c>
      <c r="L154" s="499"/>
      <c r="M154" s="500"/>
    </row>
    <row r="155" spans="1:13" ht="15" hidden="1" customHeight="1" x14ac:dyDescent="0.25">
      <c r="A155" s="486" t="s">
        <v>2115</v>
      </c>
      <c r="B155" s="502">
        <v>8216</v>
      </c>
      <c r="C155" s="507" t="s">
        <v>2108</v>
      </c>
      <c r="D155" s="503" t="s">
        <v>1798</v>
      </c>
      <c r="E155" s="504" t="s">
        <v>1656</v>
      </c>
      <c r="F155" s="504" t="s">
        <v>493</v>
      </c>
      <c r="G155" s="505">
        <v>66500</v>
      </c>
      <c r="H155" s="505">
        <v>66500</v>
      </c>
      <c r="I155" s="505">
        <f t="shared" si="2"/>
        <v>0</v>
      </c>
      <c r="J155" s="503" t="s">
        <v>2109</v>
      </c>
      <c r="K155" s="506" t="s">
        <v>2110</v>
      </c>
      <c r="L155" s="499"/>
      <c r="M155" s="500"/>
    </row>
    <row r="156" spans="1:13" ht="15" hidden="1" customHeight="1" x14ac:dyDescent="0.25">
      <c r="A156" s="486" t="s">
        <v>2116</v>
      </c>
      <c r="B156" s="502">
        <v>8216</v>
      </c>
      <c r="C156" s="507" t="s">
        <v>2108</v>
      </c>
      <c r="D156" s="503" t="s">
        <v>1798</v>
      </c>
      <c r="E156" s="504" t="s">
        <v>1648</v>
      </c>
      <c r="F156" s="504" t="s">
        <v>1649</v>
      </c>
      <c r="G156" s="505">
        <v>530000</v>
      </c>
      <c r="H156" s="505">
        <v>530000</v>
      </c>
      <c r="I156" s="505">
        <f t="shared" si="2"/>
        <v>0</v>
      </c>
      <c r="J156" s="503" t="s">
        <v>2109</v>
      </c>
      <c r="K156" s="506" t="s">
        <v>2110</v>
      </c>
      <c r="L156" s="499"/>
      <c r="M156" s="500"/>
    </row>
    <row r="157" spans="1:13" ht="15" hidden="1" customHeight="1" x14ac:dyDescent="0.25">
      <c r="A157" s="486" t="s">
        <v>2117</v>
      </c>
      <c r="B157" s="502">
        <v>8216</v>
      </c>
      <c r="C157" s="507" t="s">
        <v>2108</v>
      </c>
      <c r="D157" s="503" t="s">
        <v>1798</v>
      </c>
      <c r="E157" s="504" t="s">
        <v>1657</v>
      </c>
      <c r="F157" s="504" t="s">
        <v>494</v>
      </c>
      <c r="G157" s="505">
        <v>22000</v>
      </c>
      <c r="H157" s="505">
        <v>22000</v>
      </c>
      <c r="I157" s="505">
        <f t="shared" si="2"/>
        <v>0</v>
      </c>
      <c r="J157" s="503" t="s">
        <v>2109</v>
      </c>
      <c r="K157" s="506" t="s">
        <v>2110</v>
      </c>
      <c r="L157" s="499"/>
      <c r="M157" s="500"/>
    </row>
    <row r="158" spans="1:13" ht="15" hidden="1" customHeight="1" x14ac:dyDescent="0.25">
      <c r="A158" s="486" t="s">
        <v>2118</v>
      </c>
      <c r="B158" s="502">
        <v>8216</v>
      </c>
      <c r="C158" s="507" t="s">
        <v>2108</v>
      </c>
      <c r="D158" s="503" t="s">
        <v>1798</v>
      </c>
      <c r="E158" s="504" t="s">
        <v>1659</v>
      </c>
      <c r="F158" s="504" t="s">
        <v>496</v>
      </c>
      <c r="G158" s="505">
        <v>132700</v>
      </c>
      <c r="H158" s="505">
        <v>132700</v>
      </c>
      <c r="I158" s="505">
        <f t="shared" si="2"/>
        <v>0</v>
      </c>
      <c r="J158" s="503" t="s">
        <v>2109</v>
      </c>
      <c r="K158" s="506" t="s">
        <v>2110</v>
      </c>
      <c r="L158" s="499"/>
      <c r="M158" s="500"/>
    </row>
    <row r="159" spans="1:13" ht="15" hidden="1" customHeight="1" x14ac:dyDescent="0.25">
      <c r="A159" s="486" t="s">
        <v>2119</v>
      </c>
      <c r="B159" s="502">
        <v>8216</v>
      </c>
      <c r="C159" s="507" t="s">
        <v>2108</v>
      </c>
      <c r="D159" s="503" t="s">
        <v>1798</v>
      </c>
      <c r="E159" s="504" t="s">
        <v>1665</v>
      </c>
      <c r="F159" s="504" t="s">
        <v>1666</v>
      </c>
      <c r="G159" s="505">
        <v>64880</v>
      </c>
      <c r="H159" s="505">
        <v>64880</v>
      </c>
      <c r="I159" s="505">
        <f t="shared" si="2"/>
        <v>0</v>
      </c>
      <c r="J159" s="503" t="s">
        <v>2109</v>
      </c>
      <c r="K159" s="506" t="s">
        <v>2110</v>
      </c>
      <c r="L159" s="499"/>
      <c r="M159" s="500"/>
    </row>
    <row r="160" spans="1:13" ht="15" hidden="1" customHeight="1" x14ac:dyDescent="0.25">
      <c r="A160" s="486" t="s">
        <v>2120</v>
      </c>
      <c r="B160" s="502">
        <v>8316</v>
      </c>
      <c r="C160" s="507" t="s">
        <v>2108</v>
      </c>
      <c r="D160" s="503" t="s">
        <v>1833</v>
      </c>
      <c r="E160" s="504" t="s">
        <v>1761</v>
      </c>
      <c r="F160" s="504" t="s">
        <v>430</v>
      </c>
      <c r="G160" s="505">
        <v>8000000</v>
      </c>
      <c r="H160" s="505">
        <v>8000000</v>
      </c>
      <c r="I160" s="505">
        <f t="shared" si="2"/>
        <v>0</v>
      </c>
      <c r="J160" s="503" t="s">
        <v>2121</v>
      </c>
      <c r="K160" s="506" t="s">
        <v>2122</v>
      </c>
      <c r="L160" s="499"/>
      <c r="M160" s="500"/>
    </row>
    <row r="161" spans="1:13" ht="15" hidden="1" customHeight="1" x14ac:dyDescent="0.25">
      <c r="A161" s="486" t="s">
        <v>2123</v>
      </c>
      <c r="B161" s="502">
        <v>8416</v>
      </c>
      <c r="C161" s="507" t="s">
        <v>2108</v>
      </c>
      <c r="D161" s="503" t="s">
        <v>1833</v>
      </c>
      <c r="E161" s="504" t="s">
        <v>1761</v>
      </c>
      <c r="F161" s="504" t="s">
        <v>430</v>
      </c>
      <c r="G161" s="505">
        <v>37300000</v>
      </c>
      <c r="H161" s="505">
        <v>0</v>
      </c>
      <c r="I161" s="505">
        <f t="shared" si="2"/>
        <v>37300000</v>
      </c>
      <c r="J161" s="503" t="s">
        <v>2058</v>
      </c>
      <c r="K161" s="506" t="s">
        <v>2058</v>
      </c>
      <c r="L161" s="499"/>
      <c r="M161" s="500"/>
    </row>
    <row r="162" spans="1:13" ht="15" customHeight="1" x14ac:dyDescent="0.25">
      <c r="A162" s="486" t="s">
        <v>2124</v>
      </c>
      <c r="B162" s="502">
        <v>8516</v>
      </c>
      <c r="C162" s="507" t="s">
        <v>2108</v>
      </c>
      <c r="D162" s="503" t="s">
        <v>1798</v>
      </c>
      <c r="E162" s="504" t="s">
        <v>1647</v>
      </c>
      <c r="F162" s="504" t="s">
        <v>1091</v>
      </c>
      <c r="G162" s="505">
        <v>644733</v>
      </c>
      <c r="H162" s="535">
        <v>550000</v>
      </c>
      <c r="I162" s="505">
        <f t="shared" si="2"/>
        <v>94733</v>
      </c>
      <c r="J162" s="503" t="s">
        <v>2125</v>
      </c>
      <c r="K162" s="506" t="s">
        <v>2126</v>
      </c>
      <c r="L162" s="499"/>
      <c r="M162" s="500"/>
    </row>
    <row r="163" spans="1:13" ht="15" hidden="1" customHeight="1" x14ac:dyDescent="0.25">
      <c r="A163" s="486" t="s">
        <v>2127</v>
      </c>
      <c r="B163" s="502">
        <v>8616</v>
      </c>
      <c r="C163" s="507" t="s">
        <v>2128</v>
      </c>
      <c r="D163" s="503" t="s">
        <v>1798</v>
      </c>
      <c r="E163" s="504" t="s">
        <v>1650</v>
      </c>
      <c r="F163" s="504" t="s">
        <v>1651</v>
      </c>
      <c r="G163" s="505">
        <v>3990000</v>
      </c>
      <c r="H163" s="505">
        <v>3750000</v>
      </c>
      <c r="I163" s="505">
        <f t="shared" si="2"/>
        <v>240000</v>
      </c>
      <c r="J163" s="503" t="s">
        <v>2129</v>
      </c>
      <c r="K163" s="506" t="s">
        <v>2130</v>
      </c>
      <c r="L163" s="499"/>
      <c r="M163" s="500"/>
    </row>
    <row r="164" spans="1:13" ht="15" hidden="1" customHeight="1" x14ac:dyDescent="0.25">
      <c r="A164" s="486" t="s">
        <v>2131</v>
      </c>
      <c r="B164" s="502">
        <v>8716</v>
      </c>
      <c r="C164" s="507" t="s">
        <v>2132</v>
      </c>
      <c r="D164" s="503" t="s">
        <v>1833</v>
      </c>
      <c r="E164" s="504" t="s">
        <v>1746</v>
      </c>
      <c r="F164" s="504" t="s">
        <v>350</v>
      </c>
      <c r="G164" s="505">
        <v>74910000</v>
      </c>
      <c r="H164" s="505">
        <v>64500000</v>
      </c>
      <c r="I164" s="505">
        <f t="shared" si="2"/>
        <v>10410000</v>
      </c>
      <c r="J164" s="503" t="s">
        <v>2133</v>
      </c>
      <c r="K164" s="506" t="s">
        <v>2134</v>
      </c>
      <c r="L164" s="499"/>
      <c r="M164" s="500"/>
    </row>
    <row r="165" spans="1:13" ht="15" hidden="1" customHeight="1" x14ac:dyDescent="0.25">
      <c r="A165" s="486" t="s">
        <v>2135</v>
      </c>
      <c r="B165" s="502">
        <v>8816</v>
      </c>
      <c r="C165" s="507" t="s">
        <v>2132</v>
      </c>
      <c r="D165" s="503" t="s">
        <v>1833</v>
      </c>
      <c r="E165" s="504" t="s">
        <v>1746</v>
      </c>
      <c r="F165" s="504" t="s">
        <v>350</v>
      </c>
      <c r="G165" s="505">
        <v>219670546</v>
      </c>
      <c r="H165" s="505">
        <v>219670546</v>
      </c>
      <c r="I165" s="505">
        <f t="shared" si="2"/>
        <v>0</v>
      </c>
      <c r="J165" s="503" t="s">
        <v>2136</v>
      </c>
      <c r="K165" s="506" t="s">
        <v>2137</v>
      </c>
      <c r="L165" s="499"/>
      <c r="M165" s="500"/>
    </row>
    <row r="166" spans="1:13" ht="15" hidden="1" customHeight="1" x14ac:dyDescent="0.25">
      <c r="A166" s="486" t="s">
        <v>2138</v>
      </c>
      <c r="B166" s="502">
        <v>8916</v>
      </c>
      <c r="C166" s="507" t="s">
        <v>2132</v>
      </c>
      <c r="D166" s="503" t="s">
        <v>1952</v>
      </c>
      <c r="E166" s="504" t="s">
        <v>1599</v>
      </c>
      <c r="F166" s="504" t="s">
        <v>428</v>
      </c>
      <c r="G166" s="505">
        <v>14000000</v>
      </c>
      <c r="H166" s="505">
        <v>14000000</v>
      </c>
      <c r="I166" s="505">
        <f t="shared" si="2"/>
        <v>0</v>
      </c>
      <c r="J166" s="503" t="s">
        <v>2139</v>
      </c>
      <c r="K166" s="506" t="s">
        <v>2140</v>
      </c>
      <c r="L166" s="499"/>
      <c r="M166" s="500"/>
    </row>
    <row r="167" spans="1:13" ht="15" hidden="1" customHeight="1" x14ac:dyDescent="0.25">
      <c r="A167" s="486" t="s">
        <v>2141</v>
      </c>
      <c r="B167" s="502">
        <v>9016</v>
      </c>
      <c r="C167" s="507" t="s">
        <v>2132</v>
      </c>
      <c r="D167" s="503" t="s">
        <v>1952</v>
      </c>
      <c r="E167" s="504" t="s">
        <v>1599</v>
      </c>
      <c r="F167" s="504" t="s">
        <v>428</v>
      </c>
      <c r="G167" s="505">
        <v>14000000</v>
      </c>
      <c r="H167" s="505">
        <v>14000000</v>
      </c>
      <c r="I167" s="505">
        <f t="shared" si="2"/>
        <v>0</v>
      </c>
      <c r="J167" s="503" t="s">
        <v>2142</v>
      </c>
      <c r="K167" s="506" t="s">
        <v>2143</v>
      </c>
      <c r="L167" s="499"/>
      <c r="M167" s="500"/>
    </row>
    <row r="168" spans="1:13" ht="15" hidden="1" customHeight="1" x14ac:dyDescent="0.25">
      <c r="A168" s="486" t="s">
        <v>2144</v>
      </c>
      <c r="B168" s="502">
        <v>9116</v>
      </c>
      <c r="C168" s="507" t="s">
        <v>2132</v>
      </c>
      <c r="D168" s="503" t="s">
        <v>1952</v>
      </c>
      <c r="E168" s="504" t="s">
        <v>1599</v>
      </c>
      <c r="F168" s="504" t="s">
        <v>428</v>
      </c>
      <c r="G168" s="505">
        <v>17000000</v>
      </c>
      <c r="H168" s="505">
        <v>17000000</v>
      </c>
      <c r="I168" s="505">
        <f t="shared" si="2"/>
        <v>0</v>
      </c>
      <c r="J168" s="503" t="s">
        <v>2145</v>
      </c>
      <c r="K168" s="506" t="s">
        <v>2146</v>
      </c>
      <c r="L168" s="499"/>
      <c r="M168" s="500"/>
    </row>
    <row r="169" spans="1:13" ht="15" hidden="1" customHeight="1" x14ac:dyDescent="0.25">
      <c r="A169" s="486" t="s">
        <v>2147</v>
      </c>
      <c r="B169" s="502">
        <v>9216</v>
      </c>
      <c r="C169" s="507" t="s">
        <v>2132</v>
      </c>
      <c r="D169" s="503" t="s">
        <v>1952</v>
      </c>
      <c r="E169" s="504" t="s">
        <v>1599</v>
      </c>
      <c r="F169" s="504" t="s">
        <v>428</v>
      </c>
      <c r="G169" s="505">
        <v>17000000</v>
      </c>
      <c r="H169" s="505">
        <v>17000000</v>
      </c>
      <c r="I169" s="505">
        <f t="shared" si="2"/>
        <v>0</v>
      </c>
      <c r="J169" s="503" t="s">
        <v>2148</v>
      </c>
      <c r="K169" s="506" t="s">
        <v>2149</v>
      </c>
      <c r="L169" s="499"/>
      <c r="M169" s="500"/>
    </row>
    <row r="170" spans="1:13" ht="15" hidden="1" customHeight="1" x14ac:dyDescent="0.25">
      <c r="A170" s="486" t="s">
        <v>2150</v>
      </c>
      <c r="B170" s="502">
        <v>9316</v>
      </c>
      <c r="C170" s="507" t="s">
        <v>2151</v>
      </c>
      <c r="D170" s="503" t="s">
        <v>1833</v>
      </c>
      <c r="E170" s="504" t="s">
        <v>1716</v>
      </c>
      <c r="F170" s="504" t="s">
        <v>1718</v>
      </c>
      <c r="G170" s="505">
        <v>17000000</v>
      </c>
      <c r="H170" s="505">
        <v>17000000</v>
      </c>
      <c r="I170" s="505">
        <f t="shared" si="2"/>
        <v>0</v>
      </c>
      <c r="J170" s="503" t="s">
        <v>2152</v>
      </c>
      <c r="K170" s="506" t="s">
        <v>2153</v>
      </c>
      <c r="L170" s="499"/>
      <c r="M170" s="500"/>
    </row>
    <row r="171" spans="1:13" ht="15" hidden="1" customHeight="1" x14ac:dyDescent="0.25">
      <c r="A171" s="486" t="s">
        <v>2154</v>
      </c>
      <c r="B171" s="502">
        <v>9416</v>
      </c>
      <c r="C171" s="507" t="s">
        <v>2155</v>
      </c>
      <c r="D171" s="503" t="s">
        <v>1833</v>
      </c>
      <c r="E171" s="504" t="s">
        <v>1716</v>
      </c>
      <c r="F171" s="504" t="s">
        <v>1718</v>
      </c>
      <c r="G171" s="505">
        <v>1500000</v>
      </c>
      <c r="H171" s="505">
        <v>1500000</v>
      </c>
      <c r="I171" s="505">
        <f t="shared" si="2"/>
        <v>0</v>
      </c>
      <c r="J171" s="503" t="s">
        <v>2156</v>
      </c>
      <c r="K171" s="506" t="s">
        <v>2157</v>
      </c>
      <c r="L171" s="499"/>
      <c r="M171" s="500"/>
    </row>
    <row r="172" spans="1:13" ht="15" hidden="1" customHeight="1" x14ac:dyDescent="0.25">
      <c r="A172" s="486" t="s">
        <v>2158</v>
      </c>
      <c r="B172" s="502">
        <v>9516</v>
      </c>
      <c r="C172" s="507" t="s">
        <v>2155</v>
      </c>
      <c r="D172" s="503" t="s">
        <v>1833</v>
      </c>
      <c r="E172" s="504" t="s">
        <v>1716</v>
      </c>
      <c r="F172" s="504" t="s">
        <v>1718</v>
      </c>
      <c r="G172" s="505">
        <v>1500000</v>
      </c>
      <c r="H172" s="505">
        <v>1500000</v>
      </c>
      <c r="I172" s="505">
        <f t="shared" si="2"/>
        <v>0</v>
      </c>
      <c r="J172" s="503" t="s">
        <v>2156</v>
      </c>
      <c r="K172" s="506" t="s">
        <v>2159</v>
      </c>
      <c r="L172" s="499"/>
      <c r="M172" s="500"/>
    </row>
    <row r="173" spans="1:13" ht="15" hidden="1" customHeight="1" x14ac:dyDescent="0.25">
      <c r="A173" s="486" t="s">
        <v>2160</v>
      </c>
      <c r="B173" s="502">
        <v>9616</v>
      </c>
      <c r="C173" s="507" t="s">
        <v>2155</v>
      </c>
      <c r="D173" s="503" t="s">
        <v>1833</v>
      </c>
      <c r="E173" s="504" t="s">
        <v>1716</v>
      </c>
      <c r="F173" s="504" t="s">
        <v>1718</v>
      </c>
      <c r="G173" s="505">
        <v>4000000</v>
      </c>
      <c r="H173" s="505">
        <v>4000000</v>
      </c>
      <c r="I173" s="505">
        <f t="shared" si="2"/>
        <v>0</v>
      </c>
      <c r="J173" s="503" t="s">
        <v>2161</v>
      </c>
      <c r="K173" s="506" t="s">
        <v>2162</v>
      </c>
      <c r="L173" s="499"/>
      <c r="M173" s="500"/>
    </row>
    <row r="174" spans="1:13" ht="15" hidden="1" customHeight="1" x14ac:dyDescent="0.25">
      <c r="A174" s="486" t="s">
        <v>2163</v>
      </c>
      <c r="B174" s="502">
        <v>9716</v>
      </c>
      <c r="C174" s="507" t="s">
        <v>2155</v>
      </c>
      <c r="D174" s="503" t="s">
        <v>1833</v>
      </c>
      <c r="E174" s="504" t="s">
        <v>1716</v>
      </c>
      <c r="F174" s="504" t="s">
        <v>1718</v>
      </c>
      <c r="G174" s="505">
        <v>4000000</v>
      </c>
      <c r="H174" s="505">
        <v>4000000</v>
      </c>
      <c r="I174" s="505">
        <f t="shared" si="2"/>
        <v>0</v>
      </c>
      <c r="J174" s="503" t="s">
        <v>2161</v>
      </c>
      <c r="K174" s="506" t="s">
        <v>2164</v>
      </c>
      <c r="L174" s="499"/>
      <c r="M174" s="500"/>
    </row>
    <row r="175" spans="1:13" ht="15" hidden="1" customHeight="1" x14ac:dyDescent="0.25">
      <c r="A175" s="486" t="s">
        <v>2165</v>
      </c>
      <c r="B175" s="502">
        <v>9816</v>
      </c>
      <c r="C175" s="507" t="s">
        <v>2155</v>
      </c>
      <c r="D175" s="503" t="s">
        <v>1833</v>
      </c>
      <c r="E175" s="504" t="s">
        <v>1716</v>
      </c>
      <c r="F175" s="504" t="s">
        <v>1718</v>
      </c>
      <c r="G175" s="505">
        <v>2300000</v>
      </c>
      <c r="H175" s="505">
        <v>2300000</v>
      </c>
      <c r="I175" s="505">
        <f t="shared" si="2"/>
        <v>0</v>
      </c>
      <c r="J175" s="503" t="s">
        <v>2166</v>
      </c>
      <c r="K175" s="506" t="s">
        <v>2167</v>
      </c>
      <c r="L175" s="499"/>
      <c r="M175" s="500"/>
    </row>
    <row r="176" spans="1:13" ht="15" hidden="1" customHeight="1" x14ac:dyDescent="0.25">
      <c r="A176" s="486" t="s">
        <v>2168</v>
      </c>
      <c r="B176" s="502">
        <v>9916</v>
      </c>
      <c r="C176" s="503" t="s">
        <v>2155</v>
      </c>
      <c r="D176" s="503" t="s">
        <v>1833</v>
      </c>
      <c r="E176" s="504" t="s">
        <v>1716</v>
      </c>
      <c r="F176" s="504" t="s">
        <v>1718</v>
      </c>
      <c r="G176" s="505">
        <v>2300000</v>
      </c>
      <c r="H176" s="505">
        <v>2300000</v>
      </c>
      <c r="I176" s="505">
        <f t="shared" si="2"/>
        <v>0</v>
      </c>
      <c r="J176" s="503" t="s">
        <v>2166</v>
      </c>
      <c r="K176" s="506" t="s">
        <v>2169</v>
      </c>
      <c r="L176" s="499">
        <f>+IFERROR(VLOOKUP($A176,[1]Hoja4!$A$1:$B$182,2,0),0)</f>
        <v>2300000</v>
      </c>
      <c r="M176" s="500"/>
    </row>
    <row r="177" spans="1:13" ht="15" hidden="1" customHeight="1" x14ac:dyDescent="0.25">
      <c r="A177" s="486" t="s">
        <v>2170</v>
      </c>
      <c r="B177" s="502">
        <v>10016</v>
      </c>
      <c r="C177" s="503" t="s">
        <v>2171</v>
      </c>
      <c r="D177" s="503" t="s">
        <v>1798</v>
      </c>
      <c r="E177" s="504" t="s">
        <v>1688</v>
      </c>
      <c r="F177" s="504" t="s">
        <v>510</v>
      </c>
      <c r="G177" s="505">
        <v>5000000</v>
      </c>
      <c r="H177" s="505">
        <v>4000000</v>
      </c>
      <c r="I177" s="505">
        <f t="shared" si="2"/>
        <v>1000000</v>
      </c>
      <c r="J177" s="503" t="s">
        <v>2172</v>
      </c>
      <c r="K177" s="506" t="s">
        <v>2173</v>
      </c>
      <c r="L177" s="499">
        <f>+IFERROR(VLOOKUP($A177,[1]Hoja4!$A$1:$B$182,2,0),0)</f>
        <v>0</v>
      </c>
      <c r="M177" s="500"/>
    </row>
    <row r="178" spans="1:13" ht="15" hidden="1" customHeight="1" x14ac:dyDescent="0.25">
      <c r="A178" s="486" t="s">
        <v>2174</v>
      </c>
      <c r="B178" s="502">
        <v>10116</v>
      </c>
      <c r="C178" s="503" t="s">
        <v>2175</v>
      </c>
      <c r="D178" s="503" t="s">
        <v>1833</v>
      </c>
      <c r="E178" s="504" t="s">
        <v>1716</v>
      </c>
      <c r="F178" s="504" t="s">
        <v>1718</v>
      </c>
      <c r="G178" s="505">
        <v>17000000</v>
      </c>
      <c r="H178" s="505">
        <v>17000000</v>
      </c>
      <c r="I178" s="505">
        <f t="shared" si="2"/>
        <v>0</v>
      </c>
      <c r="J178" s="503" t="s">
        <v>2176</v>
      </c>
      <c r="K178" s="506" t="s">
        <v>2177</v>
      </c>
      <c r="L178" s="499">
        <f>+IFERROR(VLOOKUP($A178,[1]Hoja4!$A$1:$B$182,2,0),0)</f>
        <v>17000000</v>
      </c>
      <c r="M178" s="500"/>
    </row>
    <row r="179" spans="1:13" ht="15" hidden="1" customHeight="1" x14ac:dyDescent="0.25">
      <c r="A179" s="486" t="s">
        <v>2178</v>
      </c>
      <c r="B179" s="502">
        <v>10216</v>
      </c>
      <c r="C179" s="503" t="s">
        <v>2175</v>
      </c>
      <c r="D179" s="503" t="s">
        <v>1833</v>
      </c>
      <c r="E179" s="504" t="s">
        <v>1763</v>
      </c>
      <c r="F179" s="504" t="s">
        <v>439</v>
      </c>
      <c r="G179" s="505">
        <v>6600000</v>
      </c>
      <c r="H179" s="505">
        <v>6600000</v>
      </c>
      <c r="I179" s="505">
        <f t="shared" si="2"/>
        <v>0</v>
      </c>
      <c r="J179" s="503" t="s">
        <v>2179</v>
      </c>
      <c r="K179" s="506" t="s">
        <v>2180</v>
      </c>
      <c r="L179" s="499">
        <f>+IFERROR(VLOOKUP($A179,[1]Hoja4!$A$1:$B$182,2,0),0)</f>
        <v>6600000</v>
      </c>
      <c r="M179" s="500"/>
    </row>
    <row r="180" spans="1:13" ht="15" hidden="1" customHeight="1" x14ac:dyDescent="0.25">
      <c r="A180" s="486" t="s">
        <v>2181</v>
      </c>
      <c r="B180" s="502">
        <v>10316</v>
      </c>
      <c r="C180" s="503" t="s">
        <v>2182</v>
      </c>
      <c r="D180" s="503" t="s">
        <v>1833</v>
      </c>
      <c r="E180" s="504" t="s">
        <v>1746</v>
      </c>
      <c r="F180" s="504" t="s">
        <v>350</v>
      </c>
      <c r="G180" s="505">
        <v>245969862</v>
      </c>
      <c r="H180" s="505">
        <v>232005988.5</v>
      </c>
      <c r="I180" s="505">
        <f t="shared" si="2"/>
        <v>13963873.5</v>
      </c>
      <c r="J180" s="503" t="s">
        <v>2183</v>
      </c>
      <c r="K180" s="506" t="s">
        <v>2184</v>
      </c>
      <c r="L180" s="499">
        <f>+IFERROR(VLOOKUP($A180,[1]Hoja4!$A$1:$B$182,2,0),0)</f>
        <v>0</v>
      </c>
      <c r="M180" s="500"/>
    </row>
    <row r="181" spans="1:13" ht="15" hidden="1" customHeight="1" x14ac:dyDescent="0.25">
      <c r="A181" s="486" t="s">
        <v>2185</v>
      </c>
      <c r="B181" s="502">
        <v>10416</v>
      </c>
      <c r="C181" s="503" t="s">
        <v>2186</v>
      </c>
      <c r="D181" s="503" t="s">
        <v>1798</v>
      </c>
      <c r="E181" s="504" t="s">
        <v>1684</v>
      </c>
      <c r="F181" s="504" t="s">
        <v>1685</v>
      </c>
      <c r="G181" s="505">
        <v>6000000</v>
      </c>
      <c r="H181" s="505">
        <v>6000000</v>
      </c>
      <c r="I181" s="505">
        <f t="shared" si="2"/>
        <v>0</v>
      </c>
      <c r="J181" s="503" t="s">
        <v>2187</v>
      </c>
      <c r="K181" s="506" t="s">
        <v>2188</v>
      </c>
      <c r="L181" s="499">
        <f>+IFERROR(VLOOKUP($A181,[1]Hoja4!$A$1:$B$182,2,0),0)</f>
        <v>0</v>
      </c>
      <c r="M181" s="500"/>
    </row>
    <row r="182" spans="1:13" ht="15" hidden="1" customHeight="1" x14ac:dyDescent="0.25">
      <c r="A182" s="486" t="s">
        <v>2189</v>
      </c>
      <c r="B182" s="502">
        <v>10416</v>
      </c>
      <c r="C182" s="503" t="s">
        <v>2186</v>
      </c>
      <c r="D182" s="503" t="s">
        <v>1798</v>
      </c>
      <c r="E182" s="504" t="s">
        <v>1686</v>
      </c>
      <c r="F182" s="504" t="s">
        <v>1687</v>
      </c>
      <c r="G182" s="505">
        <v>11000000</v>
      </c>
      <c r="H182" s="505">
        <v>9000000</v>
      </c>
      <c r="I182" s="505">
        <f t="shared" si="2"/>
        <v>2000000</v>
      </c>
      <c r="J182" s="503" t="s">
        <v>2187</v>
      </c>
      <c r="K182" s="506" t="s">
        <v>2188</v>
      </c>
      <c r="L182" s="499">
        <f>+IFERROR(VLOOKUP($A182,[1]Hoja4!$A$1:$B$182,2,0),0)</f>
        <v>0</v>
      </c>
      <c r="M182" s="500"/>
    </row>
    <row r="183" spans="1:13" ht="15" hidden="1" customHeight="1" x14ac:dyDescent="0.25">
      <c r="A183" s="486" t="s">
        <v>2190</v>
      </c>
      <c r="B183" s="502">
        <v>10516</v>
      </c>
      <c r="C183" s="503" t="s">
        <v>2191</v>
      </c>
      <c r="D183" s="503" t="s">
        <v>1833</v>
      </c>
      <c r="E183" s="504" t="s">
        <v>1716</v>
      </c>
      <c r="F183" s="504" t="s">
        <v>1718</v>
      </c>
      <c r="G183" s="505">
        <v>7000000</v>
      </c>
      <c r="H183" s="505">
        <v>7000000</v>
      </c>
      <c r="I183" s="505">
        <f t="shared" si="2"/>
        <v>0</v>
      </c>
      <c r="J183" s="503" t="s">
        <v>2192</v>
      </c>
      <c r="K183" s="506" t="s">
        <v>2193</v>
      </c>
      <c r="L183" s="499">
        <f>+IFERROR(VLOOKUP($A183,[1]Hoja4!$A$1:$B$182,2,0),0)</f>
        <v>7000000</v>
      </c>
      <c r="M183" s="500"/>
    </row>
    <row r="184" spans="1:13" ht="15" hidden="1" customHeight="1" x14ac:dyDescent="0.25">
      <c r="A184" s="486" t="s">
        <v>2194</v>
      </c>
      <c r="B184" s="502">
        <v>10616</v>
      </c>
      <c r="C184" s="503" t="s">
        <v>2195</v>
      </c>
      <c r="D184" s="503" t="s">
        <v>1798</v>
      </c>
      <c r="E184" s="504" t="s">
        <v>1637</v>
      </c>
      <c r="F184" s="504" t="s">
        <v>1638</v>
      </c>
      <c r="G184" s="505">
        <v>4800000</v>
      </c>
      <c r="H184" s="505">
        <v>4705929.4000000004</v>
      </c>
      <c r="I184" s="505">
        <f t="shared" si="2"/>
        <v>94070.599999999627</v>
      </c>
      <c r="J184" s="503" t="s">
        <v>2196</v>
      </c>
      <c r="K184" s="506" t="s">
        <v>2197</v>
      </c>
      <c r="L184" s="499">
        <f>+IFERROR(VLOOKUP($A184,[1]Hoja4!$A$1:$B$182,2,0),0)</f>
        <v>4705929.4000000004</v>
      </c>
      <c r="M184" s="500"/>
    </row>
    <row r="185" spans="1:13" ht="15" hidden="1" customHeight="1" x14ac:dyDescent="0.25">
      <c r="A185" s="486" t="s">
        <v>2198</v>
      </c>
      <c r="B185" s="502">
        <v>10716</v>
      </c>
      <c r="C185" s="503" t="s">
        <v>2195</v>
      </c>
      <c r="D185" s="503" t="s">
        <v>1833</v>
      </c>
      <c r="E185" s="504" t="s">
        <v>1763</v>
      </c>
      <c r="F185" s="504" t="s">
        <v>439</v>
      </c>
      <c r="G185" s="505">
        <v>2229922</v>
      </c>
      <c r="H185" s="505">
        <v>2229922</v>
      </c>
      <c r="I185" s="505">
        <f t="shared" si="2"/>
        <v>0</v>
      </c>
      <c r="J185" s="503" t="s">
        <v>2199</v>
      </c>
      <c r="K185" s="506" t="s">
        <v>2200</v>
      </c>
      <c r="L185" s="499">
        <f>+IFERROR(VLOOKUP($A185,[1]Hoja4!$A$1:$B$182,2,0),0)</f>
        <v>1895618</v>
      </c>
      <c r="M185" s="500"/>
    </row>
    <row r="186" spans="1:13" ht="15" hidden="1" customHeight="1" x14ac:dyDescent="0.25">
      <c r="A186" s="486" t="s">
        <v>2201</v>
      </c>
      <c r="B186" s="502">
        <v>10816</v>
      </c>
      <c r="C186" s="503" t="s">
        <v>2195</v>
      </c>
      <c r="D186" s="503" t="s">
        <v>1833</v>
      </c>
      <c r="E186" s="504" t="s">
        <v>1763</v>
      </c>
      <c r="F186" s="504" t="s">
        <v>439</v>
      </c>
      <c r="G186" s="505">
        <v>6600000</v>
      </c>
      <c r="H186" s="505">
        <v>6600000</v>
      </c>
      <c r="I186" s="505">
        <f t="shared" si="2"/>
        <v>0</v>
      </c>
      <c r="J186" s="503" t="s">
        <v>2202</v>
      </c>
      <c r="K186" s="506" t="s">
        <v>2203</v>
      </c>
      <c r="L186" s="499">
        <f>+IFERROR(VLOOKUP($A186,[1]Hoja4!$A$1:$B$182,2,0),0)</f>
        <v>6600000</v>
      </c>
      <c r="M186" s="500"/>
    </row>
    <row r="187" spans="1:13" ht="15" hidden="1" customHeight="1" x14ac:dyDescent="0.25">
      <c r="A187" s="486" t="s">
        <v>2204</v>
      </c>
      <c r="B187" s="502">
        <v>10916</v>
      </c>
      <c r="C187" s="503" t="s">
        <v>2205</v>
      </c>
      <c r="D187" s="503" t="s">
        <v>1833</v>
      </c>
      <c r="E187" s="504" t="s">
        <v>1716</v>
      </c>
      <c r="F187" s="504" t="s">
        <v>1718</v>
      </c>
      <c r="G187" s="505">
        <v>10000000</v>
      </c>
      <c r="H187" s="505">
        <v>10000000</v>
      </c>
      <c r="I187" s="505">
        <f t="shared" si="2"/>
        <v>0</v>
      </c>
      <c r="J187" s="503" t="s">
        <v>2206</v>
      </c>
      <c r="K187" s="506" t="s">
        <v>2207</v>
      </c>
      <c r="L187" s="499">
        <f>+IFERROR(VLOOKUP($A187,[1]Hoja4!$A$1:$B$182,2,0),0)</f>
        <v>10000000</v>
      </c>
      <c r="M187" s="500"/>
    </row>
    <row r="188" spans="1:13" ht="15" hidden="1" customHeight="1" x14ac:dyDescent="0.25">
      <c r="A188" s="486" t="s">
        <v>2208</v>
      </c>
      <c r="B188" s="502">
        <v>10916</v>
      </c>
      <c r="C188" s="503" t="s">
        <v>2205</v>
      </c>
      <c r="D188" s="503" t="s">
        <v>1833</v>
      </c>
      <c r="E188" s="504" t="s">
        <v>1763</v>
      </c>
      <c r="F188" s="504" t="s">
        <v>439</v>
      </c>
      <c r="G188" s="505">
        <v>38960000</v>
      </c>
      <c r="H188" s="505">
        <v>38960000</v>
      </c>
      <c r="I188" s="505">
        <f t="shared" si="2"/>
        <v>0</v>
      </c>
      <c r="J188" s="503" t="s">
        <v>2206</v>
      </c>
      <c r="K188" s="506" t="s">
        <v>2207</v>
      </c>
      <c r="L188" s="499">
        <f>+IFERROR(VLOOKUP($A188,[1]Hoja4!$A$1:$B$182,2,0),0)</f>
        <v>143000000</v>
      </c>
      <c r="M188" s="500"/>
    </row>
    <row r="189" spans="1:13" ht="15" hidden="1" customHeight="1" x14ac:dyDescent="0.25">
      <c r="A189" s="486" t="s">
        <v>2209</v>
      </c>
      <c r="B189" s="502">
        <v>11016</v>
      </c>
      <c r="C189" s="503" t="s">
        <v>2205</v>
      </c>
      <c r="D189" s="503" t="s">
        <v>1798</v>
      </c>
      <c r="E189" s="504" t="s">
        <v>1637</v>
      </c>
      <c r="F189" s="504" t="s">
        <v>1638</v>
      </c>
      <c r="G189" s="505">
        <v>25000000</v>
      </c>
      <c r="H189" s="505">
        <v>0</v>
      </c>
      <c r="I189" s="505">
        <f t="shared" si="2"/>
        <v>25000000</v>
      </c>
      <c r="J189" s="503" t="s">
        <v>2058</v>
      </c>
      <c r="K189" s="506" t="s">
        <v>2058</v>
      </c>
      <c r="L189" s="499">
        <f>+IFERROR(VLOOKUP($A189,[1]Hoja4!$A$1:$B$182,2,0),0)</f>
        <v>0</v>
      </c>
      <c r="M189" s="500"/>
    </row>
    <row r="190" spans="1:13" ht="15" hidden="1" customHeight="1" x14ac:dyDescent="0.25">
      <c r="A190" s="486" t="s">
        <v>2210</v>
      </c>
      <c r="B190" s="502">
        <v>11116</v>
      </c>
      <c r="C190" s="503" t="s">
        <v>2205</v>
      </c>
      <c r="D190" s="503" t="s">
        <v>1798</v>
      </c>
      <c r="E190" s="504" t="s">
        <v>1637</v>
      </c>
      <c r="F190" s="504" t="s">
        <v>1638</v>
      </c>
      <c r="G190" s="505">
        <v>700000</v>
      </c>
      <c r="H190" s="505">
        <v>700000</v>
      </c>
      <c r="I190" s="505">
        <f t="shared" si="2"/>
        <v>0</v>
      </c>
      <c r="J190" s="503" t="s">
        <v>2211</v>
      </c>
      <c r="K190" s="506" t="s">
        <v>2212</v>
      </c>
      <c r="L190" s="499">
        <f>+IFERROR(VLOOKUP($A190,[1]Hoja4!$A$1:$B$182,2,0),0)</f>
        <v>0</v>
      </c>
      <c r="M190" s="500"/>
    </row>
    <row r="191" spans="1:13" ht="15" hidden="1" customHeight="1" x14ac:dyDescent="0.25">
      <c r="A191" s="486" t="s">
        <v>2213</v>
      </c>
      <c r="B191" s="502">
        <v>11216</v>
      </c>
      <c r="C191" s="503" t="s">
        <v>2205</v>
      </c>
      <c r="D191" s="503" t="s">
        <v>1798</v>
      </c>
      <c r="E191" s="504" t="s">
        <v>1637</v>
      </c>
      <c r="F191" s="504" t="s">
        <v>1638</v>
      </c>
      <c r="G191" s="505">
        <v>7150000</v>
      </c>
      <c r="H191" s="505">
        <v>7150000</v>
      </c>
      <c r="I191" s="505">
        <f t="shared" si="2"/>
        <v>0</v>
      </c>
      <c r="J191" s="503" t="s">
        <v>2214</v>
      </c>
      <c r="K191" s="506" t="s">
        <v>2215</v>
      </c>
      <c r="L191" s="499">
        <f>+IFERROR(VLOOKUP($A191,[1]Hoja4!$A$1:$B$182,2,0),0)</f>
        <v>0</v>
      </c>
      <c r="M191" s="500"/>
    </row>
    <row r="192" spans="1:13" ht="15" hidden="1" customHeight="1" x14ac:dyDescent="0.25">
      <c r="A192" s="486" t="s">
        <v>2216</v>
      </c>
      <c r="B192" s="502">
        <v>11316</v>
      </c>
      <c r="C192" s="503" t="s">
        <v>2217</v>
      </c>
      <c r="D192" s="503" t="s">
        <v>1833</v>
      </c>
      <c r="E192" s="504" t="s">
        <v>1763</v>
      </c>
      <c r="F192" s="504" t="s">
        <v>439</v>
      </c>
      <c r="G192" s="505">
        <v>45000000</v>
      </c>
      <c r="H192" s="505">
        <v>45000000</v>
      </c>
      <c r="I192" s="505">
        <f t="shared" si="2"/>
        <v>0</v>
      </c>
      <c r="J192" s="503" t="s">
        <v>2218</v>
      </c>
      <c r="K192" s="506" t="s">
        <v>2219</v>
      </c>
      <c r="L192" s="499">
        <f>+IFERROR(VLOOKUP($A192,[1]Hoja4!$A$1:$B$182,2,0),0)</f>
        <v>45000000</v>
      </c>
      <c r="M192" s="500"/>
    </row>
    <row r="193" spans="1:13" ht="15" hidden="1" customHeight="1" x14ac:dyDescent="0.25">
      <c r="A193" s="486" t="s">
        <v>2220</v>
      </c>
      <c r="B193" s="502">
        <v>11416</v>
      </c>
      <c r="C193" s="503" t="s">
        <v>2221</v>
      </c>
      <c r="D193" s="503" t="s">
        <v>1833</v>
      </c>
      <c r="E193" s="504" t="s">
        <v>1746</v>
      </c>
      <c r="F193" s="504" t="s">
        <v>350</v>
      </c>
      <c r="G193" s="505">
        <v>395782000</v>
      </c>
      <c r="H193" s="505">
        <v>395726000</v>
      </c>
      <c r="I193" s="505">
        <f t="shared" si="2"/>
        <v>56000</v>
      </c>
      <c r="J193" s="503" t="s">
        <v>2222</v>
      </c>
      <c r="K193" s="506" t="s">
        <v>2223</v>
      </c>
      <c r="L193" s="499">
        <f>+IFERROR(VLOOKUP($A193,[1]Hoja4!$A$1:$B$182,2,0),0)</f>
        <v>0</v>
      </c>
      <c r="M193" s="500"/>
    </row>
    <row r="194" spans="1:13" ht="15" hidden="1" customHeight="1" x14ac:dyDescent="0.25">
      <c r="A194" s="486" t="s">
        <v>2224</v>
      </c>
      <c r="B194" s="502">
        <v>11516</v>
      </c>
      <c r="C194" s="503" t="s">
        <v>2221</v>
      </c>
      <c r="D194" s="503" t="s">
        <v>1833</v>
      </c>
      <c r="E194" s="504" t="s">
        <v>1746</v>
      </c>
      <c r="F194" s="504" t="s">
        <v>350</v>
      </c>
      <c r="G194" s="505">
        <v>6560709</v>
      </c>
      <c r="H194" s="505">
        <v>5510000</v>
      </c>
      <c r="I194" s="505">
        <f t="shared" si="2"/>
        <v>1050709</v>
      </c>
      <c r="J194" s="503" t="s">
        <v>2225</v>
      </c>
      <c r="K194" s="506" t="s">
        <v>2226</v>
      </c>
      <c r="L194" s="499">
        <f>+IFERROR(VLOOKUP($A194,[1]Hoja4!$A$1:$B$182,2,0),0)</f>
        <v>0</v>
      </c>
      <c r="M194" s="500"/>
    </row>
    <row r="195" spans="1:13" ht="15" hidden="1" customHeight="1" x14ac:dyDescent="0.25">
      <c r="A195" s="486" t="s">
        <v>2227</v>
      </c>
      <c r="B195" s="502">
        <v>11616</v>
      </c>
      <c r="C195" s="503" t="s">
        <v>2228</v>
      </c>
      <c r="D195" s="503" t="s">
        <v>1798</v>
      </c>
      <c r="E195" s="504" t="s">
        <v>1637</v>
      </c>
      <c r="F195" s="504" t="s">
        <v>1638</v>
      </c>
      <c r="G195" s="505">
        <v>121700</v>
      </c>
      <c r="H195" s="505">
        <v>121700</v>
      </c>
      <c r="I195" s="505">
        <f t="shared" ref="I195:I258" si="3">+G195-H195</f>
        <v>0</v>
      </c>
      <c r="J195" s="503" t="s">
        <v>2229</v>
      </c>
      <c r="K195" s="506" t="s">
        <v>2230</v>
      </c>
      <c r="L195" s="499">
        <f>+IFERROR(VLOOKUP($A195,[1]Hoja4!$A$1:$B$182,2,0),0)</f>
        <v>121700</v>
      </c>
      <c r="M195" s="500"/>
    </row>
    <row r="196" spans="1:13" ht="15" hidden="1" customHeight="1" x14ac:dyDescent="0.25">
      <c r="A196" s="486" t="s">
        <v>2231</v>
      </c>
      <c r="B196" s="502">
        <v>11616</v>
      </c>
      <c r="C196" s="503" t="s">
        <v>2228</v>
      </c>
      <c r="D196" s="503" t="s">
        <v>1798</v>
      </c>
      <c r="E196" s="504" t="s">
        <v>1640</v>
      </c>
      <c r="F196" s="504" t="s">
        <v>1641</v>
      </c>
      <c r="G196" s="505">
        <v>1338407</v>
      </c>
      <c r="H196" s="505">
        <v>1338407</v>
      </c>
      <c r="I196" s="505">
        <f t="shared" si="3"/>
        <v>0</v>
      </c>
      <c r="J196" s="503" t="s">
        <v>2229</v>
      </c>
      <c r="K196" s="506" t="s">
        <v>2230</v>
      </c>
      <c r="L196" s="499">
        <f>+IFERROR(VLOOKUP($A196,[1]Hoja4!$A$1:$B$182,2,0),0)</f>
        <v>1338407</v>
      </c>
      <c r="M196" s="500"/>
    </row>
    <row r="197" spans="1:13" ht="15" hidden="1" customHeight="1" x14ac:dyDescent="0.25">
      <c r="A197" s="486" t="s">
        <v>2232</v>
      </c>
      <c r="B197" s="502">
        <v>11616</v>
      </c>
      <c r="C197" s="503" t="s">
        <v>2228</v>
      </c>
      <c r="D197" s="503" t="s">
        <v>1798</v>
      </c>
      <c r="E197" s="504" t="s">
        <v>1644</v>
      </c>
      <c r="F197" s="504" t="s">
        <v>1645</v>
      </c>
      <c r="G197" s="505">
        <v>4300</v>
      </c>
      <c r="H197" s="505">
        <v>4300</v>
      </c>
      <c r="I197" s="505">
        <f t="shared" si="3"/>
        <v>0</v>
      </c>
      <c r="J197" s="503" t="s">
        <v>2229</v>
      </c>
      <c r="K197" s="506" t="s">
        <v>2230</v>
      </c>
      <c r="L197" s="499">
        <f>+IFERROR(VLOOKUP($A197,[1]Hoja4!$A$1:$B$182,2,0),0)</f>
        <v>4300</v>
      </c>
      <c r="M197" s="500"/>
    </row>
    <row r="198" spans="1:13" ht="15" hidden="1" customHeight="1" x14ac:dyDescent="0.25">
      <c r="A198" s="486" t="s">
        <v>2233</v>
      </c>
      <c r="B198" s="502">
        <v>11616</v>
      </c>
      <c r="C198" s="503" t="s">
        <v>2228</v>
      </c>
      <c r="D198" s="503" t="s">
        <v>1798</v>
      </c>
      <c r="E198" s="504" t="s">
        <v>1646</v>
      </c>
      <c r="F198" s="504" t="s">
        <v>520</v>
      </c>
      <c r="G198" s="505">
        <v>341814</v>
      </c>
      <c r="H198" s="505">
        <v>341814</v>
      </c>
      <c r="I198" s="505">
        <f t="shared" si="3"/>
        <v>0</v>
      </c>
      <c r="J198" s="503" t="s">
        <v>2229</v>
      </c>
      <c r="K198" s="506" t="s">
        <v>2230</v>
      </c>
      <c r="L198" s="499">
        <f>+IFERROR(VLOOKUP($A198,[1]Hoja4!$A$1:$B$182,2,0),0)</f>
        <v>341814</v>
      </c>
      <c r="M198" s="500"/>
    </row>
    <row r="199" spans="1:13" ht="15" customHeight="1" x14ac:dyDescent="0.25">
      <c r="A199" s="486" t="s">
        <v>2234</v>
      </c>
      <c r="B199" s="502">
        <v>11616</v>
      </c>
      <c r="C199" s="503" t="s">
        <v>2228</v>
      </c>
      <c r="D199" s="503" t="s">
        <v>1798</v>
      </c>
      <c r="E199" s="504" t="s">
        <v>1647</v>
      </c>
      <c r="F199" s="504" t="s">
        <v>1091</v>
      </c>
      <c r="G199" s="505">
        <v>181501</v>
      </c>
      <c r="H199" s="535">
        <v>181501</v>
      </c>
      <c r="I199" s="505">
        <f t="shared" si="3"/>
        <v>0</v>
      </c>
      <c r="J199" s="503" t="s">
        <v>2229</v>
      </c>
      <c r="K199" s="506" t="s">
        <v>2230</v>
      </c>
      <c r="L199" s="499">
        <f>+IFERROR(VLOOKUP($A199,[1]Hoja4!$A$1:$B$182,2,0),0)</f>
        <v>181501</v>
      </c>
      <c r="M199" s="500"/>
    </row>
    <row r="200" spans="1:13" ht="15" hidden="1" customHeight="1" x14ac:dyDescent="0.25">
      <c r="A200" s="486" t="s">
        <v>2235</v>
      </c>
      <c r="B200" s="502">
        <v>11616</v>
      </c>
      <c r="C200" s="503" t="s">
        <v>2228</v>
      </c>
      <c r="D200" s="503" t="s">
        <v>1798</v>
      </c>
      <c r="E200" s="504" t="s">
        <v>1648</v>
      </c>
      <c r="F200" s="504" t="s">
        <v>1649</v>
      </c>
      <c r="G200" s="505">
        <v>11000</v>
      </c>
      <c r="H200" s="505">
        <v>11000</v>
      </c>
      <c r="I200" s="505">
        <f t="shared" si="3"/>
        <v>0</v>
      </c>
      <c r="J200" s="503" t="s">
        <v>2229</v>
      </c>
      <c r="K200" s="506" t="s">
        <v>2230</v>
      </c>
      <c r="L200" s="499">
        <f>+IFERROR(VLOOKUP($A200,[1]Hoja4!$A$1:$B$182,2,0),0)</f>
        <v>11000</v>
      </c>
      <c r="M200" s="500"/>
    </row>
    <row r="201" spans="1:13" ht="15" hidden="1" customHeight="1" x14ac:dyDescent="0.25">
      <c r="A201" s="486" t="s">
        <v>2236</v>
      </c>
      <c r="B201" s="502">
        <v>11616</v>
      </c>
      <c r="C201" s="503" t="s">
        <v>2228</v>
      </c>
      <c r="D201" s="503" t="s">
        <v>1798</v>
      </c>
      <c r="E201" s="504" t="s">
        <v>1657</v>
      </c>
      <c r="F201" s="504" t="s">
        <v>494</v>
      </c>
      <c r="G201" s="505">
        <v>26500</v>
      </c>
      <c r="H201" s="505">
        <v>26500</v>
      </c>
      <c r="I201" s="505">
        <f t="shared" si="3"/>
        <v>0</v>
      </c>
      <c r="J201" s="503" t="s">
        <v>2229</v>
      </c>
      <c r="K201" s="506" t="s">
        <v>2230</v>
      </c>
      <c r="L201" s="499">
        <f>+IFERROR(VLOOKUP($A201,[1]Hoja4!$A$1:$B$182,2,0),0)</f>
        <v>26500</v>
      </c>
      <c r="M201" s="500"/>
    </row>
    <row r="202" spans="1:13" ht="15" hidden="1" customHeight="1" x14ac:dyDescent="0.25">
      <c r="A202" s="486" t="s">
        <v>2237</v>
      </c>
      <c r="B202" s="502">
        <v>11616</v>
      </c>
      <c r="C202" s="503" t="s">
        <v>2228</v>
      </c>
      <c r="D202" s="503" t="s">
        <v>1798</v>
      </c>
      <c r="E202" s="504" t="s">
        <v>1659</v>
      </c>
      <c r="F202" s="504" t="s">
        <v>496</v>
      </c>
      <c r="G202" s="505">
        <v>78500</v>
      </c>
      <c r="H202" s="505">
        <v>78500</v>
      </c>
      <c r="I202" s="505">
        <f t="shared" si="3"/>
        <v>0</v>
      </c>
      <c r="J202" s="503" t="s">
        <v>2229</v>
      </c>
      <c r="K202" s="506" t="s">
        <v>2230</v>
      </c>
      <c r="L202" s="499">
        <f>+IFERROR(VLOOKUP($A202,[1]Hoja4!$A$1:$B$182,2,0),0)</f>
        <v>78500</v>
      </c>
      <c r="M202" s="500"/>
    </row>
    <row r="203" spans="1:13" ht="15" hidden="1" customHeight="1" x14ac:dyDescent="0.25">
      <c r="A203" s="486" t="s">
        <v>2238</v>
      </c>
      <c r="B203" s="502">
        <v>11616</v>
      </c>
      <c r="C203" s="503" t="s">
        <v>2228</v>
      </c>
      <c r="D203" s="503" t="s">
        <v>1798</v>
      </c>
      <c r="E203" s="504" t="s">
        <v>1665</v>
      </c>
      <c r="F203" s="504" t="s">
        <v>1666</v>
      </c>
      <c r="G203" s="505">
        <v>124656</v>
      </c>
      <c r="H203" s="505">
        <v>124656</v>
      </c>
      <c r="I203" s="505">
        <f t="shared" si="3"/>
        <v>0</v>
      </c>
      <c r="J203" s="503" t="s">
        <v>2229</v>
      </c>
      <c r="K203" s="506" t="s">
        <v>2230</v>
      </c>
      <c r="L203" s="499">
        <f>+IFERROR(VLOOKUP($A203,[1]Hoja4!$A$1:$B$182,2,0),0)</f>
        <v>124656</v>
      </c>
      <c r="M203" s="500"/>
    </row>
    <row r="204" spans="1:13" ht="15" hidden="1" customHeight="1" x14ac:dyDescent="0.25">
      <c r="A204" s="486" t="s">
        <v>2239</v>
      </c>
      <c r="B204" s="502">
        <v>11716</v>
      </c>
      <c r="C204" s="503" t="s">
        <v>2240</v>
      </c>
      <c r="D204" s="503" t="s">
        <v>1798</v>
      </c>
      <c r="E204" s="504" t="s">
        <v>1624</v>
      </c>
      <c r="F204" s="504" t="s">
        <v>1626</v>
      </c>
      <c r="G204" s="505">
        <v>900000</v>
      </c>
      <c r="H204" s="505">
        <v>799100</v>
      </c>
      <c r="I204" s="505">
        <f t="shared" si="3"/>
        <v>100900</v>
      </c>
      <c r="J204" s="503" t="s">
        <v>2241</v>
      </c>
      <c r="K204" s="506" t="s">
        <v>2242</v>
      </c>
      <c r="L204" s="499">
        <f>+IFERROR(VLOOKUP($A204,[1]Hoja4!$A$1:$B$182,2,0),0)</f>
        <v>0</v>
      </c>
      <c r="M204" s="500"/>
    </row>
    <row r="205" spans="1:13" ht="15" hidden="1" customHeight="1" x14ac:dyDescent="0.25">
      <c r="A205" s="486" t="s">
        <v>2243</v>
      </c>
      <c r="B205" s="502">
        <v>11816</v>
      </c>
      <c r="C205" s="508" t="s">
        <v>2240</v>
      </c>
      <c r="D205" s="503" t="s">
        <v>1798</v>
      </c>
      <c r="E205" s="504" t="s">
        <v>1627</v>
      </c>
      <c r="F205" s="504" t="s">
        <v>803</v>
      </c>
      <c r="G205" s="505">
        <v>35192000</v>
      </c>
      <c r="H205" s="505">
        <v>34339000</v>
      </c>
      <c r="I205" s="505">
        <f t="shared" si="3"/>
        <v>853000</v>
      </c>
      <c r="J205" s="503" t="s">
        <v>2244</v>
      </c>
      <c r="K205" s="506" t="s">
        <v>2245</v>
      </c>
      <c r="L205" s="499">
        <f>+IFERROR(VLOOKUP($A205,[1]Hoja4!$A$1:$B$182,2,0),0)</f>
        <v>0</v>
      </c>
      <c r="M205" s="500"/>
    </row>
    <row r="206" spans="1:13" ht="15" hidden="1" customHeight="1" x14ac:dyDescent="0.25">
      <c r="A206" s="486" t="s">
        <v>2246</v>
      </c>
      <c r="B206" s="502">
        <v>11916</v>
      </c>
      <c r="C206" s="503" t="s">
        <v>2247</v>
      </c>
      <c r="D206" s="503" t="s">
        <v>1833</v>
      </c>
      <c r="E206" s="504" t="s">
        <v>1716</v>
      </c>
      <c r="F206" s="504" t="s">
        <v>1718</v>
      </c>
      <c r="G206" s="505">
        <v>25541000</v>
      </c>
      <c r="H206" s="505">
        <v>25541000</v>
      </c>
      <c r="I206" s="505">
        <f t="shared" si="3"/>
        <v>0</v>
      </c>
      <c r="J206" s="503" t="s">
        <v>2248</v>
      </c>
      <c r="K206" s="506" t="s">
        <v>2249</v>
      </c>
      <c r="L206" s="499">
        <f>+IFERROR(VLOOKUP($A206,[1]Hoja4!$A$1:$B$182,2,0),0)</f>
        <v>0</v>
      </c>
      <c r="M206" s="500"/>
    </row>
    <row r="207" spans="1:13" ht="15" hidden="1" customHeight="1" x14ac:dyDescent="0.25">
      <c r="A207" s="486" t="s">
        <v>2250</v>
      </c>
      <c r="B207" s="502">
        <v>11916</v>
      </c>
      <c r="C207" s="503" t="s">
        <v>2247</v>
      </c>
      <c r="D207" s="503" t="s">
        <v>1833</v>
      </c>
      <c r="E207" s="504" t="s">
        <v>1763</v>
      </c>
      <c r="F207" s="504" t="s">
        <v>439</v>
      </c>
      <c r="G207" s="505">
        <v>25541000</v>
      </c>
      <c r="H207" s="505">
        <v>25541000</v>
      </c>
      <c r="I207" s="505">
        <f t="shared" si="3"/>
        <v>0</v>
      </c>
      <c r="J207" s="503" t="s">
        <v>2248</v>
      </c>
      <c r="K207" s="506" t="s">
        <v>2249</v>
      </c>
      <c r="L207" s="499">
        <f>+IFERROR(VLOOKUP($A207,[1]Hoja4!$A$1:$B$182,2,0),0)</f>
        <v>0</v>
      </c>
      <c r="M207" s="500"/>
    </row>
    <row r="208" spans="1:13" ht="15" hidden="1" customHeight="1" x14ac:dyDescent="0.25">
      <c r="A208" s="486" t="s">
        <v>2251</v>
      </c>
      <c r="B208" s="502">
        <v>12016</v>
      </c>
      <c r="C208" s="503" t="s">
        <v>2247</v>
      </c>
      <c r="D208" s="503" t="s">
        <v>1833</v>
      </c>
      <c r="E208" s="504" t="s">
        <v>1716</v>
      </c>
      <c r="F208" s="504" t="s">
        <v>1718</v>
      </c>
      <c r="G208" s="505">
        <v>28095000</v>
      </c>
      <c r="H208" s="505">
        <v>28095000</v>
      </c>
      <c r="I208" s="505">
        <f t="shared" si="3"/>
        <v>0</v>
      </c>
      <c r="J208" s="503" t="s">
        <v>2248</v>
      </c>
      <c r="K208" s="506" t="s">
        <v>2252</v>
      </c>
      <c r="L208" s="499">
        <f>+IFERROR(VLOOKUP($A208,[1]Hoja4!$A$1:$B$182,2,0),0)</f>
        <v>0</v>
      </c>
      <c r="M208" s="500"/>
    </row>
    <row r="209" spans="1:13" ht="15" hidden="1" customHeight="1" x14ac:dyDescent="0.25">
      <c r="A209" s="486" t="s">
        <v>2253</v>
      </c>
      <c r="B209" s="502">
        <v>12016</v>
      </c>
      <c r="C209" s="503" t="s">
        <v>2247</v>
      </c>
      <c r="D209" s="503" t="s">
        <v>1833</v>
      </c>
      <c r="E209" s="504" t="s">
        <v>1763</v>
      </c>
      <c r="F209" s="504" t="s">
        <v>439</v>
      </c>
      <c r="G209" s="505">
        <v>28095000</v>
      </c>
      <c r="H209" s="505">
        <v>28095000</v>
      </c>
      <c r="I209" s="505">
        <f t="shared" si="3"/>
        <v>0</v>
      </c>
      <c r="J209" s="503" t="s">
        <v>2248</v>
      </c>
      <c r="K209" s="506" t="s">
        <v>2252</v>
      </c>
      <c r="L209" s="499">
        <f>+IFERROR(VLOOKUP($A209,[1]Hoja4!$A$1:$B$182,2,0),0)</f>
        <v>0</v>
      </c>
      <c r="M209" s="500"/>
    </row>
    <row r="210" spans="1:13" ht="15" hidden="1" customHeight="1" x14ac:dyDescent="0.25">
      <c r="A210" s="486" t="s">
        <v>2254</v>
      </c>
      <c r="B210" s="502">
        <v>12116</v>
      </c>
      <c r="C210" s="503" t="s">
        <v>2247</v>
      </c>
      <c r="D210" s="503" t="s">
        <v>1833</v>
      </c>
      <c r="E210" s="504" t="s">
        <v>1716</v>
      </c>
      <c r="F210" s="504" t="s">
        <v>1718</v>
      </c>
      <c r="G210" s="505">
        <v>102165000</v>
      </c>
      <c r="H210" s="505">
        <v>102165000</v>
      </c>
      <c r="I210" s="505">
        <f t="shared" si="3"/>
        <v>0</v>
      </c>
      <c r="J210" s="503" t="s">
        <v>2255</v>
      </c>
      <c r="K210" s="506" t="s">
        <v>2256</v>
      </c>
      <c r="L210" s="499">
        <f>+IFERROR(VLOOKUP($A210,[1]Hoja4!$A$1:$B$182,2,0),0)</f>
        <v>0</v>
      </c>
      <c r="M210" s="500"/>
    </row>
    <row r="211" spans="1:13" ht="15" hidden="1" customHeight="1" x14ac:dyDescent="0.25">
      <c r="A211" s="486" t="s">
        <v>2257</v>
      </c>
      <c r="B211" s="502">
        <v>12216</v>
      </c>
      <c r="C211" s="503" t="s">
        <v>2258</v>
      </c>
      <c r="D211" s="503" t="s">
        <v>1952</v>
      </c>
      <c r="E211" s="504" t="s">
        <v>1599</v>
      </c>
      <c r="F211" s="504" t="s">
        <v>428</v>
      </c>
      <c r="G211" s="505">
        <v>13448000</v>
      </c>
      <c r="H211" s="505">
        <v>13448000</v>
      </c>
      <c r="I211" s="505">
        <f t="shared" si="3"/>
        <v>0</v>
      </c>
      <c r="J211" s="503" t="s">
        <v>2259</v>
      </c>
      <c r="K211" s="506" t="s">
        <v>2260</v>
      </c>
      <c r="L211" s="499">
        <f>+IFERROR(VLOOKUP($A211,[1]Hoja4!$A$1:$B$182,2,0),0)</f>
        <v>0</v>
      </c>
      <c r="M211" s="500"/>
    </row>
    <row r="212" spans="1:13" ht="15" hidden="1" customHeight="1" x14ac:dyDescent="0.25">
      <c r="A212" s="486" t="s">
        <v>2261</v>
      </c>
      <c r="B212" s="502">
        <v>12316</v>
      </c>
      <c r="C212" s="503" t="s">
        <v>2262</v>
      </c>
      <c r="D212" s="503" t="s">
        <v>1833</v>
      </c>
      <c r="E212" s="504" t="s">
        <v>1716</v>
      </c>
      <c r="F212" s="504" t="s">
        <v>1718</v>
      </c>
      <c r="G212" s="505">
        <v>9975000</v>
      </c>
      <c r="H212" s="505">
        <v>9975000</v>
      </c>
      <c r="I212" s="505">
        <f t="shared" si="3"/>
        <v>0</v>
      </c>
      <c r="J212" s="503" t="s">
        <v>2263</v>
      </c>
      <c r="K212" s="506" t="s">
        <v>2264</v>
      </c>
      <c r="L212" s="499">
        <f>+IFERROR(VLOOKUP($A212,[1]Hoja4!$A$1:$B$182,2,0),0)</f>
        <v>0</v>
      </c>
      <c r="M212" s="500"/>
    </row>
    <row r="213" spans="1:13" ht="15" hidden="1" customHeight="1" x14ac:dyDescent="0.25">
      <c r="A213" s="486" t="s">
        <v>2265</v>
      </c>
      <c r="B213" s="502">
        <v>12416</v>
      </c>
      <c r="C213" s="503" t="s">
        <v>2262</v>
      </c>
      <c r="D213" s="503" t="s">
        <v>1798</v>
      </c>
      <c r="E213" s="504" t="s">
        <v>1658</v>
      </c>
      <c r="F213" s="504" t="s">
        <v>495</v>
      </c>
      <c r="G213" s="505">
        <v>464000</v>
      </c>
      <c r="H213" s="505">
        <v>464000</v>
      </c>
      <c r="I213" s="505">
        <f t="shared" si="3"/>
        <v>0</v>
      </c>
      <c r="J213" s="503" t="s">
        <v>2266</v>
      </c>
      <c r="K213" s="506" t="s">
        <v>2267</v>
      </c>
      <c r="L213" s="499">
        <f>+IFERROR(VLOOKUP($A213,[1]Hoja4!$A$1:$B$182,2,0),0)</f>
        <v>0</v>
      </c>
      <c r="M213" s="500"/>
    </row>
    <row r="214" spans="1:13" ht="15" hidden="1" customHeight="1" x14ac:dyDescent="0.25">
      <c r="A214" s="486" t="s">
        <v>2268</v>
      </c>
      <c r="B214" s="502">
        <v>12516</v>
      </c>
      <c r="C214" s="503" t="s">
        <v>2262</v>
      </c>
      <c r="D214" s="503" t="s">
        <v>1833</v>
      </c>
      <c r="E214" s="504" t="s">
        <v>1746</v>
      </c>
      <c r="F214" s="504" t="s">
        <v>350</v>
      </c>
      <c r="G214" s="505">
        <v>36000000</v>
      </c>
      <c r="H214" s="505">
        <v>36000000</v>
      </c>
      <c r="I214" s="505">
        <f t="shared" si="3"/>
        <v>0</v>
      </c>
      <c r="J214" s="503" t="s">
        <v>2269</v>
      </c>
      <c r="K214" s="506" t="s">
        <v>2270</v>
      </c>
      <c r="L214" s="499">
        <f>+IFERROR(VLOOKUP($A214,[1]Hoja4!$A$1:$B$182,2,0),0)</f>
        <v>0</v>
      </c>
      <c r="M214" s="500"/>
    </row>
    <row r="215" spans="1:13" ht="15" hidden="1" customHeight="1" x14ac:dyDescent="0.25">
      <c r="A215" s="486" t="s">
        <v>2271</v>
      </c>
      <c r="B215" s="502">
        <v>12616</v>
      </c>
      <c r="C215" s="503" t="s">
        <v>2272</v>
      </c>
      <c r="D215" s="503" t="s">
        <v>1833</v>
      </c>
      <c r="E215" s="504" t="s">
        <v>1716</v>
      </c>
      <c r="F215" s="504" t="s">
        <v>1718</v>
      </c>
      <c r="G215" s="505">
        <v>18560000</v>
      </c>
      <c r="H215" s="505">
        <v>18560000</v>
      </c>
      <c r="I215" s="505">
        <f t="shared" si="3"/>
        <v>0</v>
      </c>
      <c r="J215" s="503" t="s">
        <v>2273</v>
      </c>
      <c r="K215" s="506" t="s">
        <v>2274</v>
      </c>
      <c r="L215" s="499">
        <f>+IFERROR(VLOOKUP($A215,[1]Hoja4!$A$1:$B$182,2,0),0)</f>
        <v>0</v>
      </c>
      <c r="M215" s="500"/>
    </row>
    <row r="216" spans="1:13" ht="15" hidden="1" customHeight="1" x14ac:dyDescent="0.25">
      <c r="A216" s="486" t="s">
        <v>2275</v>
      </c>
      <c r="B216" s="502">
        <v>12716</v>
      </c>
      <c r="C216" s="503" t="s">
        <v>2272</v>
      </c>
      <c r="D216" s="503" t="s">
        <v>1952</v>
      </c>
      <c r="E216" s="504" t="s">
        <v>1599</v>
      </c>
      <c r="F216" s="504" t="s">
        <v>428</v>
      </c>
      <c r="G216" s="505">
        <v>5000000</v>
      </c>
      <c r="H216" s="505">
        <v>5000000</v>
      </c>
      <c r="I216" s="505">
        <f t="shared" si="3"/>
        <v>0</v>
      </c>
      <c r="J216" s="503" t="s">
        <v>2276</v>
      </c>
      <c r="K216" s="506" t="s">
        <v>2277</v>
      </c>
      <c r="L216" s="499">
        <f>+IFERROR(VLOOKUP($A216,[1]Hoja4!$A$1:$B$182,2,0),0)</f>
        <v>0</v>
      </c>
      <c r="M216" s="500"/>
    </row>
    <row r="217" spans="1:13" ht="15" hidden="1" customHeight="1" x14ac:dyDescent="0.25">
      <c r="A217" s="486" t="s">
        <v>2278</v>
      </c>
      <c r="B217" s="502">
        <v>12816</v>
      </c>
      <c r="C217" s="503" t="s">
        <v>2279</v>
      </c>
      <c r="D217" s="503" t="s">
        <v>1833</v>
      </c>
      <c r="E217" s="504" t="s">
        <v>1763</v>
      </c>
      <c r="F217" s="504" t="s">
        <v>439</v>
      </c>
      <c r="G217" s="505">
        <v>10815000</v>
      </c>
      <c r="H217" s="505">
        <v>10815000</v>
      </c>
      <c r="I217" s="505">
        <f t="shared" si="3"/>
        <v>0</v>
      </c>
      <c r="J217" s="503" t="s">
        <v>2280</v>
      </c>
      <c r="K217" s="506" t="s">
        <v>2281</v>
      </c>
      <c r="L217" s="499">
        <f>+IFERROR(VLOOKUP($A217,[1]Hoja4!$A$1:$B$182,2,0),0)</f>
        <v>0</v>
      </c>
      <c r="M217" s="500"/>
    </row>
    <row r="218" spans="1:13" ht="15" hidden="1" customHeight="1" x14ac:dyDescent="0.25">
      <c r="A218" s="486" t="s">
        <v>2282</v>
      </c>
      <c r="B218" s="502">
        <v>12916</v>
      </c>
      <c r="C218" s="503" t="s">
        <v>2283</v>
      </c>
      <c r="D218" s="503" t="s">
        <v>1833</v>
      </c>
      <c r="E218" s="504" t="s">
        <v>1716</v>
      </c>
      <c r="F218" s="504" t="s">
        <v>1718</v>
      </c>
      <c r="G218" s="505">
        <v>23167000</v>
      </c>
      <c r="H218" s="505">
        <v>23167000</v>
      </c>
      <c r="I218" s="505">
        <f t="shared" si="3"/>
        <v>0</v>
      </c>
      <c r="J218" s="503" t="s">
        <v>2284</v>
      </c>
      <c r="K218" s="506" t="s">
        <v>2285</v>
      </c>
      <c r="L218" s="499">
        <f>+IFERROR(VLOOKUP($A218,[1]Hoja4!$A$1:$B$182,2,0),0)</f>
        <v>0</v>
      </c>
      <c r="M218" s="500"/>
    </row>
    <row r="219" spans="1:13" ht="15" hidden="1" customHeight="1" x14ac:dyDescent="0.25">
      <c r="A219" s="486" t="s">
        <v>2286</v>
      </c>
      <c r="B219" s="502">
        <v>13016</v>
      </c>
      <c r="C219" s="503" t="s">
        <v>2283</v>
      </c>
      <c r="D219" s="503" t="s">
        <v>1833</v>
      </c>
      <c r="E219" s="504" t="s">
        <v>1716</v>
      </c>
      <c r="F219" s="504" t="s">
        <v>1718</v>
      </c>
      <c r="G219" s="505">
        <v>26271000</v>
      </c>
      <c r="H219" s="505">
        <v>26271000</v>
      </c>
      <c r="I219" s="505">
        <f t="shared" si="3"/>
        <v>0</v>
      </c>
      <c r="J219" s="503" t="s">
        <v>2287</v>
      </c>
      <c r="K219" s="506" t="s">
        <v>2288</v>
      </c>
      <c r="L219" s="499">
        <f>+IFERROR(VLOOKUP($A219,[1]Hoja4!$A$1:$B$182,2,0),0)</f>
        <v>0</v>
      </c>
      <c r="M219" s="500"/>
    </row>
    <row r="220" spans="1:13" ht="15" hidden="1" customHeight="1" x14ac:dyDescent="0.25">
      <c r="A220" s="486" t="s">
        <v>2289</v>
      </c>
      <c r="B220" s="502">
        <v>13116</v>
      </c>
      <c r="C220" s="503" t="s">
        <v>2283</v>
      </c>
      <c r="D220" s="503" t="s">
        <v>1833</v>
      </c>
      <c r="E220" s="504" t="s">
        <v>1716</v>
      </c>
      <c r="F220" s="504" t="s">
        <v>1718</v>
      </c>
      <c r="G220" s="505">
        <v>68110000</v>
      </c>
      <c r="H220" s="505">
        <v>68110000</v>
      </c>
      <c r="I220" s="505">
        <f t="shared" si="3"/>
        <v>0</v>
      </c>
      <c r="J220" s="503" t="s">
        <v>2290</v>
      </c>
      <c r="K220" s="506" t="s">
        <v>2291</v>
      </c>
      <c r="L220" s="499">
        <f>+IFERROR(VLOOKUP($A220,[1]Hoja4!$A$1:$B$182,2,0),0)</f>
        <v>0</v>
      </c>
      <c r="M220" s="500"/>
    </row>
    <row r="221" spans="1:13" ht="15" hidden="1" customHeight="1" x14ac:dyDescent="0.25">
      <c r="A221" s="486" t="s">
        <v>2292</v>
      </c>
      <c r="B221" s="502">
        <v>13216</v>
      </c>
      <c r="C221" s="503" t="s">
        <v>2293</v>
      </c>
      <c r="D221" s="503" t="s">
        <v>1833</v>
      </c>
      <c r="E221" s="504" t="s">
        <v>1716</v>
      </c>
      <c r="F221" s="504" t="s">
        <v>1718</v>
      </c>
      <c r="G221" s="505">
        <v>6489000</v>
      </c>
      <c r="H221" s="505">
        <v>6489000</v>
      </c>
      <c r="I221" s="505">
        <f t="shared" si="3"/>
        <v>0</v>
      </c>
      <c r="J221" s="503" t="s">
        <v>2294</v>
      </c>
      <c r="K221" s="506" t="s">
        <v>2295</v>
      </c>
      <c r="L221" s="499">
        <f>+IFERROR(VLOOKUP($A221,[1]Hoja4!$A$1:$B$182,2,0),0)</f>
        <v>0</v>
      </c>
      <c r="M221" s="500"/>
    </row>
    <row r="222" spans="1:13" ht="15" hidden="1" customHeight="1" x14ac:dyDescent="0.25">
      <c r="A222" s="486" t="s">
        <v>2296</v>
      </c>
      <c r="B222" s="502">
        <v>13316</v>
      </c>
      <c r="C222" s="503" t="s">
        <v>2297</v>
      </c>
      <c r="D222" s="503" t="s">
        <v>1833</v>
      </c>
      <c r="E222" s="504" t="s">
        <v>1716</v>
      </c>
      <c r="F222" s="504" t="s">
        <v>1718</v>
      </c>
      <c r="G222" s="505">
        <v>6489000</v>
      </c>
      <c r="H222" s="505">
        <v>6489000</v>
      </c>
      <c r="I222" s="505">
        <f t="shared" si="3"/>
        <v>0</v>
      </c>
      <c r="J222" s="503" t="s">
        <v>2298</v>
      </c>
      <c r="K222" s="506" t="s">
        <v>2299</v>
      </c>
      <c r="L222" s="499">
        <f>+IFERROR(VLOOKUP($A222,[1]Hoja4!$A$1:$B$182,2,0),0)</f>
        <v>0</v>
      </c>
      <c r="M222" s="500"/>
    </row>
    <row r="223" spans="1:13" ht="15" hidden="1" customHeight="1" x14ac:dyDescent="0.25">
      <c r="A223" s="486" t="s">
        <v>2300</v>
      </c>
      <c r="B223" s="502">
        <v>13416</v>
      </c>
      <c r="C223" s="503" t="s">
        <v>2297</v>
      </c>
      <c r="D223" s="503" t="s">
        <v>1833</v>
      </c>
      <c r="E223" s="504" t="s">
        <v>1716</v>
      </c>
      <c r="F223" s="504" t="s">
        <v>1718</v>
      </c>
      <c r="G223" s="505">
        <v>18550000</v>
      </c>
      <c r="H223" s="505">
        <v>18550000</v>
      </c>
      <c r="I223" s="505">
        <f t="shared" si="3"/>
        <v>0</v>
      </c>
      <c r="J223" s="503" t="s">
        <v>2301</v>
      </c>
      <c r="K223" s="506" t="s">
        <v>2302</v>
      </c>
      <c r="L223" s="499">
        <f>+IFERROR(VLOOKUP($A223,[1]Hoja4!$A$1:$B$182,2,0),0)</f>
        <v>0</v>
      </c>
      <c r="M223" s="500"/>
    </row>
    <row r="224" spans="1:13" ht="15" hidden="1" customHeight="1" x14ac:dyDescent="0.25">
      <c r="A224" s="486" t="s">
        <v>2303</v>
      </c>
      <c r="B224" s="502">
        <v>13416</v>
      </c>
      <c r="C224" s="503" t="s">
        <v>2297</v>
      </c>
      <c r="D224" s="503" t="s">
        <v>1833</v>
      </c>
      <c r="E224" s="504" t="s">
        <v>1763</v>
      </c>
      <c r="F224" s="504" t="s">
        <v>439</v>
      </c>
      <c r="G224" s="505">
        <v>18550000</v>
      </c>
      <c r="H224" s="505">
        <v>18550000</v>
      </c>
      <c r="I224" s="505">
        <f t="shared" si="3"/>
        <v>0</v>
      </c>
      <c r="J224" s="503" t="s">
        <v>2301</v>
      </c>
      <c r="K224" s="506" t="s">
        <v>2302</v>
      </c>
      <c r="L224" s="499">
        <f>+IFERROR(VLOOKUP($A224,[1]Hoja4!$A$1:$B$182,2,0),0)</f>
        <v>0</v>
      </c>
      <c r="M224" s="500"/>
    </row>
    <row r="225" spans="1:13" ht="15" hidden="1" customHeight="1" x14ac:dyDescent="0.25">
      <c r="A225" s="486" t="s">
        <v>2304</v>
      </c>
      <c r="B225" s="502">
        <v>13516</v>
      </c>
      <c r="C225" s="503" t="s">
        <v>2297</v>
      </c>
      <c r="D225" s="503" t="s">
        <v>1833</v>
      </c>
      <c r="E225" s="504" t="s">
        <v>1716</v>
      </c>
      <c r="F225" s="504" t="s">
        <v>1718</v>
      </c>
      <c r="G225" s="505">
        <v>18550000</v>
      </c>
      <c r="H225" s="505">
        <v>18550000</v>
      </c>
      <c r="I225" s="505">
        <f t="shared" si="3"/>
        <v>0</v>
      </c>
      <c r="J225" s="503" t="s">
        <v>2301</v>
      </c>
      <c r="K225" s="506" t="s">
        <v>2305</v>
      </c>
      <c r="L225" s="499">
        <f>+IFERROR(VLOOKUP($A225,[1]Hoja4!$A$1:$B$182,2,0),0)</f>
        <v>0</v>
      </c>
      <c r="M225" s="500"/>
    </row>
    <row r="226" spans="1:13" ht="15" hidden="1" customHeight="1" x14ac:dyDescent="0.25">
      <c r="A226" s="486" t="s">
        <v>2306</v>
      </c>
      <c r="B226" s="502">
        <v>13516</v>
      </c>
      <c r="C226" s="503" t="s">
        <v>2297</v>
      </c>
      <c r="D226" s="503" t="s">
        <v>1833</v>
      </c>
      <c r="E226" s="504" t="s">
        <v>1763</v>
      </c>
      <c r="F226" s="504" t="s">
        <v>439</v>
      </c>
      <c r="G226" s="505">
        <v>18550000</v>
      </c>
      <c r="H226" s="505">
        <v>18550000</v>
      </c>
      <c r="I226" s="505">
        <f t="shared" si="3"/>
        <v>0</v>
      </c>
      <c r="J226" s="503" t="s">
        <v>2301</v>
      </c>
      <c r="K226" s="506" t="s">
        <v>2305</v>
      </c>
      <c r="L226" s="499">
        <f>+IFERROR(VLOOKUP($A226,[1]Hoja4!$A$1:$B$182,2,0),0)</f>
        <v>0</v>
      </c>
      <c r="M226" s="500"/>
    </row>
    <row r="227" spans="1:13" ht="15" hidden="1" customHeight="1" x14ac:dyDescent="0.25">
      <c r="A227" s="486" t="s">
        <v>2307</v>
      </c>
      <c r="B227" s="502">
        <v>13616</v>
      </c>
      <c r="C227" s="503" t="s">
        <v>2297</v>
      </c>
      <c r="D227" s="503" t="s">
        <v>1798</v>
      </c>
      <c r="E227" s="504" t="s">
        <v>1654</v>
      </c>
      <c r="F227" s="504" t="s">
        <v>523</v>
      </c>
      <c r="G227" s="505">
        <v>34494453.030000001</v>
      </c>
      <c r="H227" s="505">
        <v>34494453.030000001</v>
      </c>
      <c r="I227" s="505">
        <f t="shared" si="3"/>
        <v>0</v>
      </c>
      <c r="J227" s="503" t="s">
        <v>2308</v>
      </c>
      <c r="K227" s="506" t="s">
        <v>2309</v>
      </c>
      <c r="L227" s="499">
        <f>+IFERROR(VLOOKUP($A227,[1]Hoja4!$A$1:$B$182,2,0),0)</f>
        <v>0</v>
      </c>
      <c r="M227" s="500"/>
    </row>
    <row r="228" spans="1:13" ht="15" hidden="1" customHeight="1" x14ac:dyDescent="0.25">
      <c r="A228" s="486" t="s">
        <v>2310</v>
      </c>
      <c r="B228" s="502">
        <v>13716</v>
      </c>
      <c r="C228" s="503" t="s">
        <v>2297</v>
      </c>
      <c r="D228" s="503" t="s">
        <v>1833</v>
      </c>
      <c r="E228" s="504" t="s">
        <v>1716</v>
      </c>
      <c r="F228" s="504" t="s">
        <v>1718</v>
      </c>
      <c r="G228" s="505">
        <v>12800000</v>
      </c>
      <c r="H228" s="505">
        <v>12800000</v>
      </c>
      <c r="I228" s="505">
        <f t="shared" si="3"/>
        <v>0</v>
      </c>
      <c r="J228" s="503" t="s">
        <v>2311</v>
      </c>
      <c r="K228" s="506" t="s">
        <v>2312</v>
      </c>
      <c r="L228" s="499">
        <f>+IFERROR(VLOOKUP($A228,[1]Hoja4!$A$1:$B$182,2,0),0)</f>
        <v>0</v>
      </c>
      <c r="M228" s="500"/>
    </row>
    <row r="229" spans="1:13" ht="15" hidden="1" customHeight="1" x14ac:dyDescent="0.25">
      <c r="A229" s="486" t="s">
        <v>2310</v>
      </c>
      <c r="B229" s="502">
        <v>13716</v>
      </c>
      <c r="C229" s="503" t="s">
        <v>2297</v>
      </c>
      <c r="D229" s="503" t="s">
        <v>1833</v>
      </c>
      <c r="E229" s="504" t="s">
        <v>1716</v>
      </c>
      <c r="F229" s="504" t="s">
        <v>1718</v>
      </c>
      <c r="G229" s="505">
        <v>12800000</v>
      </c>
      <c r="H229" s="505">
        <v>0</v>
      </c>
      <c r="I229" s="505">
        <f t="shared" si="3"/>
        <v>12800000</v>
      </c>
      <c r="J229" s="503" t="s">
        <v>2311</v>
      </c>
      <c r="K229" s="506" t="s">
        <v>2312</v>
      </c>
      <c r="L229" s="499"/>
      <c r="M229" s="500"/>
    </row>
    <row r="230" spans="1:13" ht="15" hidden="1" customHeight="1" x14ac:dyDescent="0.25">
      <c r="A230" s="486" t="s">
        <v>2313</v>
      </c>
      <c r="B230" s="502">
        <v>13816</v>
      </c>
      <c r="C230" s="503" t="s">
        <v>2314</v>
      </c>
      <c r="D230" s="503" t="s">
        <v>1833</v>
      </c>
      <c r="E230" s="504" t="s">
        <v>1716</v>
      </c>
      <c r="F230" s="504" t="s">
        <v>1718</v>
      </c>
      <c r="G230" s="505">
        <v>9030000</v>
      </c>
      <c r="H230" s="505">
        <v>9030000</v>
      </c>
      <c r="I230" s="505">
        <f t="shared" si="3"/>
        <v>0</v>
      </c>
      <c r="J230" s="503" t="s">
        <v>2315</v>
      </c>
      <c r="K230" s="506" t="s">
        <v>2316</v>
      </c>
      <c r="L230" s="499">
        <f>+IFERROR(VLOOKUP($A230,[1]Hoja4!$A$1:$B$182,2,0),0)</f>
        <v>0</v>
      </c>
      <c r="M230" s="500"/>
    </row>
    <row r="231" spans="1:13" ht="15" hidden="1" customHeight="1" x14ac:dyDescent="0.25">
      <c r="A231" s="486" t="s">
        <v>2317</v>
      </c>
      <c r="B231" s="502">
        <v>13916</v>
      </c>
      <c r="C231" s="503" t="s">
        <v>2314</v>
      </c>
      <c r="D231" s="503" t="s">
        <v>1833</v>
      </c>
      <c r="E231" s="504" t="s">
        <v>1716</v>
      </c>
      <c r="F231" s="504" t="s">
        <v>1718</v>
      </c>
      <c r="G231" s="505">
        <v>12600000</v>
      </c>
      <c r="H231" s="505">
        <v>12600000</v>
      </c>
      <c r="I231" s="505">
        <f t="shared" si="3"/>
        <v>0</v>
      </c>
      <c r="J231" s="503" t="s">
        <v>2318</v>
      </c>
      <c r="K231" s="506" t="s">
        <v>2319</v>
      </c>
      <c r="L231" s="499">
        <f>+IFERROR(VLOOKUP($A231,[1]Hoja4!$A$1:$B$182,2,0),0)</f>
        <v>0</v>
      </c>
      <c r="M231" s="500"/>
    </row>
    <row r="232" spans="1:13" ht="15" hidden="1" customHeight="1" x14ac:dyDescent="0.25">
      <c r="A232" s="486" t="s">
        <v>2320</v>
      </c>
      <c r="B232" s="502">
        <v>14016</v>
      </c>
      <c r="C232" s="503" t="s">
        <v>2314</v>
      </c>
      <c r="D232" s="503" t="s">
        <v>1833</v>
      </c>
      <c r="E232" s="504" t="s">
        <v>1716</v>
      </c>
      <c r="F232" s="504" t="s">
        <v>1718</v>
      </c>
      <c r="G232" s="505">
        <v>63000000</v>
      </c>
      <c r="H232" s="505">
        <v>63000000</v>
      </c>
      <c r="I232" s="505">
        <f t="shared" si="3"/>
        <v>0</v>
      </c>
      <c r="J232" s="503" t="s">
        <v>2321</v>
      </c>
      <c r="K232" s="506" t="s">
        <v>2322</v>
      </c>
      <c r="L232" s="499">
        <f>+IFERROR(VLOOKUP($A232,[1]Hoja4!$A$1:$B$182,2,0),0)</f>
        <v>0</v>
      </c>
      <c r="M232" s="500"/>
    </row>
    <row r="233" spans="1:13" ht="15" hidden="1" customHeight="1" x14ac:dyDescent="0.25">
      <c r="A233" s="486" t="s">
        <v>2323</v>
      </c>
      <c r="B233" s="502">
        <v>14116</v>
      </c>
      <c r="C233" s="503" t="s">
        <v>2324</v>
      </c>
      <c r="D233" s="503" t="s">
        <v>1833</v>
      </c>
      <c r="E233" s="504" t="s">
        <v>1716</v>
      </c>
      <c r="F233" s="504" t="s">
        <v>1718</v>
      </c>
      <c r="G233" s="505">
        <v>23625000</v>
      </c>
      <c r="H233" s="505">
        <v>23625000</v>
      </c>
      <c r="I233" s="505">
        <f t="shared" si="3"/>
        <v>0</v>
      </c>
      <c r="J233" s="503" t="s">
        <v>2325</v>
      </c>
      <c r="K233" s="506" t="s">
        <v>2326</v>
      </c>
      <c r="L233" s="499">
        <f>+IFERROR(VLOOKUP($A233,[1]Hoja4!$A$1:$B$182,2,0),0)</f>
        <v>0</v>
      </c>
      <c r="M233" s="500"/>
    </row>
    <row r="234" spans="1:13" ht="15" hidden="1" customHeight="1" x14ac:dyDescent="0.25">
      <c r="A234" s="486" t="s">
        <v>2327</v>
      </c>
      <c r="B234" s="502">
        <v>14216</v>
      </c>
      <c r="C234" s="503" t="s">
        <v>2324</v>
      </c>
      <c r="D234" s="503" t="s">
        <v>1833</v>
      </c>
      <c r="E234" s="504" t="s">
        <v>1763</v>
      </c>
      <c r="F234" s="504" t="s">
        <v>439</v>
      </c>
      <c r="G234" s="505">
        <v>37800000</v>
      </c>
      <c r="H234" s="505">
        <v>37800000</v>
      </c>
      <c r="I234" s="505">
        <f t="shared" si="3"/>
        <v>0</v>
      </c>
      <c r="J234" s="503" t="s">
        <v>2328</v>
      </c>
      <c r="K234" s="506" t="s">
        <v>2329</v>
      </c>
      <c r="L234" s="499">
        <f>+IFERROR(VLOOKUP($A234,[1]Hoja4!$A$1:$B$182,2,0),0)</f>
        <v>0</v>
      </c>
      <c r="M234" s="500"/>
    </row>
    <row r="235" spans="1:13" ht="15" hidden="1" customHeight="1" x14ac:dyDescent="0.25">
      <c r="A235" s="486" t="s">
        <v>2330</v>
      </c>
      <c r="B235" s="502">
        <v>14316</v>
      </c>
      <c r="C235" s="503" t="s">
        <v>2324</v>
      </c>
      <c r="D235" s="503" t="s">
        <v>1833</v>
      </c>
      <c r="E235" s="504" t="s">
        <v>1763</v>
      </c>
      <c r="F235" s="504" t="s">
        <v>439</v>
      </c>
      <c r="G235" s="505">
        <v>37800000</v>
      </c>
      <c r="H235" s="505">
        <v>37800000</v>
      </c>
      <c r="I235" s="505">
        <f t="shared" si="3"/>
        <v>0</v>
      </c>
      <c r="J235" s="503" t="s">
        <v>2331</v>
      </c>
      <c r="K235" s="506" t="s">
        <v>2332</v>
      </c>
      <c r="L235" s="499">
        <f>+IFERROR(VLOOKUP($A235,[1]Hoja4!$A$1:$B$182,2,0),0)</f>
        <v>0</v>
      </c>
      <c r="M235" s="500"/>
    </row>
    <row r="236" spans="1:13" ht="15" hidden="1" customHeight="1" x14ac:dyDescent="0.25">
      <c r="A236" s="486" t="s">
        <v>2333</v>
      </c>
      <c r="B236" s="502">
        <v>14416</v>
      </c>
      <c r="C236" s="503" t="s">
        <v>2324</v>
      </c>
      <c r="D236" s="503" t="s">
        <v>1833</v>
      </c>
      <c r="E236" s="504" t="s">
        <v>1763</v>
      </c>
      <c r="F236" s="504" t="s">
        <v>439</v>
      </c>
      <c r="G236" s="505">
        <v>98658000</v>
      </c>
      <c r="H236" s="505">
        <v>98658000</v>
      </c>
      <c r="I236" s="505">
        <f t="shared" si="3"/>
        <v>0</v>
      </c>
      <c r="J236" s="503" t="s">
        <v>2334</v>
      </c>
      <c r="K236" s="506" t="s">
        <v>2335</v>
      </c>
      <c r="L236" s="499">
        <f>+IFERROR(VLOOKUP($A236,[1]Hoja4!$A$1:$B$182,2,0),0)</f>
        <v>0</v>
      </c>
      <c r="M236" s="500"/>
    </row>
    <row r="237" spans="1:13" ht="15" hidden="1" customHeight="1" x14ac:dyDescent="0.25">
      <c r="A237" s="486" t="s">
        <v>2336</v>
      </c>
      <c r="B237" s="502">
        <v>14516</v>
      </c>
      <c r="C237" s="503" t="s">
        <v>2324</v>
      </c>
      <c r="D237" s="503" t="s">
        <v>1952</v>
      </c>
      <c r="E237" s="504" t="s">
        <v>1599</v>
      </c>
      <c r="F237" s="504" t="s">
        <v>428</v>
      </c>
      <c r="G237" s="505">
        <v>6300000</v>
      </c>
      <c r="H237" s="505">
        <v>0</v>
      </c>
      <c r="I237" s="505">
        <f t="shared" si="3"/>
        <v>6300000</v>
      </c>
      <c r="J237" s="503" t="s">
        <v>2058</v>
      </c>
      <c r="K237" s="506" t="s">
        <v>2058</v>
      </c>
      <c r="L237" s="499">
        <f>+IFERROR(VLOOKUP($A237,[1]Hoja4!$A$1:$B$182,2,0),0)</f>
        <v>0</v>
      </c>
      <c r="M237" s="500"/>
    </row>
    <row r="238" spans="1:13" ht="15" hidden="1" customHeight="1" x14ac:dyDescent="0.25">
      <c r="A238" s="486" t="s">
        <v>2337</v>
      </c>
      <c r="B238" s="502">
        <v>14616</v>
      </c>
      <c r="C238" s="503" t="s">
        <v>2324</v>
      </c>
      <c r="D238" s="503" t="s">
        <v>1833</v>
      </c>
      <c r="E238" s="504" t="s">
        <v>1716</v>
      </c>
      <c r="F238" s="504" t="s">
        <v>1718</v>
      </c>
      <c r="G238" s="505">
        <v>26200000</v>
      </c>
      <c r="H238" s="505">
        <v>26200000</v>
      </c>
      <c r="I238" s="505">
        <f t="shared" si="3"/>
        <v>0</v>
      </c>
      <c r="J238" s="503" t="s">
        <v>2338</v>
      </c>
      <c r="K238" s="506" t="s">
        <v>2339</v>
      </c>
      <c r="L238" s="499">
        <f>+IFERROR(VLOOKUP($A238,[1]Hoja4!$A$1:$B$182,2,0),0)</f>
        <v>0</v>
      </c>
      <c r="M238" s="500"/>
    </row>
    <row r="239" spans="1:13" ht="15" hidden="1" customHeight="1" x14ac:dyDescent="0.25">
      <c r="A239" s="486" t="s">
        <v>2340</v>
      </c>
      <c r="B239" s="502">
        <v>14716</v>
      </c>
      <c r="C239" s="503" t="s">
        <v>2324</v>
      </c>
      <c r="D239" s="503" t="s">
        <v>1833</v>
      </c>
      <c r="E239" s="504" t="s">
        <v>1716</v>
      </c>
      <c r="F239" s="504" t="s">
        <v>1718</v>
      </c>
      <c r="G239" s="505">
        <v>37800000</v>
      </c>
      <c r="H239" s="505">
        <v>37800000</v>
      </c>
      <c r="I239" s="505">
        <f t="shared" si="3"/>
        <v>0</v>
      </c>
      <c r="J239" s="503" t="s">
        <v>2341</v>
      </c>
      <c r="K239" s="506" t="s">
        <v>2342</v>
      </c>
      <c r="L239" s="499">
        <f>+IFERROR(VLOOKUP($A239,[1]Hoja4!$A$1:$B$182,2,0),0)</f>
        <v>0</v>
      </c>
      <c r="M239" s="500"/>
    </row>
    <row r="240" spans="1:13" ht="15" hidden="1" customHeight="1" x14ac:dyDescent="0.25">
      <c r="A240" s="486" t="s">
        <v>2343</v>
      </c>
      <c r="B240" s="502">
        <v>14816</v>
      </c>
      <c r="C240" s="503" t="s">
        <v>2324</v>
      </c>
      <c r="D240" s="503" t="s">
        <v>1833</v>
      </c>
      <c r="E240" s="504" t="s">
        <v>1716</v>
      </c>
      <c r="F240" s="504" t="s">
        <v>1718</v>
      </c>
      <c r="G240" s="505">
        <v>37800000</v>
      </c>
      <c r="H240" s="505">
        <v>37800000</v>
      </c>
      <c r="I240" s="505">
        <f t="shared" si="3"/>
        <v>0</v>
      </c>
      <c r="J240" s="503" t="s">
        <v>2344</v>
      </c>
      <c r="K240" s="506" t="s">
        <v>2345</v>
      </c>
      <c r="L240" s="499">
        <f>+IFERROR(VLOOKUP($A240,[1]Hoja4!$A$1:$B$182,2,0),0)</f>
        <v>0</v>
      </c>
      <c r="M240" s="500"/>
    </row>
    <row r="241" spans="1:13" ht="15" hidden="1" customHeight="1" x14ac:dyDescent="0.25">
      <c r="A241" s="486" t="s">
        <v>2346</v>
      </c>
      <c r="B241" s="502">
        <v>14916</v>
      </c>
      <c r="C241" s="503" t="s">
        <v>2324</v>
      </c>
      <c r="D241" s="503" t="s">
        <v>1833</v>
      </c>
      <c r="E241" s="504" t="s">
        <v>1716</v>
      </c>
      <c r="F241" s="504" t="s">
        <v>1718</v>
      </c>
      <c r="G241" s="505">
        <v>58500000</v>
      </c>
      <c r="H241" s="505">
        <v>58500000</v>
      </c>
      <c r="I241" s="505">
        <f t="shared" si="3"/>
        <v>0</v>
      </c>
      <c r="J241" s="503" t="s">
        <v>2347</v>
      </c>
      <c r="K241" s="506" t="s">
        <v>2348</v>
      </c>
      <c r="L241" s="499">
        <f>+IFERROR(VLOOKUP($A241,[1]Hoja4!$A$1:$B$182,2,0),0)</f>
        <v>0</v>
      </c>
      <c r="M241" s="500"/>
    </row>
    <row r="242" spans="1:13" ht="15" hidden="1" customHeight="1" x14ac:dyDescent="0.25">
      <c r="A242" s="486" t="s">
        <v>2349</v>
      </c>
      <c r="B242" s="502">
        <v>15016</v>
      </c>
      <c r="C242" s="503" t="s">
        <v>2324</v>
      </c>
      <c r="D242" s="503" t="s">
        <v>1833</v>
      </c>
      <c r="E242" s="504" t="s">
        <v>1716</v>
      </c>
      <c r="F242" s="504" t="s">
        <v>1718</v>
      </c>
      <c r="G242" s="505">
        <v>47250000</v>
      </c>
      <c r="H242" s="505">
        <v>42000000</v>
      </c>
      <c r="I242" s="505">
        <f t="shared" si="3"/>
        <v>5250000</v>
      </c>
      <c r="J242" s="503" t="s">
        <v>2350</v>
      </c>
      <c r="K242" s="506" t="s">
        <v>2351</v>
      </c>
      <c r="L242" s="499">
        <f>+IFERROR(VLOOKUP($A242,[1]Hoja4!$A$1:$B$182,2,0),0)</f>
        <v>0</v>
      </c>
      <c r="M242" s="500"/>
    </row>
    <row r="243" spans="1:13" ht="15" hidden="1" customHeight="1" x14ac:dyDescent="0.25">
      <c r="A243" s="486" t="s">
        <v>2352</v>
      </c>
      <c r="B243" s="502">
        <v>15116</v>
      </c>
      <c r="C243" s="503" t="s">
        <v>2324</v>
      </c>
      <c r="D243" s="503" t="s">
        <v>1833</v>
      </c>
      <c r="E243" s="504" t="s">
        <v>1716</v>
      </c>
      <c r="F243" s="504" t="s">
        <v>1718</v>
      </c>
      <c r="G243" s="505">
        <v>77945000</v>
      </c>
      <c r="H243" s="505">
        <v>77945000</v>
      </c>
      <c r="I243" s="505">
        <f t="shared" si="3"/>
        <v>0</v>
      </c>
      <c r="J243" s="503" t="s">
        <v>2353</v>
      </c>
      <c r="K243" s="506" t="s">
        <v>2354</v>
      </c>
      <c r="L243" s="499">
        <f>+IFERROR(VLOOKUP($A243,[1]Hoja4!$A$1:$B$182,2,0),0)</f>
        <v>0</v>
      </c>
      <c r="M243" s="500"/>
    </row>
    <row r="244" spans="1:13" ht="15" customHeight="1" x14ac:dyDescent="0.25">
      <c r="A244" s="486" t="s">
        <v>2355</v>
      </c>
      <c r="B244" s="502">
        <v>15216</v>
      </c>
      <c r="C244" s="503" t="s">
        <v>2356</v>
      </c>
      <c r="D244" s="503" t="s">
        <v>1798</v>
      </c>
      <c r="E244" s="504" t="s">
        <v>1647</v>
      </c>
      <c r="F244" s="504" t="s">
        <v>1091</v>
      </c>
      <c r="G244" s="505">
        <v>8074767</v>
      </c>
      <c r="H244" s="535">
        <v>2055522</v>
      </c>
      <c r="I244" s="505">
        <f t="shared" si="3"/>
        <v>6019245</v>
      </c>
      <c r="J244" s="503" t="s">
        <v>2357</v>
      </c>
      <c r="K244" s="506" t="s">
        <v>2358</v>
      </c>
      <c r="L244" s="499">
        <f>+IFERROR(VLOOKUP($A244,[1]Hoja4!$A$1:$B$182,2,0),0)</f>
        <v>0</v>
      </c>
      <c r="M244" s="500"/>
    </row>
    <row r="245" spans="1:13" ht="15" hidden="1" customHeight="1" x14ac:dyDescent="0.25">
      <c r="A245" s="486" t="s">
        <v>2359</v>
      </c>
      <c r="B245" s="502">
        <v>15316</v>
      </c>
      <c r="C245" s="503" t="s">
        <v>2356</v>
      </c>
      <c r="D245" s="503" t="s">
        <v>1833</v>
      </c>
      <c r="E245" s="504" t="s">
        <v>1716</v>
      </c>
      <c r="F245" s="504" t="s">
        <v>1718</v>
      </c>
      <c r="G245" s="505">
        <v>33000000</v>
      </c>
      <c r="H245" s="505">
        <v>33000000</v>
      </c>
      <c r="I245" s="505">
        <f t="shared" si="3"/>
        <v>0</v>
      </c>
      <c r="J245" s="503" t="s">
        <v>2360</v>
      </c>
      <c r="K245" s="506" t="s">
        <v>2361</v>
      </c>
      <c r="L245" s="499">
        <f>+IFERROR(VLOOKUP($A245,[1]Hoja4!$A$1:$B$182,2,0),0)</f>
        <v>0</v>
      </c>
      <c r="M245" s="500"/>
    </row>
    <row r="246" spans="1:13" ht="15" hidden="1" customHeight="1" x14ac:dyDescent="0.25">
      <c r="A246" s="486" t="s">
        <v>2362</v>
      </c>
      <c r="B246" s="502">
        <v>15416</v>
      </c>
      <c r="C246" s="503" t="s">
        <v>2356</v>
      </c>
      <c r="D246" s="503" t="s">
        <v>1833</v>
      </c>
      <c r="E246" s="504" t="s">
        <v>1716</v>
      </c>
      <c r="F246" s="504" t="s">
        <v>1718</v>
      </c>
      <c r="G246" s="505">
        <v>67200000</v>
      </c>
      <c r="H246" s="505">
        <v>67200000</v>
      </c>
      <c r="I246" s="505">
        <f t="shared" si="3"/>
        <v>0</v>
      </c>
      <c r="J246" s="503" t="s">
        <v>2363</v>
      </c>
      <c r="K246" s="506" t="s">
        <v>2364</v>
      </c>
      <c r="L246" s="499">
        <f>+IFERROR(VLOOKUP($A246,[1]Hoja4!$A$1:$B$182,2,0),0)</f>
        <v>0</v>
      </c>
      <c r="M246" s="500"/>
    </row>
    <row r="247" spans="1:13" ht="15" hidden="1" customHeight="1" x14ac:dyDescent="0.25">
      <c r="A247" s="486" t="s">
        <v>2365</v>
      </c>
      <c r="B247" s="502">
        <v>15516</v>
      </c>
      <c r="C247" s="503" t="s">
        <v>2356</v>
      </c>
      <c r="D247" s="503" t="s">
        <v>1833</v>
      </c>
      <c r="E247" s="504" t="s">
        <v>1716</v>
      </c>
      <c r="F247" s="504" t="s">
        <v>1718</v>
      </c>
      <c r="G247" s="505">
        <v>32760000</v>
      </c>
      <c r="H247" s="505">
        <v>32760000</v>
      </c>
      <c r="I247" s="505">
        <f t="shared" si="3"/>
        <v>0</v>
      </c>
      <c r="J247" s="503" t="s">
        <v>2366</v>
      </c>
      <c r="K247" s="506" t="s">
        <v>2367</v>
      </c>
      <c r="L247" s="499">
        <f>+IFERROR(VLOOKUP($A247,[1]Hoja4!$A$1:$B$182,2,0),0)</f>
        <v>0</v>
      </c>
      <c r="M247" s="500"/>
    </row>
    <row r="248" spans="1:13" ht="15" hidden="1" customHeight="1" x14ac:dyDescent="0.25">
      <c r="A248" s="486" t="s">
        <v>2368</v>
      </c>
      <c r="B248" s="502">
        <v>15616</v>
      </c>
      <c r="C248" s="503" t="s">
        <v>2356</v>
      </c>
      <c r="D248" s="503" t="s">
        <v>1833</v>
      </c>
      <c r="E248" s="504" t="s">
        <v>1716</v>
      </c>
      <c r="F248" s="504" t="s">
        <v>1718</v>
      </c>
      <c r="G248" s="505">
        <v>80000000</v>
      </c>
      <c r="H248" s="505">
        <v>80000000</v>
      </c>
      <c r="I248" s="505">
        <f t="shared" si="3"/>
        <v>0</v>
      </c>
      <c r="J248" s="503" t="s">
        <v>2369</v>
      </c>
      <c r="K248" s="506" t="s">
        <v>2370</v>
      </c>
      <c r="L248" s="499">
        <f>+IFERROR(VLOOKUP($A248,[1]Hoja4!$A$1:$B$182,2,0),0)</f>
        <v>0</v>
      </c>
      <c r="M248" s="500"/>
    </row>
    <row r="249" spans="1:13" ht="15" hidden="1" customHeight="1" x14ac:dyDescent="0.25">
      <c r="A249" s="486" t="s">
        <v>2371</v>
      </c>
      <c r="B249" s="502">
        <v>15716</v>
      </c>
      <c r="C249" s="503" t="s">
        <v>2372</v>
      </c>
      <c r="D249" s="503" t="s">
        <v>1833</v>
      </c>
      <c r="E249" s="504" t="s">
        <v>1716</v>
      </c>
      <c r="F249" s="504" t="s">
        <v>1718</v>
      </c>
      <c r="G249" s="505">
        <v>19530000</v>
      </c>
      <c r="H249" s="505">
        <v>19530000</v>
      </c>
      <c r="I249" s="505">
        <f t="shared" si="3"/>
        <v>0</v>
      </c>
      <c r="J249" s="503" t="s">
        <v>2373</v>
      </c>
      <c r="K249" s="506" t="s">
        <v>2374</v>
      </c>
      <c r="L249" s="499">
        <f>+IFERROR(VLOOKUP($A249,[1]Hoja4!$A$1:$B$182,2,0),0)</f>
        <v>0</v>
      </c>
      <c r="M249" s="500"/>
    </row>
    <row r="250" spans="1:13" ht="15" hidden="1" customHeight="1" x14ac:dyDescent="0.25">
      <c r="A250" s="486" t="s">
        <v>2375</v>
      </c>
      <c r="B250" s="502">
        <v>15816</v>
      </c>
      <c r="C250" s="503" t="s">
        <v>2372</v>
      </c>
      <c r="D250" s="503" t="s">
        <v>1833</v>
      </c>
      <c r="E250" s="504" t="s">
        <v>1763</v>
      </c>
      <c r="F250" s="504" t="s">
        <v>439</v>
      </c>
      <c r="G250" s="505">
        <v>65770078</v>
      </c>
      <c r="H250" s="505">
        <v>10642482.5</v>
      </c>
      <c r="I250" s="505">
        <f t="shared" si="3"/>
        <v>55127595.5</v>
      </c>
      <c r="J250" s="503" t="s">
        <v>2376</v>
      </c>
      <c r="K250" s="506" t="s">
        <v>2377</v>
      </c>
      <c r="L250" s="499">
        <f>+IFERROR(VLOOKUP($A250,[1]Hoja4!$A$1:$B$182,2,0),0)</f>
        <v>0</v>
      </c>
      <c r="M250" s="500"/>
    </row>
    <row r="251" spans="1:13" ht="15" hidden="1" customHeight="1" x14ac:dyDescent="0.25">
      <c r="A251" s="486" t="s">
        <v>2378</v>
      </c>
      <c r="B251" s="502">
        <v>15916</v>
      </c>
      <c r="C251" s="503" t="s">
        <v>2379</v>
      </c>
      <c r="D251" s="503" t="s">
        <v>1798</v>
      </c>
      <c r="E251" s="504" t="s">
        <v>1686</v>
      </c>
      <c r="F251" s="504" t="s">
        <v>1687</v>
      </c>
      <c r="G251" s="505">
        <v>1086510</v>
      </c>
      <c r="H251" s="505">
        <v>1086510</v>
      </c>
      <c r="I251" s="505">
        <f t="shared" si="3"/>
        <v>0</v>
      </c>
      <c r="J251" s="503" t="s">
        <v>2380</v>
      </c>
      <c r="K251" s="506" t="s">
        <v>2381</v>
      </c>
      <c r="L251" s="499">
        <f>+IFERROR(VLOOKUP($A251,[1]Hoja4!$A$1:$B$182,2,0),0)</f>
        <v>0</v>
      </c>
      <c r="M251" s="500"/>
    </row>
    <row r="252" spans="1:13" ht="15" hidden="1" customHeight="1" x14ac:dyDescent="0.25">
      <c r="A252" s="486" t="s">
        <v>2382</v>
      </c>
      <c r="B252" s="502">
        <v>15916</v>
      </c>
      <c r="C252" s="503" t="s">
        <v>2379</v>
      </c>
      <c r="D252" s="503" t="s">
        <v>1798</v>
      </c>
      <c r="E252" s="504" t="s">
        <v>1637</v>
      </c>
      <c r="F252" s="504" t="s">
        <v>1638</v>
      </c>
      <c r="G252" s="505">
        <v>181300</v>
      </c>
      <c r="H252" s="505">
        <v>181300</v>
      </c>
      <c r="I252" s="505">
        <f t="shared" si="3"/>
        <v>0</v>
      </c>
      <c r="J252" s="503" t="s">
        <v>2380</v>
      </c>
      <c r="K252" s="506" t="s">
        <v>2381</v>
      </c>
      <c r="L252" s="499">
        <f>+IFERROR(VLOOKUP($A252,[1]Hoja4!$A$1:$B$182,2,0),0)</f>
        <v>0</v>
      </c>
      <c r="M252" s="500"/>
    </row>
    <row r="253" spans="1:13" ht="15" hidden="1" customHeight="1" x14ac:dyDescent="0.25">
      <c r="A253" s="486" t="s">
        <v>2383</v>
      </c>
      <c r="B253" s="502">
        <v>15916</v>
      </c>
      <c r="C253" s="503" t="s">
        <v>2379</v>
      </c>
      <c r="D253" s="503" t="s">
        <v>1798</v>
      </c>
      <c r="E253" s="504" t="s">
        <v>1640</v>
      </c>
      <c r="F253" s="504" t="s">
        <v>1641</v>
      </c>
      <c r="G253" s="505">
        <v>858884</v>
      </c>
      <c r="H253" s="505">
        <v>858884</v>
      </c>
      <c r="I253" s="505">
        <f t="shared" si="3"/>
        <v>0</v>
      </c>
      <c r="J253" s="503" t="s">
        <v>2380</v>
      </c>
      <c r="K253" s="506" t="s">
        <v>2381</v>
      </c>
      <c r="L253" s="499">
        <f>+IFERROR(VLOOKUP($A253,[1]Hoja4!$A$1:$B$182,2,0),0)</f>
        <v>0</v>
      </c>
      <c r="M253" s="500"/>
    </row>
    <row r="254" spans="1:13" ht="15" hidden="1" customHeight="1" x14ac:dyDescent="0.25">
      <c r="A254" s="486" t="s">
        <v>2384</v>
      </c>
      <c r="B254" s="502">
        <v>15916</v>
      </c>
      <c r="C254" s="503" t="s">
        <v>2379</v>
      </c>
      <c r="D254" s="503" t="s">
        <v>1798</v>
      </c>
      <c r="E254" s="504" t="s">
        <v>1646</v>
      </c>
      <c r="F254" s="504" t="s">
        <v>520</v>
      </c>
      <c r="G254" s="505">
        <v>126110</v>
      </c>
      <c r="H254" s="505">
        <v>126110</v>
      </c>
      <c r="I254" s="505">
        <f t="shared" si="3"/>
        <v>0</v>
      </c>
      <c r="J254" s="503" t="s">
        <v>2380</v>
      </c>
      <c r="K254" s="506" t="s">
        <v>2381</v>
      </c>
      <c r="L254" s="499">
        <f>+IFERROR(VLOOKUP($A254,[1]Hoja4!$A$1:$B$182,2,0),0)</f>
        <v>0</v>
      </c>
      <c r="M254" s="500"/>
    </row>
    <row r="255" spans="1:13" ht="15" customHeight="1" x14ac:dyDescent="0.25">
      <c r="A255" s="486" t="s">
        <v>2385</v>
      </c>
      <c r="B255" s="502">
        <v>15916</v>
      </c>
      <c r="C255" s="503" t="s">
        <v>2379</v>
      </c>
      <c r="D255" s="503" t="s">
        <v>1798</v>
      </c>
      <c r="E255" s="504" t="s">
        <v>1647</v>
      </c>
      <c r="F255" s="504" t="s">
        <v>1091</v>
      </c>
      <c r="G255" s="505">
        <v>280200</v>
      </c>
      <c r="H255" s="535">
        <v>280200</v>
      </c>
      <c r="I255" s="505">
        <f t="shared" si="3"/>
        <v>0</v>
      </c>
      <c r="J255" s="503" t="s">
        <v>2380</v>
      </c>
      <c r="K255" s="506" t="s">
        <v>2381</v>
      </c>
      <c r="L255" s="499">
        <f>+IFERROR(VLOOKUP($A255,[1]Hoja4!$A$1:$B$182,2,0),0)</f>
        <v>0</v>
      </c>
      <c r="M255" s="500"/>
    </row>
    <row r="256" spans="1:13" ht="15" hidden="1" customHeight="1" x14ac:dyDescent="0.25">
      <c r="A256" s="486" t="s">
        <v>2386</v>
      </c>
      <c r="B256" s="502">
        <v>15916</v>
      </c>
      <c r="C256" s="503" t="s">
        <v>2379</v>
      </c>
      <c r="D256" s="503" t="s">
        <v>1798</v>
      </c>
      <c r="E256" s="504" t="s">
        <v>1648</v>
      </c>
      <c r="F256" s="504" t="s">
        <v>1649</v>
      </c>
      <c r="G256" s="505">
        <v>180000</v>
      </c>
      <c r="H256" s="505">
        <v>180000</v>
      </c>
      <c r="I256" s="505">
        <f t="shared" si="3"/>
        <v>0</v>
      </c>
      <c r="J256" s="503" t="s">
        <v>2380</v>
      </c>
      <c r="K256" s="506" t="s">
        <v>2381</v>
      </c>
      <c r="L256" s="499">
        <f>+IFERROR(VLOOKUP($A256,[1]Hoja4!$A$1:$B$182,2,0),0)</f>
        <v>0</v>
      </c>
      <c r="M256" s="500"/>
    </row>
    <row r="257" spans="1:13" ht="15" hidden="1" customHeight="1" x14ac:dyDescent="0.25">
      <c r="A257" s="486" t="s">
        <v>2387</v>
      </c>
      <c r="B257" s="502">
        <v>15916</v>
      </c>
      <c r="C257" s="503" t="s">
        <v>2379</v>
      </c>
      <c r="D257" s="503" t="s">
        <v>1798</v>
      </c>
      <c r="E257" s="504" t="s">
        <v>1657</v>
      </c>
      <c r="F257" s="504" t="s">
        <v>494</v>
      </c>
      <c r="G257" s="505">
        <v>29614</v>
      </c>
      <c r="H257" s="505">
        <v>29614</v>
      </c>
      <c r="I257" s="505">
        <f t="shared" si="3"/>
        <v>0</v>
      </c>
      <c r="J257" s="503" t="s">
        <v>2380</v>
      </c>
      <c r="K257" s="506" t="s">
        <v>2381</v>
      </c>
      <c r="L257" s="499">
        <f>+IFERROR(VLOOKUP($A257,[1]Hoja4!$A$1:$B$182,2,0),0)</f>
        <v>0</v>
      </c>
      <c r="M257" s="500"/>
    </row>
    <row r="258" spans="1:13" ht="15" hidden="1" customHeight="1" x14ac:dyDescent="0.25">
      <c r="A258" s="486" t="s">
        <v>2388</v>
      </c>
      <c r="B258" s="502">
        <v>15916</v>
      </c>
      <c r="C258" s="503" t="s">
        <v>2379</v>
      </c>
      <c r="D258" s="503" t="s">
        <v>1798</v>
      </c>
      <c r="E258" s="504" t="s">
        <v>1659</v>
      </c>
      <c r="F258" s="504" t="s">
        <v>496</v>
      </c>
      <c r="G258" s="505">
        <v>964200</v>
      </c>
      <c r="H258" s="505">
        <v>964200</v>
      </c>
      <c r="I258" s="505">
        <f t="shared" si="3"/>
        <v>0</v>
      </c>
      <c r="J258" s="503" t="s">
        <v>2380</v>
      </c>
      <c r="K258" s="506" t="s">
        <v>2381</v>
      </c>
      <c r="L258" s="499">
        <f>+IFERROR(VLOOKUP($A258,[1]Hoja4!$A$1:$B$182,2,0),0)</f>
        <v>0</v>
      </c>
      <c r="M258" s="500"/>
    </row>
    <row r="259" spans="1:13" ht="15" hidden="1" customHeight="1" x14ac:dyDescent="0.25">
      <c r="A259" s="486" t="s">
        <v>2389</v>
      </c>
      <c r="B259" s="502">
        <v>15916</v>
      </c>
      <c r="C259" s="503" t="s">
        <v>2379</v>
      </c>
      <c r="D259" s="503" t="s">
        <v>1798</v>
      </c>
      <c r="E259" s="504" t="s">
        <v>1665</v>
      </c>
      <c r="F259" s="504" t="s">
        <v>1666</v>
      </c>
      <c r="G259" s="505">
        <v>115086</v>
      </c>
      <c r="H259" s="505">
        <v>115086</v>
      </c>
      <c r="I259" s="505">
        <f t="shared" ref="I259:I322" si="4">+G259-H259</f>
        <v>0</v>
      </c>
      <c r="J259" s="503" t="s">
        <v>2380</v>
      </c>
      <c r="K259" s="506" t="s">
        <v>2381</v>
      </c>
      <c r="L259" s="499">
        <f>+IFERROR(VLOOKUP($A259,[1]Hoja4!$A$1:$B$182,2,0),0)</f>
        <v>0</v>
      </c>
      <c r="M259" s="500"/>
    </row>
    <row r="260" spans="1:13" ht="15" hidden="1" customHeight="1" x14ac:dyDescent="0.25">
      <c r="A260" s="486" t="s">
        <v>2390</v>
      </c>
      <c r="B260" s="502">
        <v>16016</v>
      </c>
      <c r="C260" s="503" t="s">
        <v>2391</v>
      </c>
      <c r="D260" s="503" t="s">
        <v>1798</v>
      </c>
      <c r="E260" s="504" t="s">
        <v>1642</v>
      </c>
      <c r="F260" s="504" t="s">
        <v>1643</v>
      </c>
      <c r="G260" s="505">
        <v>100000</v>
      </c>
      <c r="H260" s="505">
        <v>0</v>
      </c>
      <c r="I260" s="505">
        <f t="shared" si="4"/>
        <v>100000</v>
      </c>
      <c r="J260" s="503" t="s">
        <v>2058</v>
      </c>
      <c r="K260" s="506" t="s">
        <v>2058</v>
      </c>
      <c r="L260" s="499">
        <f>+IFERROR(VLOOKUP($A260,[1]Hoja4!$A$1:$B$182,2,0),0)</f>
        <v>0</v>
      </c>
      <c r="M260" s="500"/>
    </row>
    <row r="261" spans="1:13" ht="15" hidden="1" customHeight="1" x14ac:dyDescent="0.25">
      <c r="A261" s="486" t="s">
        <v>2392</v>
      </c>
      <c r="B261" s="502">
        <v>16016</v>
      </c>
      <c r="C261" s="503" t="s">
        <v>2391</v>
      </c>
      <c r="D261" s="503" t="s">
        <v>1798</v>
      </c>
      <c r="E261" s="504" t="s">
        <v>1648</v>
      </c>
      <c r="F261" s="504" t="s">
        <v>1649</v>
      </c>
      <c r="G261" s="505">
        <v>2400000</v>
      </c>
      <c r="H261" s="505">
        <v>0</v>
      </c>
      <c r="I261" s="505">
        <f t="shared" si="4"/>
        <v>2400000</v>
      </c>
      <c r="J261" s="503" t="s">
        <v>2058</v>
      </c>
      <c r="K261" s="506" t="s">
        <v>2058</v>
      </c>
      <c r="L261" s="499">
        <f>+IFERROR(VLOOKUP($A261,[1]Hoja4!$A$1:$B$182,2,0),0)</f>
        <v>0</v>
      </c>
      <c r="M261" s="500"/>
    </row>
    <row r="262" spans="1:13" ht="15" hidden="1" customHeight="1" x14ac:dyDescent="0.25">
      <c r="A262" s="486" t="s">
        <v>2393</v>
      </c>
      <c r="B262" s="502">
        <v>16116</v>
      </c>
      <c r="C262" s="503" t="s">
        <v>2391</v>
      </c>
      <c r="D262" s="503" t="s">
        <v>1798</v>
      </c>
      <c r="E262" s="504" t="s">
        <v>1678</v>
      </c>
      <c r="F262" s="504" t="s">
        <v>1679</v>
      </c>
      <c r="G262" s="505">
        <v>271603</v>
      </c>
      <c r="H262" s="505">
        <v>271603</v>
      </c>
      <c r="I262" s="505">
        <f t="shared" si="4"/>
        <v>0</v>
      </c>
      <c r="J262" s="503" t="s">
        <v>2394</v>
      </c>
      <c r="K262" s="506" t="s">
        <v>2395</v>
      </c>
      <c r="L262" s="499">
        <f>+IFERROR(VLOOKUP($A262,[1]Hoja4!$A$1:$B$182,2,0),0)</f>
        <v>0</v>
      </c>
      <c r="M262" s="500"/>
    </row>
    <row r="263" spans="1:13" ht="15" hidden="1" customHeight="1" x14ac:dyDescent="0.25">
      <c r="A263" s="486" t="s">
        <v>2396</v>
      </c>
      <c r="B263" s="502">
        <v>16216</v>
      </c>
      <c r="C263" s="503" t="s">
        <v>2391</v>
      </c>
      <c r="D263" s="503" t="s">
        <v>1833</v>
      </c>
      <c r="E263" s="504" t="s">
        <v>1716</v>
      </c>
      <c r="F263" s="504" t="s">
        <v>1718</v>
      </c>
      <c r="G263" s="505">
        <v>56950000</v>
      </c>
      <c r="H263" s="505">
        <v>56950000</v>
      </c>
      <c r="I263" s="505">
        <f t="shared" si="4"/>
        <v>0</v>
      </c>
      <c r="J263" s="503" t="s">
        <v>2397</v>
      </c>
      <c r="K263" s="506" t="s">
        <v>2398</v>
      </c>
      <c r="L263" s="499">
        <f>+IFERROR(VLOOKUP($A263,[1]Hoja4!$A$1:$B$182,2,0),0)</f>
        <v>0</v>
      </c>
      <c r="M263" s="500"/>
    </row>
    <row r="264" spans="1:13" ht="15" hidden="1" customHeight="1" x14ac:dyDescent="0.25">
      <c r="A264" s="486" t="s">
        <v>2399</v>
      </c>
      <c r="B264" s="502">
        <v>16316</v>
      </c>
      <c r="C264" s="503" t="s">
        <v>2391</v>
      </c>
      <c r="D264" s="503" t="s">
        <v>1833</v>
      </c>
      <c r="E264" s="504" t="s">
        <v>1716</v>
      </c>
      <c r="F264" s="504" t="s">
        <v>1718</v>
      </c>
      <c r="G264" s="505">
        <v>35700000</v>
      </c>
      <c r="H264" s="505">
        <v>35700000</v>
      </c>
      <c r="I264" s="505">
        <f t="shared" si="4"/>
        <v>0</v>
      </c>
      <c r="J264" s="503" t="s">
        <v>2400</v>
      </c>
      <c r="K264" s="506" t="s">
        <v>2401</v>
      </c>
      <c r="L264" s="499">
        <f>+IFERROR(VLOOKUP($A264,[1]Hoja4!$A$1:$B$182,2,0),0)</f>
        <v>0</v>
      </c>
      <c r="M264" s="500"/>
    </row>
    <row r="265" spans="1:13" ht="15" hidden="1" customHeight="1" x14ac:dyDescent="0.25">
      <c r="A265" s="486" t="s">
        <v>2402</v>
      </c>
      <c r="B265" s="502">
        <v>16416</v>
      </c>
      <c r="C265" s="503" t="s">
        <v>2391</v>
      </c>
      <c r="D265" s="503" t="s">
        <v>1833</v>
      </c>
      <c r="E265" s="504" t="s">
        <v>1716</v>
      </c>
      <c r="F265" s="504" t="s">
        <v>1718</v>
      </c>
      <c r="G265" s="505">
        <v>35700000</v>
      </c>
      <c r="H265" s="505">
        <v>35700000</v>
      </c>
      <c r="I265" s="505">
        <f t="shared" si="4"/>
        <v>0</v>
      </c>
      <c r="J265" s="503" t="s">
        <v>2400</v>
      </c>
      <c r="K265" s="506" t="s">
        <v>2403</v>
      </c>
      <c r="L265" s="499">
        <f>+IFERROR(VLOOKUP($A265,[1]Hoja4!$A$1:$B$182,2,0),0)</f>
        <v>0</v>
      </c>
      <c r="M265" s="500"/>
    </row>
    <row r="266" spans="1:13" ht="15" hidden="1" customHeight="1" x14ac:dyDescent="0.25">
      <c r="A266" s="486" t="s">
        <v>2404</v>
      </c>
      <c r="B266" s="502">
        <v>16516</v>
      </c>
      <c r="C266" s="503" t="s">
        <v>2391</v>
      </c>
      <c r="D266" s="503" t="s">
        <v>1833</v>
      </c>
      <c r="E266" s="504" t="s">
        <v>1716</v>
      </c>
      <c r="F266" s="504" t="s">
        <v>1718</v>
      </c>
      <c r="G266" s="505">
        <v>20527500</v>
      </c>
      <c r="H266" s="505">
        <v>20527500</v>
      </c>
      <c r="I266" s="505">
        <f t="shared" si="4"/>
        <v>0</v>
      </c>
      <c r="J266" s="503" t="s">
        <v>2405</v>
      </c>
      <c r="K266" s="506" t="s">
        <v>2406</v>
      </c>
      <c r="L266" s="499">
        <f>+IFERROR(VLOOKUP($A266,[1]Hoja4!$A$1:$B$182,2,0),0)</f>
        <v>0</v>
      </c>
      <c r="M266" s="500"/>
    </row>
    <row r="267" spans="1:13" ht="15" hidden="1" customHeight="1" x14ac:dyDescent="0.25">
      <c r="A267" s="486" t="s">
        <v>2407</v>
      </c>
      <c r="B267" s="502">
        <v>16616</v>
      </c>
      <c r="C267" s="503" t="s">
        <v>2391</v>
      </c>
      <c r="D267" s="503" t="s">
        <v>1833</v>
      </c>
      <c r="E267" s="504" t="s">
        <v>1716</v>
      </c>
      <c r="F267" s="504" t="s">
        <v>1718</v>
      </c>
      <c r="G267" s="505">
        <v>20527500</v>
      </c>
      <c r="H267" s="505">
        <v>20527500</v>
      </c>
      <c r="I267" s="505">
        <f t="shared" si="4"/>
        <v>0</v>
      </c>
      <c r="J267" s="503" t="s">
        <v>2405</v>
      </c>
      <c r="K267" s="506" t="s">
        <v>2408</v>
      </c>
      <c r="L267" s="499">
        <f>+IFERROR(VLOOKUP($A267,[1]Hoja4!$A$1:$B$182,2,0),0)</f>
        <v>0</v>
      </c>
      <c r="M267" s="500"/>
    </row>
    <row r="268" spans="1:13" ht="15" hidden="1" customHeight="1" x14ac:dyDescent="0.25">
      <c r="A268" s="486" t="s">
        <v>2409</v>
      </c>
      <c r="B268" s="502">
        <v>16716</v>
      </c>
      <c r="C268" s="503" t="s">
        <v>2391</v>
      </c>
      <c r="D268" s="503" t="s">
        <v>1833</v>
      </c>
      <c r="E268" s="504" t="s">
        <v>1716</v>
      </c>
      <c r="F268" s="504" t="s">
        <v>1718</v>
      </c>
      <c r="G268" s="505">
        <v>13387500</v>
      </c>
      <c r="H268" s="505">
        <v>13387500</v>
      </c>
      <c r="I268" s="505">
        <f t="shared" si="4"/>
        <v>0</v>
      </c>
      <c r="J268" s="503" t="s">
        <v>2410</v>
      </c>
      <c r="K268" s="506" t="s">
        <v>2411</v>
      </c>
      <c r="L268" s="499">
        <f>+IFERROR(VLOOKUP($A268,[1]Hoja4!$A$1:$B$182,2,0),0)</f>
        <v>0</v>
      </c>
      <c r="M268" s="500"/>
    </row>
    <row r="269" spans="1:13" ht="15" hidden="1" customHeight="1" x14ac:dyDescent="0.25">
      <c r="A269" s="486" t="s">
        <v>2412</v>
      </c>
      <c r="B269" s="502">
        <v>16816</v>
      </c>
      <c r="C269" s="503" t="s">
        <v>2391</v>
      </c>
      <c r="D269" s="503" t="s">
        <v>1833</v>
      </c>
      <c r="E269" s="504" t="s">
        <v>1716</v>
      </c>
      <c r="F269" s="504" t="s">
        <v>1718</v>
      </c>
      <c r="G269" s="505">
        <v>13387500</v>
      </c>
      <c r="H269" s="505">
        <v>13387500</v>
      </c>
      <c r="I269" s="505">
        <f t="shared" si="4"/>
        <v>0</v>
      </c>
      <c r="J269" s="503" t="s">
        <v>2410</v>
      </c>
      <c r="K269" s="506" t="s">
        <v>2413</v>
      </c>
      <c r="L269" s="499">
        <f>+IFERROR(VLOOKUP($A269,[1]Hoja4!$A$1:$B$182,2,0),0)</f>
        <v>0</v>
      </c>
      <c r="M269" s="500"/>
    </row>
    <row r="270" spans="1:13" ht="15" hidden="1" customHeight="1" x14ac:dyDescent="0.25">
      <c r="A270" s="486" t="s">
        <v>2414</v>
      </c>
      <c r="B270" s="502">
        <v>16916</v>
      </c>
      <c r="C270" s="503" t="s">
        <v>2391</v>
      </c>
      <c r="D270" s="503" t="s">
        <v>1833</v>
      </c>
      <c r="E270" s="504" t="s">
        <v>1716</v>
      </c>
      <c r="F270" s="504" t="s">
        <v>1718</v>
      </c>
      <c r="G270" s="505">
        <v>13387500</v>
      </c>
      <c r="H270" s="505">
        <v>13387500</v>
      </c>
      <c r="I270" s="505">
        <f t="shared" si="4"/>
        <v>0</v>
      </c>
      <c r="J270" s="503" t="s">
        <v>2410</v>
      </c>
      <c r="K270" s="506" t="s">
        <v>2415</v>
      </c>
      <c r="L270" s="499">
        <f>+IFERROR(VLOOKUP($A270,[1]Hoja4!$A$1:$B$182,2,0),0)</f>
        <v>0</v>
      </c>
      <c r="M270" s="500"/>
    </row>
    <row r="271" spans="1:13" ht="15" hidden="1" customHeight="1" x14ac:dyDescent="0.25">
      <c r="A271" s="486" t="s">
        <v>2416</v>
      </c>
      <c r="B271" s="502">
        <v>17016</v>
      </c>
      <c r="C271" s="503" t="s">
        <v>2391</v>
      </c>
      <c r="D271" s="503" t="s">
        <v>1833</v>
      </c>
      <c r="E271" s="504" t="s">
        <v>1716</v>
      </c>
      <c r="F271" s="504" t="s">
        <v>1718</v>
      </c>
      <c r="G271" s="505">
        <v>25000000</v>
      </c>
      <c r="H271" s="505">
        <v>25000000</v>
      </c>
      <c r="I271" s="505">
        <f t="shared" si="4"/>
        <v>0</v>
      </c>
      <c r="J271" s="503" t="s">
        <v>2417</v>
      </c>
      <c r="K271" s="506" t="s">
        <v>2418</v>
      </c>
      <c r="L271" s="499">
        <f>+IFERROR(VLOOKUP($A271,[1]Hoja4!$A$1:$B$182,2,0),0)</f>
        <v>0</v>
      </c>
      <c r="M271" s="500"/>
    </row>
    <row r="272" spans="1:13" ht="15" hidden="1" customHeight="1" x14ac:dyDescent="0.25">
      <c r="A272" s="486" t="s">
        <v>2419</v>
      </c>
      <c r="B272" s="502">
        <v>17016</v>
      </c>
      <c r="C272" s="503" t="s">
        <v>2391</v>
      </c>
      <c r="D272" s="503" t="s">
        <v>1833</v>
      </c>
      <c r="E272" s="504" t="s">
        <v>1763</v>
      </c>
      <c r="F272" s="504" t="s">
        <v>439</v>
      </c>
      <c r="G272" s="505">
        <v>112700000</v>
      </c>
      <c r="H272" s="505">
        <v>112700000</v>
      </c>
      <c r="I272" s="505">
        <f t="shared" si="4"/>
        <v>0</v>
      </c>
      <c r="J272" s="503" t="s">
        <v>2417</v>
      </c>
      <c r="K272" s="506" t="s">
        <v>2418</v>
      </c>
      <c r="L272" s="499">
        <f>+IFERROR(VLOOKUP($A272,[1]Hoja4!$A$1:$B$182,2,0),0)</f>
        <v>0</v>
      </c>
      <c r="M272" s="500"/>
    </row>
    <row r="273" spans="1:13" ht="15" hidden="1" customHeight="1" x14ac:dyDescent="0.25">
      <c r="A273" s="486" t="s">
        <v>2420</v>
      </c>
      <c r="B273" s="502">
        <v>17116</v>
      </c>
      <c r="C273" s="503" t="s">
        <v>2391</v>
      </c>
      <c r="D273" s="503" t="s">
        <v>1833</v>
      </c>
      <c r="E273" s="504" t="s">
        <v>1716</v>
      </c>
      <c r="F273" s="504" t="s">
        <v>1718</v>
      </c>
      <c r="G273" s="505">
        <v>21263000</v>
      </c>
      <c r="H273" s="505">
        <v>21263000</v>
      </c>
      <c r="I273" s="505">
        <f t="shared" si="4"/>
        <v>0</v>
      </c>
      <c r="J273" s="503" t="s">
        <v>2421</v>
      </c>
      <c r="K273" s="506" t="s">
        <v>2422</v>
      </c>
      <c r="L273" s="499">
        <f>+IFERROR(VLOOKUP($A273,[1]Hoja4!$A$1:$B$182,2,0),0)</f>
        <v>0</v>
      </c>
      <c r="M273" s="500"/>
    </row>
    <row r="274" spans="1:13" ht="15" hidden="1" customHeight="1" x14ac:dyDescent="0.25">
      <c r="A274" s="486" t="s">
        <v>2423</v>
      </c>
      <c r="B274" s="502">
        <v>17116</v>
      </c>
      <c r="C274" s="503" t="s">
        <v>2391</v>
      </c>
      <c r="D274" s="503" t="s">
        <v>1833</v>
      </c>
      <c r="E274" s="504" t="s">
        <v>1763</v>
      </c>
      <c r="F274" s="504" t="s">
        <v>439</v>
      </c>
      <c r="G274" s="505">
        <v>21262000</v>
      </c>
      <c r="H274" s="505">
        <v>21262000</v>
      </c>
      <c r="I274" s="505">
        <f t="shared" si="4"/>
        <v>0</v>
      </c>
      <c r="J274" s="503" t="s">
        <v>2421</v>
      </c>
      <c r="K274" s="506" t="s">
        <v>2422</v>
      </c>
      <c r="L274" s="499">
        <f>+IFERROR(VLOOKUP($A274,[1]Hoja4!$A$1:$B$182,2,0),0)</f>
        <v>0</v>
      </c>
      <c r="M274" s="500"/>
    </row>
    <row r="275" spans="1:13" ht="15" hidden="1" customHeight="1" x14ac:dyDescent="0.25">
      <c r="A275" s="486" t="s">
        <v>2424</v>
      </c>
      <c r="B275" s="502">
        <v>17216</v>
      </c>
      <c r="C275" s="503" t="s">
        <v>2391</v>
      </c>
      <c r="D275" s="503" t="s">
        <v>1833</v>
      </c>
      <c r="E275" s="504" t="s">
        <v>1716</v>
      </c>
      <c r="F275" s="504" t="s">
        <v>1718</v>
      </c>
      <c r="G275" s="505">
        <v>7586500</v>
      </c>
      <c r="H275" s="505">
        <v>7586500</v>
      </c>
      <c r="I275" s="505">
        <f t="shared" si="4"/>
        <v>0</v>
      </c>
      <c r="J275" s="503" t="s">
        <v>2425</v>
      </c>
      <c r="K275" s="506" t="s">
        <v>2426</v>
      </c>
      <c r="L275" s="499">
        <f>+IFERROR(VLOOKUP($A275,[1]Hoja4!$A$1:$B$182,2,0),0)</f>
        <v>0</v>
      </c>
      <c r="M275" s="500"/>
    </row>
    <row r="276" spans="1:13" ht="15" hidden="1" customHeight="1" x14ac:dyDescent="0.25">
      <c r="A276" s="486" t="s">
        <v>2427</v>
      </c>
      <c r="B276" s="502">
        <v>17216</v>
      </c>
      <c r="C276" s="503" t="s">
        <v>2391</v>
      </c>
      <c r="D276" s="503" t="s">
        <v>1833</v>
      </c>
      <c r="E276" s="504" t="s">
        <v>1763</v>
      </c>
      <c r="F276" s="504" t="s">
        <v>439</v>
      </c>
      <c r="G276" s="505">
        <v>7586500</v>
      </c>
      <c r="H276" s="505">
        <v>7586500</v>
      </c>
      <c r="I276" s="505">
        <f t="shared" si="4"/>
        <v>0</v>
      </c>
      <c r="J276" s="503" t="s">
        <v>2425</v>
      </c>
      <c r="K276" s="506" t="s">
        <v>2426</v>
      </c>
      <c r="L276" s="499">
        <f>+IFERROR(VLOOKUP($A276,[1]Hoja4!$A$1:$B$182,2,0),0)</f>
        <v>0</v>
      </c>
      <c r="M276" s="500"/>
    </row>
    <row r="277" spans="1:13" ht="15" hidden="1" customHeight="1" x14ac:dyDescent="0.25">
      <c r="A277" s="486" t="s">
        <v>2428</v>
      </c>
      <c r="B277" s="502">
        <v>17316</v>
      </c>
      <c r="C277" s="503" t="s">
        <v>2429</v>
      </c>
      <c r="D277" s="503" t="s">
        <v>1833</v>
      </c>
      <c r="E277" s="504" t="s">
        <v>1716</v>
      </c>
      <c r="F277" s="504" t="s">
        <v>1718</v>
      </c>
      <c r="G277" s="505">
        <v>20527500</v>
      </c>
      <c r="H277" s="505">
        <v>20527500</v>
      </c>
      <c r="I277" s="505">
        <f t="shared" si="4"/>
        <v>0</v>
      </c>
      <c r="J277" s="503" t="s">
        <v>2405</v>
      </c>
      <c r="K277" s="506" t="s">
        <v>2430</v>
      </c>
      <c r="L277" s="499">
        <f>+IFERROR(VLOOKUP($A277,[1]Hoja4!$A$1:$B$182,2,0),0)</f>
        <v>0</v>
      </c>
      <c r="M277" s="500"/>
    </row>
    <row r="278" spans="1:13" ht="15" hidden="1" customHeight="1" x14ac:dyDescent="0.25">
      <c r="A278" s="486" t="s">
        <v>2431</v>
      </c>
      <c r="B278" s="502">
        <v>17416</v>
      </c>
      <c r="C278" s="503" t="s">
        <v>2429</v>
      </c>
      <c r="D278" s="503" t="s">
        <v>1833</v>
      </c>
      <c r="E278" s="504" t="s">
        <v>1716</v>
      </c>
      <c r="F278" s="504" t="s">
        <v>1718</v>
      </c>
      <c r="G278" s="505">
        <v>36851864</v>
      </c>
      <c r="H278" s="505">
        <v>36851864</v>
      </c>
      <c r="I278" s="505">
        <f t="shared" si="4"/>
        <v>0</v>
      </c>
      <c r="J278" s="503" t="s">
        <v>2432</v>
      </c>
      <c r="K278" s="506" t="s">
        <v>2433</v>
      </c>
      <c r="L278" s="499">
        <f>+IFERROR(VLOOKUP($A278,[1]Hoja4!$A$1:$B$182,2,0),0)</f>
        <v>0</v>
      </c>
      <c r="M278" s="500"/>
    </row>
    <row r="279" spans="1:13" ht="15" hidden="1" customHeight="1" x14ac:dyDescent="0.25">
      <c r="A279" s="486" t="s">
        <v>2434</v>
      </c>
      <c r="B279" s="502">
        <v>17516</v>
      </c>
      <c r="C279" s="503" t="s">
        <v>2429</v>
      </c>
      <c r="D279" s="503" t="s">
        <v>1833</v>
      </c>
      <c r="E279" s="504" t="s">
        <v>1716</v>
      </c>
      <c r="F279" s="504" t="s">
        <v>1718</v>
      </c>
      <c r="G279" s="505">
        <v>24500000</v>
      </c>
      <c r="H279" s="505">
        <v>24500000</v>
      </c>
      <c r="I279" s="505">
        <f t="shared" si="4"/>
        <v>0</v>
      </c>
      <c r="J279" s="503" t="s">
        <v>2435</v>
      </c>
      <c r="K279" s="506" t="s">
        <v>2436</v>
      </c>
      <c r="L279" s="499">
        <f>+IFERROR(VLOOKUP($A279,[1]Hoja4!$A$1:$B$182,2,0),0)</f>
        <v>0</v>
      </c>
      <c r="M279" s="500"/>
    </row>
    <row r="280" spans="1:13" ht="15" hidden="1" customHeight="1" x14ac:dyDescent="0.25">
      <c r="A280" s="486" t="s">
        <v>2437</v>
      </c>
      <c r="B280" s="502">
        <v>17616</v>
      </c>
      <c r="C280" s="503" t="s">
        <v>2429</v>
      </c>
      <c r="D280" s="503" t="s">
        <v>1833</v>
      </c>
      <c r="E280" s="504" t="s">
        <v>1716</v>
      </c>
      <c r="F280" s="504" t="s">
        <v>1718</v>
      </c>
      <c r="G280" s="505">
        <v>24500000</v>
      </c>
      <c r="H280" s="505">
        <v>24500000</v>
      </c>
      <c r="I280" s="505">
        <f t="shared" si="4"/>
        <v>0</v>
      </c>
      <c r="J280" s="503" t="s">
        <v>2438</v>
      </c>
      <c r="K280" s="506" t="s">
        <v>2439</v>
      </c>
      <c r="L280" s="499">
        <f>+IFERROR(VLOOKUP($A280,[1]Hoja4!$A$1:$B$182,2,0),0)</f>
        <v>0</v>
      </c>
      <c r="M280" s="500"/>
    </row>
    <row r="281" spans="1:13" ht="15" hidden="1" customHeight="1" x14ac:dyDescent="0.25">
      <c r="A281" s="486" t="s">
        <v>2440</v>
      </c>
      <c r="B281" s="502">
        <v>17716</v>
      </c>
      <c r="C281" s="503" t="s">
        <v>2429</v>
      </c>
      <c r="D281" s="503" t="s">
        <v>1833</v>
      </c>
      <c r="E281" s="504" t="s">
        <v>1716</v>
      </c>
      <c r="F281" s="504" t="s">
        <v>1718</v>
      </c>
      <c r="G281" s="505">
        <v>22750000</v>
      </c>
      <c r="H281" s="505">
        <v>22750000</v>
      </c>
      <c r="I281" s="505">
        <f t="shared" si="4"/>
        <v>0</v>
      </c>
      <c r="J281" s="503" t="s">
        <v>2441</v>
      </c>
      <c r="K281" s="506" t="s">
        <v>2442</v>
      </c>
      <c r="L281" s="499">
        <f>+IFERROR(VLOOKUP($A281,[1]Hoja4!$A$1:$B$182,2,0),0)</f>
        <v>0</v>
      </c>
      <c r="M281" s="500"/>
    </row>
    <row r="282" spans="1:13" ht="15" hidden="1" customHeight="1" x14ac:dyDescent="0.25">
      <c r="A282" s="486" t="s">
        <v>2443</v>
      </c>
      <c r="B282" s="502">
        <v>17816</v>
      </c>
      <c r="C282" s="503" t="s">
        <v>2429</v>
      </c>
      <c r="D282" s="503" t="s">
        <v>1833</v>
      </c>
      <c r="E282" s="504" t="s">
        <v>1716</v>
      </c>
      <c r="F282" s="504" t="s">
        <v>1718</v>
      </c>
      <c r="G282" s="505">
        <v>22750000</v>
      </c>
      <c r="H282" s="505">
        <v>22750000</v>
      </c>
      <c r="I282" s="505">
        <f t="shared" si="4"/>
        <v>0</v>
      </c>
      <c r="J282" s="503" t="s">
        <v>2444</v>
      </c>
      <c r="K282" s="506" t="s">
        <v>2445</v>
      </c>
      <c r="L282" s="499">
        <f>+IFERROR(VLOOKUP($A282,[1]Hoja4!$A$1:$B$182,2,0),0)</f>
        <v>0</v>
      </c>
      <c r="M282" s="500"/>
    </row>
    <row r="283" spans="1:13" ht="15" hidden="1" customHeight="1" x14ac:dyDescent="0.25">
      <c r="A283" s="486" t="s">
        <v>2446</v>
      </c>
      <c r="B283" s="502">
        <v>17916</v>
      </c>
      <c r="C283" s="503" t="s">
        <v>2447</v>
      </c>
      <c r="D283" s="503" t="s">
        <v>1833</v>
      </c>
      <c r="E283" s="504" t="s">
        <v>1746</v>
      </c>
      <c r="F283" s="504" t="s">
        <v>350</v>
      </c>
      <c r="G283" s="505">
        <v>4295395</v>
      </c>
      <c r="H283" s="505">
        <v>3036148</v>
      </c>
      <c r="I283" s="505">
        <f t="shared" si="4"/>
        <v>1259247</v>
      </c>
      <c r="J283" s="503" t="s">
        <v>2448</v>
      </c>
      <c r="K283" s="506" t="s">
        <v>2449</v>
      </c>
      <c r="L283" s="499">
        <f>+IFERROR(VLOOKUP($A283,[1]Hoja4!$A$1:$B$182,2,0),0)</f>
        <v>0</v>
      </c>
      <c r="M283" s="500"/>
    </row>
    <row r="284" spans="1:13" ht="15" customHeight="1" x14ac:dyDescent="0.25">
      <c r="A284" s="486" t="s">
        <v>2450</v>
      </c>
      <c r="B284" s="502">
        <v>18016</v>
      </c>
      <c r="C284" s="503" t="s">
        <v>2451</v>
      </c>
      <c r="D284" s="503" t="s">
        <v>1798</v>
      </c>
      <c r="E284" s="504" t="s">
        <v>1647</v>
      </c>
      <c r="F284" s="504" t="s">
        <v>1091</v>
      </c>
      <c r="G284" s="505">
        <v>1212000</v>
      </c>
      <c r="H284" s="505">
        <v>0</v>
      </c>
      <c r="I284" s="505">
        <f t="shared" si="4"/>
        <v>1212000</v>
      </c>
      <c r="J284" s="503" t="s">
        <v>2058</v>
      </c>
      <c r="K284" s="506" t="s">
        <v>2058</v>
      </c>
      <c r="L284" s="499">
        <f>+IFERROR(VLOOKUP($A284,[1]Hoja4!$A$1:$B$182,2,0),0)</f>
        <v>0</v>
      </c>
      <c r="M284" s="500"/>
    </row>
    <row r="285" spans="1:13" ht="15" hidden="1" customHeight="1" x14ac:dyDescent="0.25">
      <c r="A285" s="486" t="s">
        <v>2452</v>
      </c>
      <c r="B285" s="502">
        <v>18216</v>
      </c>
      <c r="C285" s="503" t="s">
        <v>2451</v>
      </c>
      <c r="D285" s="503" t="s">
        <v>1833</v>
      </c>
      <c r="E285" s="504" t="s">
        <v>1716</v>
      </c>
      <c r="F285" s="504" t="s">
        <v>1718</v>
      </c>
      <c r="G285" s="505">
        <v>31237500</v>
      </c>
      <c r="H285" s="505">
        <v>31237500</v>
      </c>
      <c r="I285" s="505">
        <f t="shared" si="4"/>
        <v>0</v>
      </c>
      <c r="J285" s="503" t="s">
        <v>2453</v>
      </c>
      <c r="K285" s="506" t="s">
        <v>2454</v>
      </c>
      <c r="L285" s="499"/>
      <c r="M285" s="500"/>
    </row>
    <row r="286" spans="1:13" ht="15" hidden="1" customHeight="1" x14ac:dyDescent="0.25">
      <c r="A286" s="486" t="s">
        <v>2455</v>
      </c>
      <c r="B286" s="502">
        <v>18316</v>
      </c>
      <c r="C286" s="503" t="s">
        <v>2451</v>
      </c>
      <c r="D286" s="503" t="s">
        <v>1798</v>
      </c>
      <c r="E286" s="504" t="s">
        <v>1681</v>
      </c>
      <c r="F286" s="504" t="s">
        <v>506</v>
      </c>
      <c r="G286" s="505">
        <v>401726</v>
      </c>
      <c r="H286" s="505">
        <v>401726</v>
      </c>
      <c r="I286" s="505">
        <f t="shared" si="4"/>
        <v>0</v>
      </c>
      <c r="J286" s="503" t="s">
        <v>2456</v>
      </c>
      <c r="K286" s="506" t="s">
        <v>2457</v>
      </c>
      <c r="L286" s="499"/>
      <c r="M286" s="500"/>
    </row>
    <row r="287" spans="1:13" ht="15" hidden="1" customHeight="1" x14ac:dyDescent="0.25">
      <c r="A287" s="486" t="s">
        <v>2458</v>
      </c>
      <c r="B287" s="502">
        <v>18316</v>
      </c>
      <c r="C287" s="503" t="s">
        <v>2451</v>
      </c>
      <c r="D287" s="503" t="s">
        <v>1798</v>
      </c>
      <c r="E287" s="504" t="s">
        <v>1674</v>
      </c>
      <c r="F287" s="504" t="s">
        <v>1675</v>
      </c>
      <c r="G287" s="505">
        <v>4258305</v>
      </c>
      <c r="H287" s="505">
        <v>4258305</v>
      </c>
      <c r="I287" s="505">
        <f t="shared" si="4"/>
        <v>0</v>
      </c>
      <c r="J287" s="503" t="s">
        <v>2456</v>
      </c>
      <c r="K287" s="506" t="s">
        <v>2457</v>
      </c>
      <c r="L287" s="499"/>
      <c r="M287" s="500"/>
    </row>
    <row r="288" spans="1:13" ht="15" hidden="1" customHeight="1" x14ac:dyDescent="0.25">
      <c r="A288" s="486" t="s">
        <v>2459</v>
      </c>
      <c r="B288" s="502">
        <v>18316</v>
      </c>
      <c r="C288" s="503" t="s">
        <v>2451</v>
      </c>
      <c r="D288" s="503" t="s">
        <v>1798</v>
      </c>
      <c r="E288" s="504" t="s">
        <v>1676</v>
      </c>
      <c r="F288" s="504" t="s">
        <v>1677</v>
      </c>
      <c r="G288" s="505">
        <v>3856578</v>
      </c>
      <c r="H288" s="505">
        <v>3856578</v>
      </c>
      <c r="I288" s="505">
        <f t="shared" si="4"/>
        <v>0</v>
      </c>
      <c r="J288" s="503" t="s">
        <v>2456</v>
      </c>
      <c r="K288" s="506" t="s">
        <v>2457</v>
      </c>
      <c r="L288" s="499"/>
      <c r="M288" s="500"/>
    </row>
    <row r="289" spans="1:13" ht="15" hidden="1" customHeight="1" x14ac:dyDescent="0.25">
      <c r="A289" s="486" t="s">
        <v>2460</v>
      </c>
      <c r="B289" s="502">
        <v>18316</v>
      </c>
      <c r="C289" s="503" t="s">
        <v>2451</v>
      </c>
      <c r="D289" s="503" t="s">
        <v>1798</v>
      </c>
      <c r="E289" s="504" t="s">
        <v>1678</v>
      </c>
      <c r="F289" s="504" t="s">
        <v>1679</v>
      </c>
      <c r="G289" s="505">
        <v>14887567</v>
      </c>
      <c r="H289" s="505">
        <v>14887567</v>
      </c>
      <c r="I289" s="505">
        <f t="shared" si="4"/>
        <v>0</v>
      </c>
      <c r="J289" s="503" t="s">
        <v>2456</v>
      </c>
      <c r="K289" s="506" t="s">
        <v>2457</v>
      </c>
      <c r="L289" s="499"/>
      <c r="M289" s="500"/>
    </row>
    <row r="290" spans="1:13" ht="15" hidden="1" customHeight="1" x14ac:dyDescent="0.25">
      <c r="A290" s="486" t="s">
        <v>2461</v>
      </c>
      <c r="B290" s="502">
        <v>18316</v>
      </c>
      <c r="C290" s="503" t="s">
        <v>2451</v>
      </c>
      <c r="D290" s="503" t="s">
        <v>1798</v>
      </c>
      <c r="E290" s="504" t="s">
        <v>1680</v>
      </c>
      <c r="F290" s="504" t="s">
        <v>529</v>
      </c>
      <c r="G290" s="505">
        <v>4338650</v>
      </c>
      <c r="H290" s="505">
        <v>4338650</v>
      </c>
      <c r="I290" s="505">
        <f t="shared" si="4"/>
        <v>0</v>
      </c>
      <c r="J290" s="503" t="s">
        <v>2456</v>
      </c>
      <c r="K290" s="506" t="s">
        <v>2457</v>
      </c>
      <c r="L290" s="499"/>
      <c r="M290" s="500"/>
    </row>
    <row r="291" spans="1:13" ht="15" hidden="1" customHeight="1" x14ac:dyDescent="0.25">
      <c r="A291" s="486" t="s">
        <v>2462</v>
      </c>
      <c r="B291" s="502">
        <v>18416</v>
      </c>
      <c r="C291" s="503" t="s">
        <v>2463</v>
      </c>
      <c r="D291" s="503" t="s">
        <v>1798</v>
      </c>
      <c r="E291" s="504" t="s">
        <v>1665</v>
      </c>
      <c r="F291" s="504" t="s">
        <v>1666</v>
      </c>
      <c r="G291" s="505">
        <v>2439466</v>
      </c>
      <c r="H291" s="505">
        <v>1960000</v>
      </c>
      <c r="I291" s="505">
        <f t="shared" si="4"/>
        <v>479466</v>
      </c>
      <c r="J291" s="503" t="s">
        <v>2464</v>
      </c>
      <c r="K291" s="506" t="s">
        <v>2465</v>
      </c>
      <c r="L291" s="499"/>
      <c r="M291" s="500"/>
    </row>
    <row r="292" spans="1:13" ht="15" hidden="1" customHeight="1" x14ac:dyDescent="0.25">
      <c r="A292" s="486" t="s">
        <v>2466</v>
      </c>
      <c r="B292" s="502">
        <v>18516</v>
      </c>
      <c r="C292" s="503" t="s">
        <v>2467</v>
      </c>
      <c r="D292" s="503" t="s">
        <v>1833</v>
      </c>
      <c r="E292" s="504" t="s">
        <v>1716</v>
      </c>
      <c r="F292" s="504" t="s">
        <v>1718</v>
      </c>
      <c r="G292" s="505">
        <v>55250000</v>
      </c>
      <c r="H292" s="505">
        <v>55250000</v>
      </c>
      <c r="I292" s="505">
        <f t="shared" si="4"/>
        <v>0</v>
      </c>
      <c r="J292" s="503" t="s">
        <v>2468</v>
      </c>
      <c r="K292" s="506" t="s">
        <v>2469</v>
      </c>
      <c r="L292" s="499"/>
      <c r="M292" s="500"/>
    </row>
    <row r="293" spans="1:13" ht="15" hidden="1" customHeight="1" x14ac:dyDescent="0.25">
      <c r="A293" s="486" t="s">
        <v>2470</v>
      </c>
      <c r="B293" s="502">
        <v>18616</v>
      </c>
      <c r="C293" s="503" t="s">
        <v>2467</v>
      </c>
      <c r="D293" s="503" t="s">
        <v>1833</v>
      </c>
      <c r="E293" s="504" t="s">
        <v>1746</v>
      </c>
      <c r="F293" s="504" t="s">
        <v>350</v>
      </c>
      <c r="G293" s="505">
        <v>16488120</v>
      </c>
      <c r="H293" s="505">
        <v>16488120</v>
      </c>
      <c r="I293" s="505">
        <f t="shared" si="4"/>
        <v>0</v>
      </c>
      <c r="J293" s="503" t="s">
        <v>2471</v>
      </c>
      <c r="K293" s="506" t="s">
        <v>2472</v>
      </c>
      <c r="L293" s="499"/>
      <c r="M293" s="500"/>
    </row>
    <row r="294" spans="1:13" ht="15" hidden="1" customHeight="1" x14ac:dyDescent="0.25">
      <c r="A294" s="486" t="s">
        <v>2473</v>
      </c>
      <c r="B294" s="502">
        <v>18716</v>
      </c>
      <c r="C294" s="503" t="s">
        <v>2467</v>
      </c>
      <c r="D294" s="503" t="s">
        <v>1833</v>
      </c>
      <c r="E294" s="504" t="s">
        <v>1716</v>
      </c>
      <c r="F294" s="504" t="s">
        <v>1718</v>
      </c>
      <c r="G294" s="505">
        <v>48000000</v>
      </c>
      <c r="H294" s="505">
        <v>48000000</v>
      </c>
      <c r="I294" s="505">
        <f t="shared" si="4"/>
        <v>0</v>
      </c>
      <c r="J294" s="503" t="s">
        <v>2474</v>
      </c>
      <c r="K294" s="506" t="s">
        <v>2475</v>
      </c>
      <c r="L294" s="499"/>
      <c r="M294" s="500"/>
    </row>
    <row r="295" spans="1:13" ht="15" hidden="1" customHeight="1" x14ac:dyDescent="0.25">
      <c r="A295" s="486" t="s">
        <v>2476</v>
      </c>
      <c r="B295" s="502">
        <v>18816</v>
      </c>
      <c r="C295" s="503" t="s">
        <v>2477</v>
      </c>
      <c r="D295" s="503" t="s">
        <v>1798</v>
      </c>
      <c r="E295" s="504" t="s">
        <v>1686</v>
      </c>
      <c r="F295" s="504" t="s">
        <v>1687</v>
      </c>
      <c r="G295" s="505">
        <v>3400000</v>
      </c>
      <c r="H295" s="505">
        <v>0</v>
      </c>
      <c r="I295" s="505">
        <f t="shared" si="4"/>
        <v>3400000</v>
      </c>
      <c r="J295" s="503" t="s">
        <v>2058</v>
      </c>
      <c r="K295" s="506" t="s">
        <v>2058</v>
      </c>
      <c r="L295" s="499"/>
      <c r="M295" s="500"/>
    </row>
    <row r="296" spans="1:13" ht="15" hidden="1" customHeight="1" x14ac:dyDescent="0.25">
      <c r="A296" s="486" t="s">
        <v>2478</v>
      </c>
      <c r="B296" s="502">
        <v>19016</v>
      </c>
      <c r="C296" s="503" t="s">
        <v>2479</v>
      </c>
      <c r="D296" s="503" t="s">
        <v>1833</v>
      </c>
      <c r="E296" s="504" t="s">
        <v>1746</v>
      </c>
      <c r="F296" s="504" t="s">
        <v>350</v>
      </c>
      <c r="G296" s="505">
        <v>20000000</v>
      </c>
      <c r="H296" s="505">
        <v>0</v>
      </c>
      <c r="I296" s="505">
        <f t="shared" si="4"/>
        <v>20000000</v>
      </c>
      <c r="J296" s="503" t="s">
        <v>2058</v>
      </c>
      <c r="K296" s="506" t="s">
        <v>2058</v>
      </c>
      <c r="L296" s="499"/>
      <c r="M296" s="500"/>
    </row>
    <row r="297" spans="1:13" ht="15" hidden="1" customHeight="1" x14ac:dyDescent="0.25">
      <c r="A297" s="486" t="s">
        <v>2480</v>
      </c>
      <c r="B297" s="502">
        <v>19116</v>
      </c>
      <c r="C297" s="503" t="s">
        <v>2479</v>
      </c>
      <c r="D297" s="503" t="s">
        <v>1798</v>
      </c>
      <c r="E297" s="504" t="s">
        <v>1634</v>
      </c>
      <c r="F297" s="504" t="s">
        <v>1635</v>
      </c>
      <c r="G297" s="505">
        <v>16000000</v>
      </c>
      <c r="H297" s="505">
        <v>12055221</v>
      </c>
      <c r="I297" s="505">
        <f t="shared" si="4"/>
        <v>3944779</v>
      </c>
      <c r="J297" s="503" t="s">
        <v>2481</v>
      </c>
      <c r="K297" s="506" t="s">
        <v>2482</v>
      </c>
      <c r="L297" s="499"/>
      <c r="M297" s="500"/>
    </row>
    <row r="298" spans="1:13" ht="15" hidden="1" customHeight="1" x14ac:dyDescent="0.25">
      <c r="A298" s="486" t="s">
        <v>2483</v>
      </c>
      <c r="B298" s="502">
        <v>19216</v>
      </c>
      <c r="C298" s="503" t="s">
        <v>2484</v>
      </c>
      <c r="D298" s="503" t="s">
        <v>1833</v>
      </c>
      <c r="E298" s="504" t="s">
        <v>1716</v>
      </c>
      <c r="F298" s="504" t="s">
        <v>1718</v>
      </c>
      <c r="G298" s="505">
        <v>56000000</v>
      </c>
      <c r="H298" s="505">
        <v>56000000</v>
      </c>
      <c r="I298" s="505">
        <f t="shared" si="4"/>
        <v>0</v>
      </c>
      <c r="J298" s="503" t="s">
        <v>2485</v>
      </c>
      <c r="K298" s="506" t="s">
        <v>2486</v>
      </c>
      <c r="L298" s="499"/>
      <c r="M298" s="500"/>
    </row>
    <row r="299" spans="1:13" ht="15" hidden="1" customHeight="1" x14ac:dyDescent="0.25">
      <c r="A299" s="486" t="s">
        <v>2487</v>
      </c>
      <c r="B299" s="502">
        <v>19316</v>
      </c>
      <c r="C299" s="503" t="s">
        <v>2488</v>
      </c>
      <c r="D299" s="503" t="s">
        <v>1798</v>
      </c>
      <c r="E299" s="504" t="s">
        <v>1690</v>
      </c>
      <c r="F299" s="504" t="s">
        <v>1692</v>
      </c>
      <c r="G299" s="505">
        <v>338800</v>
      </c>
      <c r="H299" s="505">
        <v>338800</v>
      </c>
      <c r="I299" s="505">
        <f t="shared" si="4"/>
        <v>0</v>
      </c>
      <c r="J299" s="503" t="s">
        <v>2489</v>
      </c>
      <c r="K299" s="506" t="s">
        <v>2490</v>
      </c>
      <c r="L299" s="499"/>
      <c r="M299" s="500"/>
    </row>
    <row r="300" spans="1:13" ht="15" hidden="1" customHeight="1" x14ac:dyDescent="0.25">
      <c r="A300" s="486" t="s">
        <v>2491</v>
      </c>
      <c r="B300" s="502">
        <v>19416</v>
      </c>
      <c r="C300" s="503" t="s">
        <v>2488</v>
      </c>
      <c r="D300" s="503" t="s">
        <v>1833</v>
      </c>
      <c r="E300" s="504" t="s">
        <v>1762</v>
      </c>
      <c r="F300" s="504" t="s">
        <v>447</v>
      </c>
      <c r="G300" s="505">
        <v>64500000</v>
      </c>
      <c r="H300" s="505">
        <v>0</v>
      </c>
      <c r="I300" s="505">
        <f t="shared" si="4"/>
        <v>64500000</v>
      </c>
      <c r="J300" s="503" t="s">
        <v>2058</v>
      </c>
      <c r="K300" s="506" t="s">
        <v>2058</v>
      </c>
      <c r="L300" s="499"/>
      <c r="M300" s="500"/>
    </row>
    <row r="301" spans="1:13" ht="15" hidden="1" customHeight="1" x14ac:dyDescent="0.25">
      <c r="A301" s="486" t="s">
        <v>2492</v>
      </c>
      <c r="B301" s="502">
        <v>19516</v>
      </c>
      <c r="C301" s="503" t="s">
        <v>2488</v>
      </c>
      <c r="D301" s="503" t="s">
        <v>1833</v>
      </c>
      <c r="E301" s="504" t="s">
        <v>1716</v>
      </c>
      <c r="F301" s="504" t="s">
        <v>1718</v>
      </c>
      <c r="G301" s="505">
        <v>35000000</v>
      </c>
      <c r="H301" s="505">
        <v>35000000</v>
      </c>
      <c r="I301" s="505">
        <f t="shared" si="4"/>
        <v>0</v>
      </c>
      <c r="J301" s="503" t="s">
        <v>2493</v>
      </c>
      <c r="K301" s="506" t="s">
        <v>2494</v>
      </c>
      <c r="L301" s="499"/>
      <c r="M301" s="500"/>
    </row>
    <row r="302" spans="1:13" ht="15" hidden="1" customHeight="1" x14ac:dyDescent="0.25">
      <c r="A302" s="486" t="s">
        <v>2495</v>
      </c>
      <c r="B302" s="502">
        <v>19616</v>
      </c>
      <c r="C302" s="503" t="s">
        <v>2496</v>
      </c>
      <c r="D302" s="503" t="s">
        <v>1833</v>
      </c>
      <c r="E302" s="504" t="s">
        <v>1716</v>
      </c>
      <c r="F302" s="504" t="s">
        <v>1718</v>
      </c>
      <c r="G302" s="505">
        <v>29400000</v>
      </c>
      <c r="H302" s="505">
        <v>29400000</v>
      </c>
      <c r="I302" s="505">
        <f t="shared" si="4"/>
        <v>0</v>
      </c>
      <c r="J302" s="503" t="s">
        <v>2497</v>
      </c>
      <c r="K302" s="506" t="s">
        <v>2498</v>
      </c>
      <c r="L302" s="499"/>
      <c r="M302" s="500"/>
    </row>
    <row r="303" spans="1:13" ht="15" hidden="1" customHeight="1" x14ac:dyDescent="0.25">
      <c r="A303" s="486" t="s">
        <v>2499</v>
      </c>
      <c r="B303" s="502">
        <v>19716</v>
      </c>
      <c r="C303" s="503" t="s">
        <v>2500</v>
      </c>
      <c r="D303" s="503" t="s">
        <v>1833</v>
      </c>
      <c r="E303" s="504" t="s">
        <v>1716</v>
      </c>
      <c r="F303" s="504" t="s">
        <v>1718</v>
      </c>
      <c r="G303" s="505">
        <v>80000000</v>
      </c>
      <c r="H303" s="505">
        <v>80000000</v>
      </c>
      <c r="I303" s="505">
        <f t="shared" si="4"/>
        <v>0</v>
      </c>
      <c r="J303" s="503" t="s">
        <v>2501</v>
      </c>
      <c r="K303" s="506" t="s">
        <v>2502</v>
      </c>
      <c r="L303" s="499"/>
      <c r="M303" s="500"/>
    </row>
    <row r="304" spans="1:13" ht="15" hidden="1" customHeight="1" x14ac:dyDescent="0.25">
      <c r="A304" s="486" t="s">
        <v>2503</v>
      </c>
      <c r="B304" s="502">
        <v>19816</v>
      </c>
      <c r="C304" s="503" t="s">
        <v>2500</v>
      </c>
      <c r="D304" s="503" t="s">
        <v>1798</v>
      </c>
      <c r="E304" s="504" t="s">
        <v>1636</v>
      </c>
      <c r="F304" s="504" t="s">
        <v>517</v>
      </c>
      <c r="G304" s="505">
        <v>1000000</v>
      </c>
      <c r="H304" s="505">
        <v>999400</v>
      </c>
      <c r="I304" s="505">
        <f t="shared" si="4"/>
        <v>600</v>
      </c>
      <c r="J304" s="503" t="s">
        <v>2504</v>
      </c>
      <c r="K304" s="506" t="s">
        <v>2505</v>
      </c>
      <c r="L304" s="499"/>
      <c r="M304" s="500"/>
    </row>
    <row r="305" spans="1:13" ht="15" hidden="1" customHeight="1" x14ac:dyDescent="0.25">
      <c r="A305" s="486" t="s">
        <v>2506</v>
      </c>
      <c r="B305" s="502">
        <v>19916</v>
      </c>
      <c r="C305" s="503" t="s">
        <v>2500</v>
      </c>
      <c r="D305" s="503" t="s">
        <v>1833</v>
      </c>
      <c r="E305" s="504" t="s">
        <v>1746</v>
      </c>
      <c r="F305" s="504" t="s">
        <v>350</v>
      </c>
      <c r="G305" s="505">
        <v>58430853</v>
      </c>
      <c r="H305" s="505">
        <v>0</v>
      </c>
      <c r="I305" s="505">
        <f t="shared" si="4"/>
        <v>58430853</v>
      </c>
      <c r="J305" s="503" t="s">
        <v>2058</v>
      </c>
      <c r="K305" s="506" t="s">
        <v>2058</v>
      </c>
      <c r="L305" s="499"/>
      <c r="M305" s="500"/>
    </row>
    <row r="306" spans="1:13" ht="15" hidden="1" customHeight="1" x14ac:dyDescent="0.25">
      <c r="A306" s="486" t="s">
        <v>2507</v>
      </c>
      <c r="B306" s="502">
        <v>20016</v>
      </c>
      <c r="C306" s="503" t="s">
        <v>2500</v>
      </c>
      <c r="D306" s="503" t="s">
        <v>1833</v>
      </c>
      <c r="E306" s="504" t="s">
        <v>1746</v>
      </c>
      <c r="F306" s="504" t="s">
        <v>350</v>
      </c>
      <c r="G306" s="505">
        <v>16570652</v>
      </c>
      <c r="H306" s="505">
        <v>13500000</v>
      </c>
      <c r="I306" s="505">
        <f t="shared" si="4"/>
        <v>3070652</v>
      </c>
      <c r="J306" s="503" t="s">
        <v>2508</v>
      </c>
      <c r="K306" s="506" t="s">
        <v>2509</v>
      </c>
      <c r="L306" s="499"/>
      <c r="M306" s="500"/>
    </row>
    <row r="307" spans="1:13" ht="15" hidden="1" customHeight="1" x14ac:dyDescent="0.25">
      <c r="A307" s="486" t="s">
        <v>2510</v>
      </c>
      <c r="B307" s="502">
        <v>20116</v>
      </c>
      <c r="C307" s="503" t="s">
        <v>2511</v>
      </c>
      <c r="D307" s="503" t="s">
        <v>1833</v>
      </c>
      <c r="E307" s="504" t="s">
        <v>1763</v>
      </c>
      <c r="F307" s="504" t="s">
        <v>439</v>
      </c>
      <c r="G307" s="505">
        <v>25987500</v>
      </c>
      <c r="H307" s="505">
        <v>25987500</v>
      </c>
      <c r="I307" s="505">
        <f t="shared" si="4"/>
        <v>0</v>
      </c>
      <c r="J307" s="503" t="s">
        <v>2512</v>
      </c>
      <c r="K307" s="506" t="s">
        <v>2513</v>
      </c>
      <c r="L307" s="499"/>
      <c r="M307" s="500"/>
    </row>
    <row r="308" spans="1:13" ht="15" hidden="1" customHeight="1" x14ac:dyDescent="0.25">
      <c r="A308" s="486" t="s">
        <v>2514</v>
      </c>
      <c r="B308" s="502">
        <v>20216</v>
      </c>
      <c r="C308" s="503" t="s">
        <v>2511</v>
      </c>
      <c r="D308" s="503" t="s">
        <v>1833</v>
      </c>
      <c r="E308" s="504" t="s">
        <v>1763</v>
      </c>
      <c r="F308" s="504" t="s">
        <v>439</v>
      </c>
      <c r="G308" s="505">
        <v>25987500</v>
      </c>
      <c r="H308" s="505">
        <v>25987500</v>
      </c>
      <c r="I308" s="505">
        <f t="shared" si="4"/>
        <v>0</v>
      </c>
      <c r="J308" s="503" t="s">
        <v>2512</v>
      </c>
      <c r="K308" s="506" t="s">
        <v>2515</v>
      </c>
      <c r="L308" s="499"/>
      <c r="M308" s="500"/>
    </row>
    <row r="309" spans="1:13" ht="15" hidden="1" customHeight="1" x14ac:dyDescent="0.25">
      <c r="A309" s="486" t="s">
        <v>2516</v>
      </c>
      <c r="B309" s="502">
        <v>20316</v>
      </c>
      <c r="C309" s="503" t="s">
        <v>2511</v>
      </c>
      <c r="D309" s="503" t="s">
        <v>1833</v>
      </c>
      <c r="E309" s="504" t="s">
        <v>1716</v>
      </c>
      <c r="F309" s="504" t="s">
        <v>1718</v>
      </c>
      <c r="G309" s="505">
        <v>29400000</v>
      </c>
      <c r="H309" s="505">
        <v>27930000</v>
      </c>
      <c r="I309" s="505">
        <f t="shared" si="4"/>
        <v>1470000</v>
      </c>
      <c r="J309" s="503" t="s">
        <v>2517</v>
      </c>
      <c r="K309" s="506" t="s">
        <v>2518</v>
      </c>
      <c r="L309" s="499"/>
      <c r="M309" s="500"/>
    </row>
    <row r="310" spans="1:13" ht="15" hidden="1" customHeight="1" x14ac:dyDescent="0.25">
      <c r="A310" s="509" t="s">
        <v>2519</v>
      </c>
      <c r="B310" s="502">
        <v>20416</v>
      </c>
      <c r="C310" s="503" t="s">
        <v>2520</v>
      </c>
      <c r="D310" s="503" t="s">
        <v>1833</v>
      </c>
      <c r="E310" s="504" t="s">
        <v>1716</v>
      </c>
      <c r="F310" s="504" t="s">
        <v>1718</v>
      </c>
      <c r="G310" s="505">
        <v>45911790</v>
      </c>
      <c r="H310" s="505">
        <v>45911790</v>
      </c>
      <c r="I310" s="505">
        <f t="shared" si="4"/>
        <v>0</v>
      </c>
      <c r="J310" s="503" t="s">
        <v>2521</v>
      </c>
      <c r="K310" s="506" t="s">
        <v>2522</v>
      </c>
      <c r="L310" s="499"/>
      <c r="M310" s="500"/>
    </row>
    <row r="311" spans="1:13" ht="15" hidden="1" customHeight="1" x14ac:dyDescent="0.25">
      <c r="A311" s="509" t="s">
        <v>2523</v>
      </c>
      <c r="B311" s="502">
        <v>20516</v>
      </c>
      <c r="C311" s="503" t="s">
        <v>2520</v>
      </c>
      <c r="D311" s="503" t="s">
        <v>1833</v>
      </c>
      <c r="E311" s="504" t="s">
        <v>1763</v>
      </c>
      <c r="F311" s="504" t="s">
        <v>439</v>
      </c>
      <c r="G311" s="505">
        <v>18400000</v>
      </c>
      <c r="H311" s="505">
        <v>18000000</v>
      </c>
      <c r="I311" s="505">
        <f t="shared" si="4"/>
        <v>400000</v>
      </c>
      <c r="J311" s="503" t="s">
        <v>2524</v>
      </c>
      <c r="K311" s="506" t="s">
        <v>2525</v>
      </c>
      <c r="L311" s="499"/>
      <c r="M311" s="500"/>
    </row>
    <row r="312" spans="1:13" ht="15" hidden="1" customHeight="1" x14ac:dyDescent="0.25">
      <c r="A312" s="509" t="s">
        <v>2526</v>
      </c>
      <c r="B312" s="502">
        <v>20616</v>
      </c>
      <c r="C312" s="503" t="s">
        <v>2527</v>
      </c>
      <c r="D312" s="503" t="s">
        <v>1833</v>
      </c>
      <c r="E312" s="504" t="s">
        <v>1716</v>
      </c>
      <c r="F312" s="504" t="s">
        <v>1718</v>
      </c>
      <c r="G312" s="505">
        <v>28000000</v>
      </c>
      <c r="H312" s="505">
        <v>28000000</v>
      </c>
      <c r="I312" s="505">
        <f t="shared" si="4"/>
        <v>0</v>
      </c>
      <c r="J312" s="503" t="s">
        <v>2528</v>
      </c>
      <c r="K312" s="506" t="s">
        <v>2529</v>
      </c>
      <c r="L312" s="499"/>
      <c r="M312" s="500"/>
    </row>
    <row r="313" spans="1:13" ht="15" hidden="1" customHeight="1" x14ac:dyDescent="0.25">
      <c r="A313" s="509" t="s">
        <v>2530</v>
      </c>
      <c r="B313" s="502">
        <v>20716</v>
      </c>
      <c r="C313" s="503" t="s">
        <v>2527</v>
      </c>
      <c r="D313" s="503" t="s">
        <v>1833</v>
      </c>
      <c r="E313" s="504" t="s">
        <v>1716</v>
      </c>
      <c r="F313" s="504" t="s">
        <v>1718</v>
      </c>
      <c r="G313" s="505">
        <v>48000000</v>
      </c>
      <c r="H313" s="505">
        <v>48000000</v>
      </c>
      <c r="I313" s="505">
        <f t="shared" si="4"/>
        <v>0</v>
      </c>
      <c r="J313" s="503" t="s">
        <v>2531</v>
      </c>
      <c r="K313" s="506" t="s">
        <v>2532</v>
      </c>
      <c r="L313" s="499"/>
      <c r="M313" s="500"/>
    </row>
    <row r="314" spans="1:13" ht="15" hidden="1" customHeight="1" x14ac:dyDescent="0.25">
      <c r="A314" s="509" t="s">
        <v>2533</v>
      </c>
      <c r="B314" s="502">
        <v>20816</v>
      </c>
      <c r="C314" s="503" t="s">
        <v>2534</v>
      </c>
      <c r="D314" s="503" t="s">
        <v>1798</v>
      </c>
      <c r="E314" s="504" t="s">
        <v>1631</v>
      </c>
      <c r="F314" s="504" t="s">
        <v>573</v>
      </c>
      <c r="G314" s="505">
        <v>50000</v>
      </c>
      <c r="H314" s="505">
        <v>50000</v>
      </c>
      <c r="I314" s="505">
        <f t="shared" si="4"/>
        <v>0</v>
      </c>
      <c r="J314" s="503" t="s">
        <v>2535</v>
      </c>
      <c r="K314" s="506" t="s">
        <v>2536</v>
      </c>
      <c r="L314" s="499"/>
      <c r="M314" s="500"/>
    </row>
    <row r="315" spans="1:13" ht="15" hidden="1" customHeight="1" x14ac:dyDescent="0.25">
      <c r="A315" s="509" t="s">
        <v>2537</v>
      </c>
      <c r="B315" s="502">
        <v>20816</v>
      </c>
      <c r="C315" s="503" t="s">
        <v>2534</v>
      </c>
      <c r="D315" s="503" t="s">
        <v>1798</v>
      </c>
      <c r="E315" s="504" t="s">
        <v>1686</v>
      </c>
      <c r="F315" s="504" t="s">
        <v>1687</v>
      </c>
      <c r="G315" s="505">
        <v>525706</v>
      </c>
      <c r="H315" s="505">
        <v>525706</v>
      </c>
      <c r="I315" s="505">
        <f t="shared" si="4"/>
        <v>0</v>
      </c>
      <c r="J315" s="503" t="s">
        <v>2535</v>
      </c>
      <c r="K315" s="506" t="s">
        <v>2536</v>
      </c>
      <c r="L315" s="499"/>
      <c r="M315" s="500"/>
    </row>
    <row r="316" spans="1:13" ht="15" hidden="1" customHeight="1" x14ac:dyDescent="0.25">
      <c r="A316" s="509" t="s">
        <v>2538</v>
      </c>
      <c r="B316" s="502">
        <v>20816</v>
      </c>
      <c r="C316" s="503" t="s">
        <v>2534</v>
      </c>
      <c r="D316" s="503" t="s">
        <v>1798</v>
      </c>
      <c r="E316" s="504" t="s">
        <v>1637</v>
      </c>
      <c r="F316" s="504" t="s">
        <v>1638</v>
      </c>
      <c r="G316" s="505">
        <v>76800</v>
      </c>
      <c r="H316" s="505">
        <v>76800</v>
      </c>
      <c r="I316" s="505">
        <f t="shared" si="4"/>
        <v>0</v>
      </c>
      <c r="J316" s="503" t="s">
        <v>2535</v>
      </c>
      <c r="K316" s="506" t="s">
        <v>2536</v>
      </c>
      <c r="L316" s="499"/>
      <c r="M316" s="500"/>
    </row>
    <row r="317" spans="1:13" ht="15" hidden="1" customHeight="1" x14ac:dyDescent="0.25">
      <c r="A317" s="509" t="s">
        <v>2539</v>
      </c>
      <c r="B317" s="502">
        <v>20816</v>
      </c>
      <c r="C317" s="503" t="s">
        <v>2534</v>
      </c>
      <c r="D317" s="503" t="s">
        <v>1798</v>
      </c>
      <c r="E317" s="504" t="s">
        <v>1640</v>
      </c>
      <c r="F317" s="504" t="s">
        <v>1641</v>
      </c>
      <c r="G317" s="505">
        <v>1881812</v>
      </c>
      <c r="H317" s="505">
        <v>1881812</v>
      </c>
      <c r="I317" s="505">
        <f t="shared" si="4"/>
        <v>0</v>
      </c>
      <c r="J317" s="503" t="s">
        <v>2535</v>
      </c>
      <c r="K317" s="506" t="s">
        <v>2536</v>
      </c>
      <c r="L317" s="499"/>
      <c r="M317" s="500"/>
    </row>
    <row r="318" spans="1:13" ht="15" hidden="1" customHeight="1" x14ac:dyDescent="0.25">
      <c r="A318" s="509" t="s">
        <v>2540</v>
      </c>
      <c r="B318" s="502">
        <v>20816</v>
      </c>
      <c r="C318" s="503" t="s">
        <v>2534</v>
      </c>
      <c r="D318" s="503" t="s">
        <v>1798</v>
      </c>
      <c r="E318" s="504" t="s">
        <v>1642</v>
      </c>
      <c r="F318" s="504" t="s">
        <v>1643</v>
      </c>
      <c r="G318" s="505">
        <v>9000</v>
      </c>
      <c r="H318" s="505">
        <v>9000</v>
      </c>
      <c r="I318" s="505">
        <f t="shared" si="4"/>
        <v>0</v>
      </c>
      <c r="J318" s="503" t="s">
        <v>2535</v>
      </c>
      <c r="K318" s="506" t="s">
        <v>2536</v>
      </c>
      <c r="L318" s="499"/>
      <c r="M318" s="500"/>
    </row>
    <row r="319" spans="1:13" ht="15" hidden="1" customHeight="1" x14ac:dyDescent="0.25">
      <c r="A319" s="509" t="s">
        <v>2541</v>
      </c>
      <c r="B319" s="502">
        <v>20816</v>
      </c>
      <c r="C319" s="503" t="s">
        <v>2534</v>
      </c>
      <c r="D319" s="503" t="s">
        <v>1798</v>
      </c>
      <c r="E319" s="504" t="s">
        <v>1644</v>
      </c>
      <c r="F319" s="504" t="s">
        <v>1645</v>
      </c>
      <c r="G319" s="505">
        <v>70000</v>
      </c>
      <c r="H319" s="505">
        <v>70000</v>
      </c>
      <c r="I319" s="505">
        <f t="shared" si="4"/>
        <v>0</v>
      </c>
      <c r="J319" s="503" t="s">
        <v>2535</v>
      </c>
      <c r="K319" s="506" t="s">
        <v>2536</v>
      </c>
      <c r="L319" s="499"/>
      <c r="M319" s="500"/>
    </row>
    <row r="320" spans="1:13" ht="15" hidden="1" customHeight="1" x14ac:dyDescent="0.25">
      <c r="A320" s="509" t="s">
        <v>2542</v>
      </c>
      <c r="B320" s="502">
        <v>20816</v>
      </c>
      <c r="C320" s="503" t="s">
        <v>2534</v>
      </c>
      <c r="D320" s="503" t="s">
        <v>1798</v>
      </c>
      <c r="E320" s="504" t="s">
        <v>1646</v>
      </c>
      <c r="F320" s="504" t="s">
        <v>520</v>
      </c>
      <c r="G320" s="505">
        <v>1078262</v>
      </c>
      <c r="H320" s="505">
        <v>1078262</v>
      </c>
      <c r="I320" s="505">
        <f t="shared" si="4"/>
        <v>0</v>
      </c>
      <c r="J320" s="503" t="s">
        <v>2535</v>
      </c>
      <c r="K320" s="506" t="s">
        <v>2536</v>
      </c>
      <c r="L320" s="499"/>
      <c r="M320" s="500"/>
    </row>
    <row r="321" spans="1:13" ht="15" customHeight="1" x14ac:dyDescent="0.25">
      <c r="A321" s="509" t="s">
        <v>2543</v>
      </c>
      <c r="B321" s="502">
        <v>20816</v>
      </c>
      <c r="C321" s="503" t="s">
        <v>2534</v>
      </c>
      <c r="D321" s="503" t="s">
        <v>1798</v>
      </c>
      <c r="E321" s="504" t="s">
        <v>1647</v>
      </c>
      <c r="F321" s="504" t="s">
        <v>1091</v>
      </c>
      <c r="G321" s="505">
        <v>307700</v>
      </c>
      <c r="H321" s="535">
        <v>307700</v>
      </c>
      <c r="I321" s="505">
        <f t="shared" si="4"/>
        <v>0</v>
      </c>
      <c r="J321" s="503" t="s">
        <v>2535</v>
      </c>
      <c r="K321" s="506" t="s">
        <v>2536</v>
      </c>
      <c r="L321" s="499"/>
      <c r="M321" s="500"/>
    </row>
    <row r="322" spans="1:13" ht="15" hidden="1" customHeight="1" x14ac:dyDescent="0.25">
      <c r="A322" s="509" t="s">
        <v>2544</v>
      </c>
      <c r="B322" s="502">
        <v>20816</v>
      </c>
      <c r="C322" s="503" t="s">
        <v>2534</v>
      </c>
      <c r="D322" s="503" t="s">
        <v>1798</v>
      </c>
      <c r="E322" s="504" t="s">
        <v>1656</v>
      </c>
      <c r="F322" s="504" t="s">
        <v>493</v>
      </c>
      <c r="G322" s="505">
        <v>30000</v>
      </c>
      <c r="H322" s="505">
        <v>30000</v>
      </c>
      <c r="I322" s="505">
        <f t="shared" si="4"/>
        <v>0</v>
      </c>
      <c r="J322" s="503" t="s">
        <v>2535</v>
      </c>
      <c r="K322" s="506" t="s">
        <v>2536</v>
      </c>
      <c r="L322" s="499"/>
      <c r="M322" s="500"/>
    </row>
    <row r="323" spans="1:13" ht="15" hidden="1" customHeight="1" x14ac:dyDescent="0.25">
      <c r="A323" s="509" t="s">
        <v>2545</v>
      </c>
      <c r="B323" s="502">
        <v>20816</v>
      </c>
      <c r="C323" s="503" t="s">
        <v>2534</v>
      </c>
      <c r="D323" s="503" t="s">
        <v>1798</v>
      </c>
      <c r="E323" s="504" t="s">
        <v>1650</v>
      </c>
      <c r="F323" s="504" t="s">
        <v>1651</v>
      </c>
      <c r="G323" s="505">
        <v>380000</v>
      </c>
      <c r="H323" s="505">
        <v>380000</v>
      </c>
      <c r="I323" s="505">
        <f t="shared" ref="I323:I351" si="5">+G323-H323</f>
        <v>0</v>
      </c>
      <c r="J323" s="503" t="s">
        <v>2535</v>
      </c>
      <c r="K323" s="506" t="s">
        <v>2536</v>
      </c>
      <c r="L323" s="499"/>
      <c r="M323" s="500"/>
    </row>
    <row r="324" spans="1:13" ht="15" hidden="1" customHeight="1" x14ac:dyDescent="0.25">
      <c r="A324" s="509" t="s">
        <v>2546</v>
      </c>
      <c r="B324" s="502">
        <v>20816</v>
      </c>
      <c r="C324" s="503" t="s">
        <v>2534</v>
      </c>
      <c r="D324" s="503" t="s">
        <v>1798</v>
      </c>
      <c r="E324" s="504" t="s">
        <v>1657</v>
      </c>
      <c r="F324" s="504" t="s">
        <v>494</v>
      </c>
      <c r="G324" s="505">
        <v>41000</v>
      </c>
      <c r="H324" s="505">
        <v>41000</v>
      </c>
      <c r="I324" s="505">
        <f t="shared" si="5"/>
        <v>0</v>
      </c>
      <c r="J324" s="503" t="s">
        <v>2535</v>
      </c>
      <c r="K324" s="506" t="s">
        <v>2536</v>
      </c>
      <c r="L324" s="499"/>
      <c r="M324" s="500"/>
    </row>
    <row r="325" spans="1:13" ht="15" hidden="1" customHeight="1" x14ac:dyDescent="0.25">
      <c r="A325" s="509" t="s">
        <v>2547</v>
      </c>
      <c r="B325" s="502">
        <v>20816</v>
      </c>
      <c r="C325" s="503" t="s">
        <v>2534</v>
      </c>
      <c r="D325" s="503" t="s">
        <v>1798</v>
      </c>
      <c r="E325" s="504" t="s">
        <v>1659</v>
      </c>
      <c r="F325" s="504" t="s">
        <v>496</v>
      </c>
      <c r="G325" s="505">
        <v>225100</v>
      </c>
      <c r="H325" s="505">
        <v>225100</v>
      </c>
      <c r="I325" s="505">
        <f t="shared" si="5"/>
        <v>0</v>
      </c>
      <c r="J325" s="503" t="s">
        <v>2535</v>
      </c>
      <c r="K325" s="506" t="s">
        <v>2536</v>
      </c>
      <c r="L325" s="499"/>
      <c r="M325" s="500"/>
    </row>
    <row r="326" spans="1:13" ht="15" hidden="1" customHeight="1" x14ac:dyDescent="0.25">
      <c r="A326" s="509" t="s">
        <v>2548</v>
      </c>
      <c r="B326" s="502">
        <v>20816</v>
      </c>
      <c r="C326" s="503" t="s">
        <v>2534</v>
      </c>
      <c r="D326" s="503" t="s">
        <v>1798</v>
      </c>
      <c r="E326" s="504" t="s">
        <v>1665</v>
      </c>
      <c r="F326" s="504" t="s">
        <v>1666</v>
      </c>
      <c r="G326" s="505">
        <v>303305</v>
      </c>
      <c r="H326" s="505">
        <v>303305</v>
      </c>
      <c r="I326" s="505">
        <f t="shared" si="5"/>
        <v>0</v>
      </c>
      <c r="J326" s="503" t="s">
        <v>2535</v>
      </c>
      <c r="K326" s="506" t="s">
        <v>2536</v>
      </c>
      <c r="L326" s="499"/>
      <c r="M326" s="500"/>
    </row>
    <row r="327" spans="1:13" ht="15" hidden="1" customHeight="1" x14ac:dyDescent="0.25">
      <c r="A327" s="509" t="s">
        <v>2549</v>
      </c>
      <c r="B327" s="502">
        <v>20916</v>
      </c>
      <c r="C327" s="503" t="s">
        <v>2550</v>
      </c>
      <c r="D327" s="503" t="s">
        <v>1833</v>
      </c>
      <c r="E327" s="504" t="s">
        <v>1716</v>
      </c>
      <c r="F327" s="504" t="s">
        <v>1718</v>
      </c>
      <c r="G327" s="505">
        <v>40000000</v>
      </c>
      <c r="H327" s="505">
        <v>40000000</v>
      </c>
      <c r="I327" s="505">
        <f t="shared" si="5"/>
        <v>0</v>
      </c>
      <c r="J327" s="503" t="s">
        <v>2551</v>
      </c>
      <c r="K327" s="506" t="s">
        <v>2552</v>
      </c>
      <c r="L327" s="499"/>
      <c r="M327" s="500"/>
    </row>
    <row r="328" spans="1:13" ht="15" hidden="1" customHeight="1" x14ac:dyDescent="0.25">
      <c r="A328" s="509" t="s">
        <v>2553</v>
      </c>
      <c r="B328" s="502">
        <v>21016</v>
      </c>
      <c r="C328" s="503" t="s">
        <v>2550</v>
      </c>
      <c r="D328" s="503" t="s">
        <v>1833</v>
      </c>
      <c r="E328" s="504" t="s">
        <v>1716</v>
      </c>
      <c r="F328" s="504" t="s">
        <v>1718</v>
      </c>
      <c r="G328" s="505">
        <v>10000000</v>
      </c>
      <c r="H328" s="505">
        <v>3372009</v>
      </c>
      <c r="I328" s="505">
        <f t="shared" si="5"/>
        <v>6627991</v>
      </c>
      <c r="J328" s="503" t="s">
        <v>2554</v>
      </c>
      <c r="K328" s="506" t="s">
        <v>2555</v>
      </c>
      <c r="L328" s="499"/>
      <c r="M328" s="500"/>
    </row>
    <row r="329" spans="1:13" ht="15" hidden="1" customHeight="1" x14ac:dyDescent="0.25">
      <c r="A329" s="509" t="s">
        <v>2556</v>
      </c>
      <c r="B329" s="502">
        <v>21116</v>
      </c>
      <c r="C329" s="503" t="s">
        <v>2550</v>
      </c>
      <c r="D329" s="503" t="s">
        <v>1798</v>
      </c>
      <c r="E329" s="504" t="s">
        <v>1686</v>
      </c>
      <c r="F329" s="504" t="s">
        <v>1687</v>
      </c>
      <c r="G329" s="505">
        <v>872107</v>
      </c>
      <c r="H329" s="505">
        <v>872107</v>
      </c>
      <c r="I329" s="505">
        <f t="shared" si="5"/>
        <v>0</v>
      </c>
      <c r="J329" s="503" t="s">
        <v>2557</v>
      </c>
      <c r="K329" s="506" t="s">
        <v>2558</v>
      </c>
      <c r="L329" s="499"/>
      <c r="M329" s="500"/>
    </row>
    <row r="330" spans="1:13" ht="15" hidden="1" customHeight="1" x14ac:dyDescent="0.25">
      <c r="A330" s="509" t="s">
        <v>2559</v>
      </c>
      <c r="B330" s="502">
        <v>21116</v>
      </c>
      <c r="C330" s="503" t="s">
        <v>2550</v>
      </c>
      <c r="D330" s="503" t="s">
        <v>1798</v>
      </c>
      <c r="E330" s="504" t="s">
        <v>1637</v>
      </c>
      <c r="F330" s="504" t="s">
        <v>1638</v>
      </c>
      <c r="G330" s="505">
        <v>21000</v>
      </c>
      <c r="H330" s="505">
        <v>21000</v>
      </c>
      <c r="I330" s="505">
        <f t="shared" si="5"/>
        <v>0</v>
      </c>
      <c r="J330" s="503" t="s">
        <v>2557</v>
      </c>
      <c r="K330" s="506" t="s">
        <v>2558</v>
      </c>
      <c r="L330" s="499"/>
      <c r="M330" s="500"/>
    </row>
    <row r="331" spans="1:13" ht="15" hidden="1" customHeight="1" x14ac:dyDescent="0.25">
      <c r="A331" s="509" t="s">
        <v>2560</v>
      </c>
      <c r="B331" s="502">
        <v>21116</v>
      </c>
      <c r="C331" s="503" t="s">
        <v>2550</v>
      </c>
      <c r="D331" s="503" t="s">
        <v>1798</v>
      </c>
      <c r="E331" s="504" t="s">
        <v>1640</v>
      </c>
      <c r="F331" s="504" t="s">
        <v>1641</v>
      </c>
      <c r="G331" s="505">
        <v>609902</v>
      </c>
      <c r="H331" s="505">
        <v>609902</v>
      </c>
      <c r="I331" s="505">
        <f t="shared" si="5"/>
        <v>0</v>
      </c>
      <c r="J331" s="503" t="s">
        <v>2557</v>
      </c>
      <c r="K331" s="506" t="s">
        <v>2558</v>
      </c>
      <c r="L331" s="499"/>
      <c r="M331" s="500"/>
    </row>
    <row r="332" spans="1:13" ht="15" hidden="1" customHeight="1" x14ac:dyDescent="0.25">
      <c r="A332" s="509" t="s">
        <v>2561</v>
      </c>
      <c r="B332" s="502">
        <v>21116</v>
      </c>
      <c r="C332" s="503" t="s">
        <v>2550</v>
      </c>
      <c r="D332" s="503" t="s">
        <v>1798</v>
      </c>
      <c r="E332" s="504" t="s">
        <v>1646</v>
      </c>
      <c r="F332" s="504" t="s">
        <v>520</v>
      </c>
      <c r="G332" s="505">
        <v>212000</v>
      </c>
      <c r="H332" s="505">
        <v>212000</v>
      </c>
      <c r="I332" s="505">
        <f t="shared" si="5"/>
        <v>0</v>
      </c>
      <c r="J332" s="503" t="s">
        <v>2557</v>
      </c>
      <c r="K332" s="506" t="s">
        <v>2558</v>
      </c>
      <c r="L332" s="499"/>
      <c r="M332" s="500"/>
    </row>
    <row r="333" spans="1:13" ht="15" hidden="1" customHeight="1" x14ac:dyDescent="0.25">
      <c r="A333" s="509" t="s">
        <v>2562</v>
      </c>
      <c r="B333" s="502">
        <v>21116</v>
      </c>
      <c r="C333" s="503" t="s">
        <v>2550</v>
      </c>
      <c r="D333" s="503" t="s">
        <v>1798</v>
      </c>
      <c r="E333" s="504" t="s">
        <v>1657</v>
      </c>
      <c r="F333" s="504" t="s">
        <v>494</v>
      </c>
      <c r="G333" s="505">
        <v>39100</v>
      </c>
      <c r="H333" s="505">
        <v>39100</v>
      </c>
      <c r="I333" s="505">
        <f t="shared" si="5"/>
        <v>0</v>
      </c>
      <c r="J333" s="503" t="s">
        <v>2557</v>
      </c>
      <c r="K333" s="506" t="s">
        <v>2558</v>
      </c>
      <c r="L333" s="499"/>
      <c r="M333" s="500"/>
    </row>
    <row r="334" spans="1:13" ht="15" hidden="1" customHeight="1" x14ac:dyDescent="0.25">
      <c r="A334" s="509" t="s">
        <v>2563</v>
      </c>
      <c r="B334" s="502">
        <v>21116</v>
      </c>
      <c r="C334" s="503" t="s">
        <v>2550</v>
      </c>
      <c r="D334" s="503" t="s">
        <v>1798</v>
      </c>
      <c r="E334" s="504" t="s">
        <v>1659</v>
      </c>
      <c r="F334" s="504" t="s">
        <v>496</v>
      </c>
      <c r="G334" s="505">
        <v>74100</v>
      </c>
      <c r="H334" s="505">
        <v>74100</v>
      </c>
      <c r="I334" s="505">
        <f t="shared" si="5"/>
        <v>0</v>
      </c>
      <c r="J334" s="503" t="s">
        <v>2557</v>
      </c>
      <c r="K334" s="506" t="s">
        <v>2558</v>
      </c>
      <c r="L334" s="499"/>
      <c r="M334" s="500"/>
    </row>
    <row r="335" spans="1:13" ht="15" hidden="1" customHeight="1" x14ac:dyDescent="0.25">
      <c r="A335" s="509" t="s">
        <v>2564</v>
      </c>
      <c r="B335" s="502">
        <v>21116</v>
      </c>
      <c r="C335" s="503" t="s">
        <v>2550</v>
      </c>
      <c r="D335" s="503" t="s">
        <v>1798</v>
      </c>
      <c r="E335" s="504" t="s">
        <v>1665</v>
      </c>
      <c r="F335" s="504" t="s">
        <v>1666</v>
      </c>
      <c r="G335" s="505">
        <v>225904</v>
      </c>
      <c r="H335" s="505">
        <v>225904</v>
      </c>
      <c r="I335" s="505">
        <f t="shared" si="5"/>
        <v>0</v>
      </c>
      <c r="J335" s="503" t="s">
        <v>2557</v>
      </c>
      <c r="K335" s="506" t="s">
        <v>2558</v>
      </c>
      <c r="L335" s="499"/>
      <c r="M335" s="500"/>
    </row>
    <row r="336" spans="1:13" ht="15" hidden="1" customHeight="1" x14ac:dyDescent="0.25">
      <c r="A336" s="509" t="s">
        <v>2565</v>
      </c>
      <c r="B336" s="502">
        <v>21216</v>
      </c>
      <c r="C336" s="503" t="s">
        <v>2566</v>
      </c>
      <c r="D336" s="503" t="s">
        <v>1833</v>
      </c>
      <c r="E336" s="504" t="s">
        <v>1716</v>
      </c>
      <c r="F336" s="504" t="s">
        <v>1718</v>
      </c>
      <c r="G336" s="505">
        <v>35000000</v>
      </c>
      <c r="H336" s="505">
        <v>35000000</v>
      </c>
      <c r="I336" s="505">
        <f t="shared" si="5"/>
        <v>0</v>
      </c>
      <c r="J336" s="503" t="s">
        <v>2567</v>
      </c>
      <c r="K336" s="506" t="s">
        <v>2568</v>
      </c>
      <c r="L336" s="499"/>
      <c r="M336" s="500"/>
    </row>
    <row r="337" spans="1:13" ht="15" hidden="1" customHeight="1" x14ac:dyDescent="0.25">
      <c r="A337" s="509" t="s">
        <v>2569</v>
      </c>
      <c r="B337" s="502">
        <v>21316</v>
      </c>
      <c r="C337" s="503" t="s">
        <v>2566</v>
      </c>
      <c r="D337" s="503" t="s">
        <v>1833</v>
      </c>
      <c r="E337" s="504" t="s">
        <v>1716</v>
      </c>
      <c r="F337" s="504" t="s">
        <v>1718</v>
      </c>
      <c r="G337" s="505">
        <v>42000000</v>
      </c>
      <c r="H337" s="505">
        <v>42000000</v>
      </c>
      <c r="I337" s="505">
        <f t="shared" si="5"/>
        <v>0</v>
      </c>
      <c r="J337" s="503" t="s">
        <v>2570</v>
      </c>
      <c r="K337" s="506" t="s">
        <v>2571</v>
      </c>
      <c r="L337" s="499"/>
      <c r="M337" s="500"/>
    </row>
    <row r="338" spans="1:13" ht="15" hidden="1" customHeight="1" x14ac:dyDescent="0.25">
      <c r="A338" s="509" t="s">
        <v>2572</v>
      </c>
      <c r="B338" s="502">
        <v>21416</v>
      </c>
      <c r="C338" s="503" t="s">
        <v>2573</v>
      </c>
      <c r="D338" s="503" t="s">
        <v>1833</v>
      </c>
      <c r="E338" s="504" t="s">
        <v>1716</v>
      </c>
      <c r="F338" s="504" t="s">
        <v>1718</v>
      </c>
      <c r="G338" s="505">
        <v>60000000</v>
      </c>
      <c r="H338" s="505">
        <v>60000000</v>
      </c>
      <c r="I338" s="505">
        <f t="shared" si="5"/>
        <v>0</v>
      </c>
      <c r="J338" s="503" t="s">
        <v>2574</v>
      </c>
      <c r="K338" s="506" t="s">
        <v>2575</v>
      </c>
      <c r="L338" s="499"/>
      <c r="M338" s="500"/>
    </row>
    <row r="339" spans="1:13" ht="15" hidden="1" customHeight="1" x14ac:dyDescent="0.25">
      <c r="A339" s="509" t="s">
        <v>2576</v>
      </c>
      <c r="B339" s="502">
        <v>21516</v>
      </c>
      <c r="C339" s="503" t="s">
        <v>2577</v>
      </c>
      <c r="D339" s="503" t="s">
        <v>1833</v>
      </c>
      <c r="E339" s="504" t="s">
        <v>1716</v>
      </c>
      <c r="F339" s="504" t="s">
        <v>1718</v>
      </c>
      <c r="G339" s="505">
        <v>18112500</v>
      </c>
      <c r="H339" s="505">
        <v>0</v>
      </c>
      <c r="I339" s="505">
        <f t="shared" si="5"/>
        <v>18112500</v>
      </c>
      <c r="J339" s="503" t="s">
        <v>2058</v>
      </c>
      <c r="K339" s="506" t="s">
        <v>2058</v>
      </c>
      <c r="L339" s="499"/>
      <c r="M339" s="500"/>
    </row>
    <row r="340" spans="1:13" ht="15" hidden="1" customHeight="1" x14ac:dyDescent="0.25">
      <c r="A340" s="509" t="s">
        <v>2578</v>
      </c>
      <c r="B340" s="502">
        <v>21816</v>
      </c>
      <c r="C340" s="503" t="s">
        <v>2577</v>
      </c>
      <c r="D340" s="503" t="s">
        <v>1833</v>
      </c>
      <c r="E340" s="504" t="s">
        <v>1746</v>
      </c>
      <c r="F340" s="504" t="s">
        <v>350</v>
      </c>
      <c r="G340" s="505">
        <v>43400000</v>
      </c>
      <c r="H340" s="505">
        <v>43400000</v>
      </c>
      <c r="I340" s="505">
        <f t="shared" si="5"/>
        <v>0</v>
      </c>
      <c r="J340" s="503" t="s">
        <v>2579</v>
      </c>
      <c r="K340" s="506" t="s">
        <v>2580</v>
      </c>
      <c r="L340" s="499"/>
      <c r="M340" s="500"/>
    </row>
    <row r="341" spans="1:13" ht="15" hidden="1" customHeight="1" x14ac:dyDescent="0.25">
      <c r="A341" s="509" t="s">
        <v>2581</v>
      </c>
      <c r="B341" s="502">
        <v>21916</v>
      </c>
      <c r="C341" s="503" t="s">
        <v>2577</v>
      </c>
      <c r="D341" s="503" t="s">
        <v>1833</v>
      </c>
      <c r="E341" s="504" t="s">
        <v>1746</v>
      </c>
      <c r="F341" s="504" t="s">
        <v>350</v>
      </c>
      <c r="G341" s="505">
        <v>43400000</v>
      </c>
      <c r="H341" s="505">
        <v>43400000</v>
      </c>
      <c r="I341" s="505">
        <f t="shared" si="5"/>
        <v>0</v>
      </c>
      <c r="J341" s="503" t="s">
        <v>2582</v>
      </c>
      <c r="K341" s="506" t="s">
        <v>2583</v>
      </c>
      <c r="L341" s="499"/>
      <c r="M341" s="500"/>
    </row>
    <row r="342" spans="1:13" ht="15" hidden="1" customHeight="1" x14ac:dyDescent="0.25">
      <c r="A342" s="509" t="s">
        <v>2584</v>
      </c>
      <c r="B342" s="502">
        <v>22016</v>
      </c>
      <c r="C342" s="503" t="s">
        <v>2585</v>
      </c>
      <c r="D342" s="503" t="s">
        <v>1833</v>
      </c>
      <c r="E342" s="504" t="s">
        <v>1763</v>
      </c>
      <c r="F342" s="504" t="s">
        <v>439</v>
      </c>
      <c r="G342" s="505">
        <v>40000000</v>
      </c>
      <c r="H342" s="505">
        <v>39996000</v>
      </c>
      <c r="I342" s="505">
        <f t="shared" si="5"/>
        <v>4000</v>
      </c>
      <c r="J342" s="503" t="s">
        <v>2586</v>
      </c>
      <c r="K342" s="506" t="s">
        <v>2587</v>
      </c>
      <c r="L342" s="499"/>
      <c r="M342" s="500"/>
    </row>
    <row r="343" spans="1:13" ht="15" hidden="1" customHeight="1" x14ac:dyDescent="0.25">
      <c r="A343" s="509" t="s">
        <v>2588</v>
      </c>
      <c r="B343" s="502">
        <v>22116</v>
      </c>
      <c r="C343" s="503" t="s">
        <v>2585</v>
      </c>
      <c r="D343" s="503" t="s">
        <v>1833</v>
      </c>
      <c r="E343" s="504" t="s">
        <v>1716</v>
      </c>
      <c r="F343" s="504" t="s">
        <v>1718</v>
      </c>
      <c r="G343" s="505">
        <v>40000000</v>
      </c>
      <c r="H343" s="505">
        <v>39996000</v>
      </c>
      <c r="I343" s="505">
        <f t="shared" si="5"/>
        <v>4000</v>
      </c>
      <c r="J343" s="503" t="s">
        <v>2586</v>
      </c>
      <c r="K343" s="506" t="s">
        <v>2589</v>
      </c>
      <c r="L343" s="499"/>
      <c r="M343" s="500"/>
    </row>
    <row r="344" spans="1:13" ht="15" hidden="1" customHeight="1" x14ac:dyDescent="0.25">
      <c r="A344" s="509" t="s">
        <v>2590</v>
      </c>
      <c r="B344" s="502">
        <v>22216</v>
      </c>
      <c r="C344" s="503" t="s">
        <v>2585</v>
      </c>
      <c r="D344" s="503" t="s">
        <v>1833</v>
      </c>
      <c r="E344" s="504" t="s">
        <v>1716</v>
      </c>
      <c r="F344" s="504" t="s">
        <v>1718</v>
      </c>
      <c r="G344" s="505">
        <v>17250000</v>
      </c>
      <c r="H344" s="505">
        <v>17250000</v>
      </c>
      <c r="I344" s="505">
        <f t="shared" si="5"/>
        <v>0</v>
      </c>
      <c r="J344" s="503" t="s">
        <v>2591</v>
      </c>
      <c r="K344" s="506" t="s">
        <v>2592</v>
      </c>
      <c r="L344" s="499"/>
      <c r="M344" s="500"/>
    </row>
    <row r="345" spans="1:13" ht="15" hidden="1" customHeight="1" x14ac:dyDescent="0.25">
      <c r="A345" s="509" t="s">
        <v>2593</v>
      </c>
      <c r="B345" s="502">
        <v>22316</v>
      </c>
      <c r="C345" s="503" t="s">
        <v>2594</v>
      </c>
      <c r="D345" s="503" t="s">
        <v>1833</v>
      </c>
      <c r="E345" s="504" t="s">
        <v>1763</v>
      </c>
      <c r="F345" s="504" t="s">
        <v>439</v>
      </c>
      <c r="G345" s="505">
        <v>37852500</v>
      </c>
      <c r="H345" s="505">
        <v>0</v>
      </c>
      <c r="I345" s="505">
        <f t="shared" si="5"/>
        <v>37852500</v>
      </c>
      <c r="J345" s="503" t="s">
        <v>2058</v>
      </c>
      <c r="K345" s="506" t="s">
        <v>2058</v>
      </c>
      <c r="L345" s="499"/>
      <c r="M345" s="500"/>
    </row>
    <row r="346" spans="1:13" ht="15" hidden="1" customHeight="1" x14ac:dyDescent="0.25">
      <c r="A346" s="509" t="s">
        <v>2595</v>
      </c>
      <c r="B346" s="502">
        <v>22416</v>
      </c>
      <c r="C346" s="503" t="s">
        <v>2594</v>
      </c>
      <c r="D346" s="503" t="s">
        <v>1833</v>
      </c>
      <c r="E346" s="504" t="s">
        <v>1716</v>
      </c>
      <c r="F346" s="504" t="s">
        <v>1718</v>
      </c>
      <c r="G346" s="505">
        <v>31605000</v>
      </c>
      <c r="H346" s="505">
        <v>0</v>
      </c>
      <c r="I346" s="505">
        <f t="shared" si="5"/>
        <v>31605000</v>
      </c>
      <c r="J346" s="503" t="s">
        <v>2058</v>
      </c>
      <c r="K346" s="506" t="s">
        <v>2058</v>
      </c>
      <c r="L346" s="499"/>
      <c r="M346" s="500"/>
    </row>
    <row r="347" spans="1:13" ht="15" hidden="1" customHeight="1" x14ac:dyDescent="0.25">
      <c r="A347" s="509" t="s">
        <v>2596</v>
      </c>
      <c r="B347" s="502">
        <v>22516</v>
      </c>
      <c r="C347" s="503" t="s">
        <v>2594</v>
      </c>
      <c r="D347" s="503" t="s">
        <v>1833</v>
      </c>
      <c r="E347" s="504" t="s">
        <v>1716</v>
      </c>
      <c r="F347" s="504" t="s">
        <v>1718</v>
      </c>
      <c r="G347" s="505">
        <v>22711500</v>
      </c>
      <c r="H347" s="505">
        <v>0</v>
      </c>
      <c r="I347" s="505">
        <f t="shared" si="5"/>
        <v>22711500</v>
      </c>
      <c r="J347" s="503" t="s">
        <v>2058</v>
      </c>
      <c r="K347" s="506" t="s">
        <v>2058</v>
      </c>
      <c r="L347" s="499"/>
      <c r="M347" s="500"/>
    </row>
    <row r="348" spans="1:13" ht="15" hidden="1" customHeight="1" x14ac:dyDescent="0.25">
      <c r="A348" s="509" t="s">
        <v>2597</v>
      </c>
      <c r="B348" s="502">
        <v>22616</v>
      </c>
      <c r="C348" s="503" t="s">
        <v>2594</v>
      </c>
      <c r="D348" s="503" t="s">
        <v>1833</v>
      </c>
      <c r="E348" s="504" t="s">
        <v>1716</v>
      </c>
      <c r="F348" s="504" t="s">
        <v>1718</v>
      </c>
      <c r="G348" s="505">
        <v>22711500</v>
      </c>
      <c r="H348" s="505">
        <v>0</v>
      </c>
      <c r="I348" s="505">
        <f t="shared" si="5"/>
        <v>22711500</v>
      </c>
      <c r="J348" s="503" t="s">
        <v>2058</v>
      </c>
      <c r="K348" s="506" t="s">
        <v>2058</v>
      </c>
      <c r="L348" s="499"/>
      <c r="M348" s="500"/>
    </row>
    <row r="349" spans="1:13" ht="15" hidden="1" customHeight="1" x14ac:dyDescent="0.25">
      <c r="A349" s="509" t="s">
        <v>2598</v>
      </c>
      <c r="B349" s="502">
        <v>22716</v>
      </c>
      <c r="C349" s="503" t="s">
        <v>2594</v>
      </c>
      <c r="D349" s="503" t="s">
        <v>1833</v>
      </c>
      <c r="E349" s="504" t="s">
        <v>1716</v>
      </c>
      <c r="F349" s="504" t="s">
        <v>1718</v>
      </c>
      <c r="G349" s="505">
        <v>69615000</v>
      </c>
      <c r="H349" s="505">
        <v>0</v>
      </c>
      <c r="I349" s="505">
        <f t="shared" si="5"/>
        <v>69615000</v>
      </c>
      <c r="J349" s="503" t="s">
        <v>2058</v>
      </c>
      <c r="K349" s="506" t="s">
        <v>2058</v>
      </c>
      <c r="L349" s="499"/>
      <c r="M349" s="500"/>
    </row>
    <row r="350" spans="1:13" ht="15" hidden="1" customHeight="1" x14ac:dyDescent="0.25">
      <c r="A350" s="509" t="s">
        <v>2599</v>
      </c>
      <c r="B350" s="502">
        <v>22816</v>
      </c>
      <c r="C350" s="503" t="s">
        <v>2600</v>
      </c>
      <c r="D350" s="503" t="s">
        <v>1833</v>
      </c>
      <c r="E350" s="504" t="s">
        <v>1746</v>
      </c>
      <c r="F350" s="504" t="s">
        <v>350</v>
      </c>
      <c r="G350" s="505">
        <v>32500000</v>
      </c>
      <c r="H350" s="505">
        <v>0</v>
      </c>
      <c r="I350" s="505">
        <f t="shared" si="5"/>
        <v>32500000</v>
      </c>
      <c r="J350" s="503" t="s">
        <v>2058</v>
      </c>
      <c r="K350" s="506" t="s">
        <v>2058</v>
      </c>
      <c r="L350" s="499"/>
      <c r="M350" s="500"/>
    </row>
    <row r="351" spans="1:13" ht="15" hidden="1" customHeight="1" thickBot="1" x14ac:dyDescent="0.3">
      <c r="A351" s="509" t="s">
        <v>2601</v>
      </c>
      <c r="B351" s="510">
        <v>22916</v>
      </c>
      <c r="C351" s="511" t="s">
        <v>2600</v>
      </c>
      <c r="D351" s="511" t="s">
        <v>1798</v>
      </c>
      <c r="E351" s="512" t="s">
        <v>1654</v>
      </c>
      <c r="F351" s="512" t="s">
        <v>523</v>
      </c>
      <c r="G351" s="513">
        <v>96225210</v>
      </c>
      <c r="H351" s="513">
        <v>0</v>
      </c>
      <c r="I351" s="513">
        <f t="shared" si="5"/>
        <v>96225210</v>
      </c>
      <c r="J351" s="511" t="s">
        <v>2058</v>
      </c>
      <c r="K351" s="514" t="s">
        <v>2058</v>
      </c>
      <c r="L351" s="499"/>
      <c r="M351" s="500"/>
    </row>
    <row r="352" spans="1:13" ht="15" hidden="1" customHeight="1" thickBot="1" x14ac:dyDescent="0.3">
      <c r="F352" s="516" t="s">
        <v>911</v>
      </c>
      <c r="G352" s="517">
        <f>SUM(G2:G351)</f>
        <v>24263489496.589996</v>
      </c>
      <c r="H352" s="517">
        <f>SUM(H2:H351)</f>
        <v>12479293892.99</v>
      </c>
      <c r="I352" s="517">
        <f>SUM(I2:I351)</f>
        <v>11784195603.6</v>
      </c>
      <c r="L352" s="518">
        <f>SUM(L2:L202)</f>
        <v>1781024012.6300001</v>
      </c>
      <c r="M352" s="500"/>
    </row>
    <row r="353" spans="2:13" ht="15" hidden="1" customHeight="1" thickBot="1" x14ac:dyDescent="0.3">
      <c r="G353" s="519">
        <v>251293000</v>
      </c>
      <c r="H353" s="493" t="s">
        <v>2602</v>
      </c>
      <c r="L353" s="500"/>
      <c r="M353" s="500"/>
    </row>
    <row r="354" spans="2:13" ht="15" hidden="1" customHeight="1" thickBot="1" x14ac:dyDescent="0.3">
      <c r="F354" s="520" t="s">
        <v>2603</v>
      </c>
      <c r="G354" s="521">
        <f>+G352+G353</f>
        <v>24514782496.589996</v>
      </c>
    </row>
    <row r="355" spans="2:13" ht="15" customHeight="1" x14ac:dyDescent="0.25">
      <c r="G355" s="522"/>
      <c r="H355" s="522"/>
      <c r="I355" s="522"/>
    </row>
    <row r="356" spans="2:13" ht="15" customHeight="1" x14ac:dyDescent="0.25">
      <c r="B356" s="523" t="s">
        <v>2604</v>
      </c>
      <c r="C356" s="523" t="s">
        <v>2605</v>
      </c>
      <c r="D356" s="523" t="s">
        <v>2606</v>
      </c>
      <c r="G356" s="524">
        <f>SUBTOTAL(9,G5:G321)</f>
        <v>15391281</v>
      </c>
      <c r="H356" s="524">
        <f>SUBTOTAL(9,H5:H321)</f>
        <v>8065303</v>
      </c>
      <c r="I356" s="46">
        <f>SUBTOTAL(9,I5:I321)</f>
        <v>7325978</v>
      </c>
      <c r="J356" s="525"/>
    </row>
    <row r="357" spans="2:13" ht="15" customHeight="1" x14ac:dyDescent="0.25">
      <c r="B357" s="526" t="s">
        <v>1798</v>
      </c>
      <c r="C357" s="527">
        <v>1683971717.5899999</v>
      </c>
      <c r="D357" s="527">
        <v>1408668307.99</v>
      </c>
      <c r="F357" s="534"/>
      <c r="G357" s="534">
        <f>(G356-H356)</f>
        <v>7325978</v>
      </c>
      <c r="H357" s="868">
        <f>I162+I244</f>
        <v>6113978</v>
      </c>
      <c r="I357" s="868"/>
      <c r="J357" s="525"/>
    </row>
    <row r="358" spans="2:13" ht="15" customHeight="1" x14ac:dyDescent="0.25">
      <c r="B358" s="526" t="s">
        <v>1833</v>
      </c>
      <c r="C358" s="527">
        <v>9011201829</v>
      </c>
      <c r="D358" s="527">
        <v>5872718600</v>
      </c>
      <c r="H358" s="524"/>
      <c r="I358" s="525"/>
      <c r="J358" s="525"/>
    </row>
    <row r="359" spans="2:13" ht="15" customHeight="1" thickBot="1" x14ac:dyDescent="0.3">
      <c r="B359" s="526" t="s">
        <v>2074</v>
      </c>
      <c r="C359" s="527">
        <v>194594400</v>
      </c>
      <c r="D359" s="527">
        <v>64433250</v>
      </c>
      <c r="H359" s="528"/>
      <c r="I359" s="529"/>
    </row>
    <row r="360" spans="2:13" ht="15" customHeight="1" x14ac:dyDescent="0.25">
      <c r="B360" s="526" t="s">
        <v>1952</v>
      </c>
      <c r="C360" s="527">
        <v>13373721550</v>
      </c>
      <c r="D360" s="527">
        <v>5133473735</v>
      </c>
      <c r="E360" s="530" t="s">
        <v>1551</v>
      </c>
      <c r="F360" s="531" t="s">
        <v>1553</v>
      </c>
      <c r="I360" s="501"/>
    </row>
    <row r="361" spans="2:13" ht="15" customHeight="1" thickBot="1" x14ac:dyDescent="0.3">
      <c r="B361" s="526" t="s">
        <v>2607</v>
      </c>
      <c r="C361" s="527">
        <v>24263489496.59</v>
      </c>
      <c r="D361" s="527">
        <v>12479293892.99</v>
      </c>
      <c r="E361" s="532">
        <f>+G354</f>
        <v>24514782496.589996</v>
      </c>
      <c r="F361" s="533">
        <f>+GETPIVOTDATA("Suma de COMPROMISO",$B$356)</f>
        <v>12479293892.99</v>
      </c>
    </row>
    <row r="362" spans="2:13" ht="15" customHeight="1" x14ac:dyDescent="0.25">
      <c r="B362" s="46"/>
      <c r="C362" s="46"/>
      <c r="D362" s="46"/>
      <c r="E362" s="528"/>
    </row>
    <row r="363" spans="2:13" ht="15" customHeight="1" x14ac:dyDescent="0.25">
      <c r="B363" s="46"/>
      <c r="C363" s="46"/>
      <c r="D363" s="46"/>
    </row>
    <row r="364" spans="2:13" ht="15" customHeight="1" x14ac:dyDescent="0.25">
      <c r="B364" s="523" t="s">
        <v>1952</v>
      </c>
      <c r="C364" s="523" t="s">
        <v>2605</v>
      </c>
      <c r="D364" s="523" t="s">
        <v>2606</v>
      </c>
      <c r="F364" s="46" t="s">
        <v>1798</v>
      </c>
      <c r="G364" s="523" t="s">
        <v>2605</v>
      </c>
      <c r="H364" s="523" t="s">
        <v>2606</v>
      </c>
      <c r="J364" s="523" t="s">
        <v>1833</v>
      </c>
      <c r="K364" s="523" t="s">
        <v>2605</v>
      </c>
      <c r="L364" s="523" t="s">
        <v>2606</v>
      </c>
    </row>
    <row r="365" spans="2:13" ht="15" customHeight="1" x14ac:dyDescent="0.25">
      <c r="B365" s="526" t="s">
        <v>1559</v>
      </c>
      <c r="C365" s="527">
        <v>6254728000</v>
      </c>
      <c r="D365" s="527">
        <v>2761083251</v>
      </c>
      <c r="F365" s="526" t="s">
        <v>1624</v>
      </c>
      <c r="G365" s="527">
        <v>900000</v>
      </c>
      <c r="H365" s="527">
        <v>799100</v>
      </c>
      <c r="J365" s="526" t="s">
        <v>1716</v>
      </c>
      <c r="K365" s="527">
        <v>2663703154</v>
      </c>
      <c r="L365" s="527">
        <v>2472795663</v>
      </c>
    </row>
    <row r="366" spans="2:13" ht="15" customHeight="1" x14ac:dyDescent="0.25">
      <c r="B366" s="526" t="s">
        <v>1561</v>
      </c>
      <c r="C366" s="527">
        <v>480000000</v>
      </c>
      <c r="D366" s="527">
        <v>167478877</v>
      </c>
      <c r="F366" s="526" t="s">
        <v>1627</v>
      </c>
      <c r="G366" s="527">
        <v>35192000</v>
      </c>
      <c r="H366" s="527">
        <v>34339000</v>
      </c>
      <c r="J366" s="526" t="s">
        <v>1697</v>
      </c>
      <c r="K366" s="527">
        <v>1339578568</v>
      </c>
      <c r="L366" s="527">
        <v>504767518</v>
      </c>
    </row>
    <row r="367" spans="2:13" ht="15" customHeight="1" x14ac:dyDescent="0.25">
      <c r="B367" s="526" t="s">
        <v>1563</v>
      </c>
      <c r="C367" s="527">
        <v>54000000</v>
      </c>
      <c r="D367" s="527">
        <v>27509780</v>
      </c>
      <c r="F367" s="526" t="s">
        <v>1682</v>
      </c>
      <c r="G367" s="527">
        <v>5900000</v>
      </c>
      <c r="H367" s="527">
        <v>2359980</v>
      </c>
      <c r="J367" s="526" t="s">
        <v>1704</v>
      </c>
      <c r="K367" s="527">
        <v>80000000</v>
      </c>
      <c r="L367" s="527">
        <v>29958462</v>
      </c>
    </row>
    <row r="368" spans="2:13" ht="15" customHeight="1" x14ac:dyDescent="0.25">
      <c r="B368" s="526" t="s">
        <v>1565</v>
      </c>
      <c r="C368" s="527">
        <v>406459005</v>
      </c>
      <c r="D368" s="527">
        <v>167899463</v>
      </c>
      <c r="F368" s="526" t="s">
        <v>1684</v>
      </c>
      <c r="G368" s="527">
        <v>6000000</v>
      </c>
      <c r="H368" s="527">
        <v>6000000</v>
      </c>
      <c r="J368" s="526" t="s">
        <v>1699</v>
      </c>
      <c r="K368" s="527">
        <v>23500000</v>
      </c>
      <c r="L368" s="527">
        <v>8191480</v>
      </c>
    </row>
    <row r="369" spans="2:12" ht="15" customHeight="1" x14ac:dyDescent="0.25">
      <c r="B369" s="526" t="s">
        <v>1567</v>
      </c>
      <c r="C369" s="527">
        <v>307601995</v>
      </c>
      <c r="D369" s="527">
        <v>117747337</v>
      </c>
      <c r="F369" s="526" t="s">
        <v>1686</v>
      </c>
      <c r="G369" s="527">
        <v>21884323</v>
      </c>
      <c r="H369" s="527">
        <v>16484323</v>
      </c>
      <c r="J369" s="526" t="s">
        <v>1729</v>
      </c>
      <c r="K369" s="527">
        <v>78310705</v>
      </c>
      <c r="L369" s="527">
        <v>28606152</v>
      </c>
    </row>
    <row r="370" spans="2:12" ht="15" customHeight="1" x14ac:dyDescent="0.25">
      <c r="B370" s="526" t="s">
        <v>1569</v>
      </c>
      <c r="C370" s="527">
        <v>146047836</v>
      </c>
      <c r="D370" s="527">
        <v>63368549</v>
      </c>
      <c r="F370" s="526" t="s">
        <v>1629</v>
      </c>
      <c r="G370" s="527">
        <v>600000</v>
      </c>
      <c r="H370" s="527">
        <v>600000</v>
      </c>
      <c r="J370" s="526" t="s">
        <v>1735</v>
      </c>
      <c r="K370" s="527">
        <v>13795858</v>
      </c>
      <c r="L370" s="527">
        <v>2904214</v>
      </c>
    </row>
    <row r="371" spans="2:12" ht="15" customHeight="1" x14ac:dyDescent="0.25">
      <c r="B371" s="526" t="s">
        <v>1575</v>
      </c>
      <c r="C371" s="527">
        <v>16721712</v>
      </c>
      <c r="D371" s="527">
        <v>6577313</v>
      </c>
      <c r="F371" s="526" t="s">
        <v>1628</v>
      </c>
      <c r="G371" s="527">
        <v>36000000</v>
      </c>
      <c r="H371" s="527">
        <v>36000000</v>
      </c>
      <c r="J371" s="526" t="s">
        <v>1721</v>
      </c>
      <c r="K371" s="527">
        <v>94788818</v>
      </c>
      <c r="L371" s="527">
        <v>2286117</v>
      </c>
    </row>
    <row r="372" spans="2:12" ht="15" customHeight="1" x14ac:dyDescent="0.25">
      <c r="B372" s="526" t="s">
        <v>1577</v>
      </c>
      <c r="C372" s="527">
        <v>10256400</v>
      </c>
      <c r="D372" s="527">
        <v>3403260</v>
      </c>
      <c r="F372" s="526" t="s">
        <v>1688</v>
      </c>
      <c r="G372" s="527">
        <v>5000000</v>
      </c>
      <c r="H372" s="527">
        <v>4000000</v>
      </c>
      <c r="J372" s="526" t="s">
        <v>1723</v>
      </c>
      <c r="K372" s="527">
        <v>116035632</v>
      </c>
      <c r="L372" s="527">
        <v>23198255</v>
      </c>
    </row>
    <row r="373" spans="2:12" ht="15" customHeight="1" x14ac:dyDescent="0.25">
      <c r="B373" s="526" t="s">
        <v>1579</v>
      </c>
      <c r="C373" s="527">
        <v>339129405</v>
      </c>
      <c r="D373" s="527">
        <v>21594638</v>
      </c>
      <c r="F373" s="526" t="s">
        <v>1633</v>
      </c>
      <c r="G373" s="527">
        <v>37000000</v>
      </c>
      <c r="H373" s="527">
        <v>37000000</v>
      </c>
      <c r="J373" s="526" t="s">
        <v>1719</v>
      </c>
      <c r="K373" s="527">
        <v>145978901</v>
      </c>
      <c r="L373" s="527">
        <v>583823</v>
      </c>
    </row>
    <row r="374" spans="2:12" ht="15" customHeight="1" x14ac:dyDescent="0.25">
      <c r="B374" s="526" t="s">
        <v>1581</v>
      </c>
      <c r="C374" s="527">
        <v>353259798</v>
      </c>
      <c r="D374" s="527">
        <v>140371992</v>
      </c>
      <c r="F374" s="526" t="s">
        <v>1637</v>
      </c>
      <c r="G374" s="527">
        <v>38050800</v>
      </c>
      <c r="H374" s="527">
        <v>12956729.4</v>
      </c>
      <c r="J374" s="526" t="s">
        <v>1702</v>
      </c>
      <c r="K374" s="527">
        <v>23000000</v>
      </c>
      <c r="L374" s="527">
        <v>4618798</v>
      </c>
    </row>
    <row r="375" spans="2:12" ht="15" customHeight="1" x14ac:dyDescent="0.25">
      <c r="B375" s="526" t="s">
        <v>1583</v>
      </c>
      <c r="C375" s="527">
        <v>676499948</v>
      </c>
      <c r="D375" s="527">
        <v>9262694</v>
      </c>
      <c r="F375" s="526" t="s">
        <v>1639</v>
      </c>
      <c r="G375" s="527">
        <v>3400405</v>
      </c>
      <c r="H375" s="527">
        <v>3400405</v>
      </c>
      <c r="J375" s="526" t="s">
        <v>1725</v>
      </c>
      <c r="K375" s="527">
        <v>70069872</v>
      </c>
      <c r="L375" s="527">
        <v>23660200</v>
      </c>
    </row>
    <row r="376" spans="2:12" ht="15" customHeight="1" x14ac:dyDescent="0.25">
      <c r="B376" s="526" t="s">
        <v>1586</v>
      </c>
      <c r="C376" s="527">
        <v>2880600</v>
      </c>
      <c r="D376" s="527">
        <v>1293510</v>
      </c>
      <c r="F376" s="526" t="s">
        <v>1640</v>
      </c>
      <c r="G376" s="527">
        <v>11696565</v>
      </c>
      <c r="H376" s="527">
        <v>11696565</v>
      </c>
      <c r="J376" s="526" t="s">
        <v>1733</v>
      </c>
      <c r="K376" s="527">
        <v>135156905</v>
      </c>
      <c r="L376" s="527">
        <v>42695400</v>
      </c>
    </row>
    <row r="377" spans="2:12" ht="15" customHeight="1" x14ac:dyDescent="0.25">
      <c r="B377" s="526" t="s">
        <v>1571</v>
      </c>
      <c r="C377" s="527">
        <v>235020119</v>
      </c>
      <c r="D377" s="527">
        <v>100112942</v>
      </c>
      <c r="F377" s="526" t="s">
        <v>1642</v>
      </c>
      <c r="G377" s="527">
        <v>20921509</v>
      </c>
      <c r="H377" s="527">
        <v>20821509</v>
      </c>
      <c r="J377" s="526" t="s">
        <v>1731</v>
      </c>
      <c r="K377" s="527">
        <v>130978401</v>
      </c>
      <c r="L377" s="527">
        <v>46740748</v>
      </c>
    </row>
    <row r="378" spans="2:12" ht="15" customHeight="1" x14ac:dyDescent="0.25">
      <c r="B378" s="526" t="s">
        <v>1589</v>
      </c>
      <c r="C378" s="527">
        <v>113185637</v>
      </c>
      <c r="D378" s="527">
        <v>43776979</v>
      </c>
      <c r="F378" s="526" t="s">
        <v>1644</v>
      </c>
      <c r="G378" s="527">
        <v>105520</v>
      </c>
      <c r="H378" s="527">
        <v>105520</v>
      </c>
      <c r="J378" s="526" t="s">
        <v>1714</v>
      </c>
      <c r="K378" s="527">
        <v>158143810</v>
      </c>
      <c r="L378" s="527">
        <v>38102698</v>
      </c>
    </row>
    <row r="379" spans="2:12" ht="15" customHeight="1" x14ac:dyDescent="0.25">
      <c r="B379" s="526" t="s">
        <v>1573</v>
      </c>
      <c r="C379" s="527">
        <v>40585145</v>
      </c>
      <c r="D379" s="527">
        <v>16904732</v>
      </c>
      <c r="F379" s="526" t="s">
        <v>1646</v>
      </c>
      <c r="G379" s="527">
        <v>6030686</v>
      </c>
      <c r="H379" s="527">
        <v>6030686</v>
      </c>
      <c r="J379" s="526" t="s">
        <v>1727</v>
      </c>
      <c r="K379" s="527">
        <v>49753780</v>
      </c>
      <c r="L379" s="527">
        <v>23309248</v>
      </c>
    </row>
    <row r="380" spans="2:12" ht="15" customHeight="1" x14ac:dyDescent="0.25">
      <c r="B380" s="526" t="s">
        <v>1592</v>
      </c>
      <c r="C380" s="527">
        <v>333194400</v>
      </c>
      <c r="D380" s="527">
        <v>0</v>
      </c>
      <c r="F380" s="526" t="s">
        <v>1647</v>
      </c>
      <c r="G380" s="527">
        <v>15391281</v>
      </c>
      <c r="H380" s="527">
        <v>8065303</v>
      </c>
      <c r="J380" s="526" t="s">
        <v>1706</v>
      </c>
      <c r="K380" s="527">
        <v>8043614</v>
      </c>
      <c r="L380" s="527">
        <v>2720400</v>
      </c>
    </row>
    <row r="381" spans="2:12" ht="15" customHeight="1" x14ac:dyDescent="0.25">
      <c r="B381" s="526" t="s">
        <v>1595</v>
      </c>
      <c r="C381" s="527">
        <v>61286350</v>
      </c>
      <c r="D381" s="527">
        <v>18146693</v>
      </c>
      <c r="F381" s="526" t="s">
        <v>1655</v>
      </c>
      <c r="G381" s="527">
        <v>203120528.22999999</v>
      </c>
      <c r="H381" s="527">
        <v>203120528.22999999</v>
      </c>
      <c r="J381" s="526" t="s">
        <v>1708</v>
      </c>
      <c r="K381" s="527">
        <v>52552405</v>
      </c>
      <c r="L381" s="527">
        <v>17841590</v>
      </c>
    </row>
    <row r="382" spans="2:12" ht="15" customHeight="1" x14ac:dyDescent="0.25">
      <c r="B382" s="526" t="s">
        <v>1597</v>
      </c>
      <c r="C382" s="527">
        <v>207365000</v>
      </c>
      <c r="D382" s="527">
        <v>49897580</v>
      </c>
      <c r="F382" s="526" t="s">
        <v>1656</v>
      </c>
      <c r="G382" s="527">
        <v>1596500</v>
      </c>
      <c r="H382" s="527">
        <v>1596500</v>
      </c>
      <c r="J382" s="526" t="s">
        <v>1712</v>
      </c>
      <c r="K382" s="527">
        <v>8758734</v>
      </c>
      <c r="L382" s="527">
        <v>2953200</v>
      </c>
    </row>
    <row r="383" spans="2:12" ht="15" customHeight="1" x14ac:dyDescent="0.25">
      <c r="B383" s="526" t="s">
        <v>1600</v>
      </c>
      <c r="C383" s="527">
        <v>1000000</v>
      </c>
      <c r="D383" s="527">
        <v>194400</v>
      </c>
      <c r="F383" s="526" t="s">
        <v>1648</v>
      </c>
      <c r="G383" s="527">
        <v>11221000</v>
      </c>
      <c r="H383" s="527">
        <v>8821000</v>
      </c>
      <c r="J383" s="526" t="s">
        <v>1737</v>
      </c>
      <c r="K383" s="527">
        <v>8758434</v>
      </c>
      <c r="L383" s="527">
        <v>2953200</v>
      </c>
    </row>
    <row r="384" spans="2:12" ht="15" customHeight="1" x14ac:dyDescent="0.25">
      <c r="B384" s="526" t="s">
        <v>1599</v>
      </c>
      <c r="C384" s="527">
        <v>120600200</v>
      </c>
      <c r="D384" s="527">
        <v>114300200</v>
      </c>
      <c r="F384" s="526" t="s">
        <v>1650</v>
      </c>
      <c r="G384" s="527">
        <v>27303280</v>
      </c>
      <c r="H384" s="527">
        <v>27063280</v>
      </c>
      <c r="J384" s="526" t="s">
        <v>1710</v>
      </c>
      <c r="K384" s="527">
        <v>17517468</v>
      </c>
      <c r="L384" s="527">
        <v>5896500</v>
      </c>
    </row>
    <row r="385" spans="2:12" ht="15" customHeight="1" x14ac:dyDescent="0.25">
      <c r="B385" s="526" t="s">
        <v>1602</v>
      </c>
      <c r="C385" s="527">
        <v>345009541</v>
      </c>
      <c r="D385" s="527">
        <v>141030400</v>
      </c>
      <c r="F385" s="526" t="s">
        <v>1652</v>
      </c>
      <c r="G385" s="527">
        <v>15193282</v>
      </c>
      <c r="H385" s="527">
        <v>15193282</v>
      </c>
      <c r="J385" s="526" t="s">
        <v>1761</v>
      </c>
      <c r="K385" s="527">
        <v>45300000</v>
      </c>
      <c r="L385" s="527">
        <v>8000000</v>
      </c>
    </row>
    <row r="386" spans="2:12" ht="15" customHeight="1" x14ac:dyDescent="0.25">
      <c r="B386" s="526" t="s">
        <v>1604</v>
      </c>
      <c r="C386" s="527">
        <v>506293545</v>
      </c>
      <c r="D386" s="527">
        <v>194785400</v>
      </c>
      <c r="F386" s="526" t="s">
        <v>1654</v>
      </c>
      <c r="G386" s="527">
        <v>178168951.03</v>
      </c>
      <c r="H386" s="527">
        <v>81943741.030000001</v>
      </c>
      <c r="J386" s="526" t="s">
        <v>1746</v>
      </c>
      <c r="K386" s="527">
        <v>1633428137</v>
      </c>
      <c r="L386" s="527">
        <v>1492686802.5</v>
      </c>
    </row>
    <row r="387" spans="2:12" ht="15" customHeight="1" x14ac:dyDescent="0.25">
      <c r="B387" s="526" t="s">
        <v>1606</v>
      </c>
      <c r="C387" s="527">
        <v>673120847</v>
      </c>
      <c r="D387" s="527">
        <v>283613100</v>
      </c>
      <c r="F387" s="526" t="s">
        <v>1657</v>
      </c>
      <c r="G387" s="527">
        <v>80751244</v>
      </c>
      <c r="H387" s="527">
        <v>80751244</v>
      </c>
      <c r="J387" s="526" t="s">
        <v>1742</v>
      </c>
      <c r="K387" s="527">
        <v>671710735</v>
      </c>
      <c r="L387" s="527">
        <v>227514064</v>
      </c>
    </row>
    <row r="388" spans="2:12" ht="15" customHeight="1" x14ac:dyDescent="0.25">
      <c r="B388" s="526" t="s">
        <v>1608</v>
      </c>
      <c r="C388" s="527">
        <v>769908583</v>
      </c>
      <c r="D388" s="527">
        <v>285908584</v>
      </c>
      <c r="F388" s="526" t="s">
        <v>1658</v>
      </c>
      <c r="G388" s="527">
        <v>625673528.33000004</v>
      </c>
      <c r="H388" s="527">
        <v>625673528.33000004</v>
      </c>
      <c r="J388" s="526" t="s">
        <v>1739</v>
      </c>
      <c r="K388" s="527">
        <v>25000000</v>
      </c>
      <c r="L388" s="527">
        <v>23711931</v>
      </c>
    </row>
    <row r="389" spans="2:12" ht="15" customHeight="1" x14ac:dyDescent="0.25">
      <c r="B389" s="526" t="s">
        <v>1610</v>
      </c>
      <c r="C389" s="527">
        <v>453641768</v>
      </c>
      <c r="D389" s="527">
        <v>204711101</v>
      </c>
      <c r="F389" s="526" t="s">
        <v>1659</v>
      </c>
      <c r="G389" s="527">
        <v>1474600</v>
      </c>
      <c r="H389" s="527">
        <v>1474600</v>
      </c>
      <c r="J389" s="526" t="s">
        <v>1758</v>
      </c>
      <c r="K389" s="527">
        <v>3200000</v>
      </c>
      <c r="L389" s="527">
        <v>712304</v>
      </c>
    </row>
    <row r="390" spans="2:12" ht="15" customHeight="1" x14ac:dyDescent="0.25">
      <c r="B390" s="526" t="s">
        <v>1612</v>
      </c>
      <c r="C390" s="527">
        <v>1000000</v>
      </c>
      <c r="D390" s="527">
        <v>0</v>
      </c>
      <c r="F390" s="526" t="s">
        <v>1660</v>
      </c>
      <c r="G390" s="527">
        <v>4555651</v>
      </c>
      <c r="H390" s="527">
        <v>4100000</v>
      </c>
      <c r="J390" s="526" t="s">
        <v>1745</v>
      </c>
      <c r="K390" s="527">
        <v>31134624</v>
      </c>
      <c r="L390" s="527">
        <v>10155578</v>
      </c>
    </row>
    <row r="391" spans="2:12" ht="15" customHeight="1" x14ac:dyDescent="0.25">
      <c r="B391" s="526" t="s">
        <v>1614</v>
      </c>
      <c r="C391" s="527">
        <v>38627186</v>
      </c>
      <c r="D391" s="527">
        <v>16231660</v>
      </c>
      <c r="F391" s="526" t="s">
        <v>1665</v>
      </c>
      <c r="G391" s="527">
        <v>4073297</v>
      </c>
      <c r="H391" s="527">
        <v>3593831</v>
      </c>
      <c r="J391" s="526" t="s">
        <v>1743</v>
      </c>
      <c r="K391" s="527">
        <v>5732117</v>
      </c>
      <c r="L391" s="527">
        <v>2165480</v>
      </c>
    </row>
    <row r="392" spans="2:12" ht="15" customHeight="1" x14ac:dyDescent="0.25">
      <c r="B392" s="526" t="s">
        <v>1616</v>
      </c>
      <c r="C392" s="527">
        <v>248793759</v>
      </c>
      <c r="D392" s="527">
        <v>105768100</v>
      </c>
      <c r="F392" s="526" t="s">
        <v>1667</v>
      </c>
      <c r="G392" s="527">
        <v>10200000</v>
      </c>
      <c r="H392" s="527">
        <v>2625388</v>
      </c>
      <c r="J392" s="526" t="s">
        <v>1741</v>
      </c>
      <c r="K392" s="527">
        <v>40566460</v>
      </c>
      <c r="L392" s="527">
        <v>1554177</v>
      </c>
    </row>
    <row r="393" spans="2:12" ht="15" customHeight="1" x14ac:dyDescent="0.25">
      <c r="B393" s="526" t="s">
        <v>1618</v>
      </c>
      <c r="C393" s="527">
        <v>44376193</v>
      </c>
      <c r="D393" s="527">
        <v>17623200</v>
      </c>
      <c r="F393" s="526" t="s">
        <v>1668</v>
      </c>
      <c r="G393" s="527">
        <v>99000000</v>
      </c>
      <c r="H393" s="527">
        <v>44358420</v>
      </c>
      <c r="J393" s="526" t="s">
        <v>1759</v>
      </c>
      <c r="K393" s="527">
        <v>47422274</v>
      </c>
      <c r="L393" s="527">
        <v>17148613</v>
      </c>
    </row>
    <row r="394" spans="2:12" ht="15" customHeight="1" x14ac:dyDescent="0.25">
      <c r="B394" s="526" t="s">
        <v>1620</v>
      </c>
      <c r="C394" s="527">
        <v>44376193</v>
      </c>
      <c r="D394" s="527">
        <v>17623200</v>
      </c>
      <c r="F394" s="526" t="s">
        <v>1670</v>
      </c>
      <c r="G394" s="527">
        <v>25200000</v>
      </c>
      <c r="H394" s="527">
        <v>8392466</v>
      </c>
      <c r="J394" s="526" t="s">
        <v>1754</v>
      </c>
      <c r="K394" s="527">
        <v>69938878</v>
      </c>
      <c r="L394" s="527">
        <v>1116332</v>
      </c>
    </row>
    <row r="395" spans="2:12" ht="15" customHeight="1" x14ac:dyDescent="0.25">
      <c r="B395" s="526" t="s">
        <v>1622</v>
      </c>
      <c r="C395" s="527">
        <v>88752385</v>
      </c>
      <c r="D395" s="527">
        <v>35254800</v>
      </c>
      <c r="F395" s="526" t="s">
        <v>1672</v>
      </c>
      <c r="G395" s="527">
        <v>104500000</v>
      </c>
      <c r="H395" s="527">
        <v>55379991</v>
      </c>
      <c r="J395" s="526" t="s">
        <v>1751</v>
      </c>
      <c r="K395" s="527">
        <v>24983819</v>
      </c>
      <c r="L395" s="527">
        <v>10399628</v>
      </c>
    </row>
    <row r="396" spans="2:12" ht="15" customHeight="1" x14ac:dyDescent="0.25">
      <c r="B396" s="526" t="s">
        <v>2607</v>
      </c>
      <c r="C396" s="527">
        <v>13373721550</v>
      </c>
      <c r="D396" s="527">
        <v>5133473735</v>
      </c>
      <c r="F396" s="526" t="s">
        <v>1678</v>
      </c>
      <c r="G396" s="527">
        <v>17622708</v>
      </c>
      <c r="H396" s="527">
        <v>17622708</v>
      </c>
      <c r="J396" s="526" t="s">
        <v>1749</v>
      </c>
      <c r="K396" s="527">
        <v>33000000</v>
      </c>
      <c r="L396" s="527">
        <v>147797</v>
      </c>
    </row>
    <row r="397" spans="2:12" ht="15" customHeight="1" x14ac:dyDescent="0.25">
      <c r="B397" s="46"/>
      <c r="C397" s="46"/>
      <c r="D397" s="46"/>
      <c r="F397" s="526" t="s">
        <v>2607</v>
      </c>
      <c r="G397" s="527">
        <v>1653727658.5900002</v>
      </c>
      <c r="H397" s="527">
        <v>1382369627.99</v>
      </c>
      <c r="J397" s="526" t="s">
        <v>1750</v>
      </c>
      <c r="K397" s="527">
        <v>33570661</v>
      </c>
      <c r="L397" s="527">
        <v>11209400</v>
      </c>
    </row>
    <row r="398" spans="2:12" ht="15" customHeight="1" x14ac:dyDescent="0.25">
      <c r="B398" s="46"/>
      <c r="C398" s="46"/>
      <c r="D398" s="46"/>
      <c r="J398" s="526" t="s">
        <v>1744</v>
      </c>
      <c r="K398" s="527">
        <v>81153337</v>
      </c>
      <c r="L398" s="527">
        <v>25973800</v>
      </c>
    </row>
    <row r="399" spans="2:12" ht="15" customHeight="1" x14ac:dyDescent="0.25">
      <c r="B399" s="46"/>
      <c r="C399" s="46"/>
      <c r="D399" s="46"/>
      <c r="J399" s="526" t="s">
        <v>1760</v>
      </c>
      <c r="K399" s="527">
        <v>63858613</v>
      </c>
      <c r="L399" s="527">
        <v>20637000</v>
      </c>
    </row>
    <row r="400" spans="2:12" ht="15" customHeight="1" x14ac:dyDescent="0.25">
      <c r="B400" s="46"/>
      <c r="C400" s="46"/>
      <c r="D400" s="46"/>
      <c r="J400" s="526" t="s">
        <v>1756</v>
      </c>
      <c r="K400" s="527">
        <v>75767118</v>
      </c>
      <c r="L400" s="527">
        <v>22046623</v>
      </c>
    </row>
    <row r="401" spans="2:12" ht="15" customHeight="1" x14ac:dyDescent="0.25">
      <c r="B401" s="46"/>
      <c r="C401" s="46"/>
      <c r="D401" s="46"/>
      <c r="J401" s="526" t="s">
        <v>1757</v>
      </c>
      <c r="K401" s="527">
        <v>9000000</v>
      </c>
      <c r="L401" s="527">
        <v>3262600</v>
      </c>
    </row>
    <row r="402" spans="2:12" ht="15" customHeight="1" x14ac:dyDescent="0.25">
      <c r="B402" s="46"/>
      <c r="C402" s="46"/>
      <c r="D402" s="46"/>
      <c r="J402" s="526" t="s">
        <v>1748</v>
      </c>
      <c r="K402" s="527">
        <v>3921670</v>
      </c>
      <c r="L402" s="527">
        <v>1241100</v>
      </c>
    </row>
    <row r="403" spans="2:12" ht="15" customHeight="1" x14ac:dyDescent="0.25">
      <c r="B403" s="46"/>
      <c r="C403" s="46"/>
      <c r="D403" s="46"/>
      <c r="J403" s="526" t="s">
        <v>1753</v>
      </c>
      <c r="K403" s="527">
        <v>25177996</v>
      </c>
      <c r="L403" s="527">
        <v>8407500</v>
      </c>
    </row>
    <row r="404" spans="2:12" ht="15" customHeight="1" x14ac:dyDescent="0.25">
      <c r="B404" s="46"/>
      <c r="C404" s="46"/>
      <c r="D404" s="46"/>
      <c r="J404" s="526" t="s">
        <v>1755</v>
      </c>
      <c r="K404" s="527">
        <v>4196333</v>
      </c>
      <c r="L404" s="527">
        <v>1400700</v>
      </c>
    </row>
    <row r="405" spans="2:12" ht="15" customHeight="1" x14ac:dyDescent="0.25">
      <c r="B405" s="46"/>
      <c r="C405" s="527"/>
      <c r="D405" s="46"/>
      <c r="J405" s="526" t="s">
        <v>1747</v>
      </c>
      <c r="K405" s="527">
        <v>4196333</v>
      </c>
      <c r="L405" s="527">
        <v>1400700</v>
      </c>
    </row>
    <row r="406" spans="2:12" ht="15" customHeight="1" x14ac:dyDescent="0.25">
      <c r="B406" s="46"/>
      <c r="C406" s="46"/>
      <c r="D406" s="46"/>
      <c r="J406" s="526" t="s">
        <v>1740</v>
      </c>
      <c r="K406" s="527">
        <v>8392665</v>
      </c>
      <c r="L406" s="527">
        <v>2801900</v>
      </c>
    </row>
    <row r="407" spans="2:12" ht="15" customHeight="1" x14ac:dyDescent="0.25">
      <c r="B407" s="46"/>
      <c r="C407" s="46"/>
      <c r="D407" s="46"/>
      <c r="J407" s="526" t="s">
        <v>1763</v>
      </c>
      <c r="K407" s="527">
        <v>787625000</v>
      </c>
      <c r="L407" s="527">
        <v>694240904.5</v>
      </c>
    </row>
    <row r="408" spans="2:12" ht="15" customHeight="1" x14ac:dyDescent="0.25">
      <c r="B408" s="46"/>
      <c r="C408" s="46"/>
      <c r="D408" s="46"/>
      <c r="J408" s="526" t="s">
        <v>2607</v>
      </c>
      <c r="K408" s="527">
        <v>8946701829</v>
      </c>
      <c r="L408" s="527">
        <v>5872718600</v>
      </c>
    </row>
    <row r="409" spans="2:12" ht="15" customHeight="1" x14ac:dyDescent="0.25">
      <c r="B409" s="46"/>
      <c r="C409" s="46"/>
      <c r="D409" s="46"/>
    </row>
    <row r="410" spans="2:12" ht="15" customHeight="1" x14ac:dyDescent="0.25">
      <c r="B410" s="46"/>
      <c r="C410" s="46"/>
      <c r="D410" s="46"/>
    </row>
    <row r="411" spans="2:12" ht="15" customHeight="1" x14ac:dyDescent="0.25">
      <c r="B411" s="46"/>
      <c r="C411" s="46"/>
      <c r="D411" s="46"/>
    </row>
    <row r="412" spans="2:12" ht="15" customHeight="1" x14ac:dyDescent="0.25">
      <c r="B412" s="46"/>
      <c r="C412" s="46"/>
      <c r="D412" s="46"/>
    </row>
    <row r="413" spans="2:12" ht="15" customHeight="1" x14ac:dyDescent="0.25">
      <c r="B413" s="46"/>
      <c r="C413" s="46"/>
      <c r="D413" s="46"/>
    </row>
    <row r="414" spans="2:12" ht="15" customHeight="1" x14ac:dyDescent="0.25">
      <c r="B414" s="46"/>
      <c r="C414" s="46"/>
      <c r="D414" s="46"/>
    </row>
    <row r="415" spans="2:12" ht="15" customHeight="1" x14ac:dyDescent="0.25">
      <c r="B415" s="46"/>
      <c r="C415" s="46"/>
      <c r="D415" s="46"/>
    </row>
    <row r="416" spans="2:12" ht="15" customHeight="1" x14ac:dyDescent="0.25">
      <c r="B416" s="46"/>
      <c r="C416" s="46"/>
      <c r="D416" s="46"/>
    </row>
    <row r="417" spans="2:4" ht="15" customHeight="1" x14ac:dyDescent="0.25">
      <c r="B417" s="46"/>
      <c r="C417" s="46"/>
      <c r="D417" s="46"/>
    </row>
    <row r="418" spans="2:4" ht="15" customHeight="1" x14ac:dyDescent="0.25">
      <c r="B418" s="46"/>
      <c r="C418" s="46"/>
      <c r="D418" s="46"/>
    </row>
    <row r="419" spans="2:4" ht="15" customHeight="1" x14ac:dyDescent="0.25">
      <c r="B419" s="46"/>
      <c r="C419" s="46"/>
      <c r="D419" s="46"/>
    </row>
    <row r="420" spans="2:4" ht="15" customHeight="1" x14ac:dyDescent="0.25">
      <c r="B420" s="46"/>
      <c r="C420" s="46"/>
      <c r="D420" s="46"/>
    </row>
    <row r="421" spans="2:4" ht="15" customHeight="1" x14ac:dyDescent="0.25">
      <c r="B421" s="46"/>
      <c r="C421" s="46"/>
      <c r="D421" s="46"/>
    </row>
    <row r="422" spans="2:4" ht="15" customHeight="1" x14ac:dyDescent="0.25">
      <c r="B422" s="46"/>
      <c r="C422" s="46"/>
      <c r="D422" s="46"/>
    </row>
    <row r="423" spans="2:4" ht="15" customHeight="1" x14ac:dyDescent="0.25">
      <c r="B423" s="46"/>
      <c r="C423" s="46"/>
      <c r="D423" s="46"/>
    </row>
    <row r="424" spans="2:4" ht="15" customHeight="1" x14ac:dyDescent="0.25">
      <c r="B424" s="46"/>
      <c r="C424" s="46"/>
      <c r="D424" s="46"/>
    </row>
    <row r="425" spans="2:4" ht="15" customHeight="1" x14ac:dyDescent="0.25">
      <c r="B425" s="46"/>
      <c r="C425" s="46"/>
      <c r="D425" s="46"/>
    </row>
    <row r="426" spans="2:4" ht="15" customHeight="1" x14ac:dyDescent="0.25">
      <c r="B426" s="46"/>
      <c r="C426" s="46"/>
      <c r="D426" s="46"/>
    </row>
    <row r="427" spans="2:4" ht="15" customHeight="1" x14ac:dyDescent="0.25">
      <c r="B427" s="46"/>
      <c r="C427" s="46"/>
      <c r="D427" s="46"/>
    </row>
    <row r="428" spans="2:4" ht="15" customHeight="1" x14ac:dyDescent="0.25">
      <c r="B428" s="46"/>
      <c r="C428" s="46"/>
      <c r="D428" s="46"/>
    </row>
    <row r="429" spans="2:4" ht="15" customHeight="1" x14ac:dyDescent="0.25">
      <c r="B429" s="46"/>
      <c r="C429" s="46"/>
      <c r="D429" s="46"/>
    </row>
    <row r="430" spans="2:4" ht="15" customHeight="1" x14ac:dyDescent="0.25">
      <c r="B430" s="46"/>
      <c r="C430" s="46"/>
      <c r="D430" s="46"/>
    </row>
    <row r="431" spans="2:4" ht="15" customHeight="1" x14ac:dyDescent="0.25">
      <c r="B431" s="46"/>
      <c r="C431" s="46"/>
      <c r="D431" s="46"/>
    </row>
    <row r="432" spans="2:4" ht="15" customHeight="1" x14ac:dyDescent="0.25">
      <c r="B432" s="46"/>
      <c r="C432" s="46"/>
      <c r="D432" s="46"/>
    </row>
    <row r="433" spans="2:4" ht="15" customHeight="1" x14ac:dyDescent="0.25">
      <c r="B433" s="46"/>
      <c r="C433" s="46"/>
      <c r="D433" s="46"/>
    </row>
    <row r="434" spans="2:4" ht="15" customHeight="1" x14ac:dyDescent="0.25">
      <c r="B434" s="46"/>
      <c r="C434" s="46"/>
      <c r="D434" s="46"/>
    </row>
    <row r="435" spans="2:4" ht="15" customHeight="1" x14ac:dyDescent="0.25">
      <c r="B435" s="46"/>
      <c r="C435" s="46"/>
      <c r="D435" s="46"/>
    </row>
    <row r="436" spans="2:4" ht="15" customHeight="1" x14ac:dyDescent="0.25">
      <c r="B436" s="46"/>
      <c r="C436" s="46"/>
      <c r="D436" s="46"/>
    </row>
    <row r="437" spans="2:4" ht="15" customHeight="1" x14ac:dyDescent="0.25">
      <c r="B437" s="46"/>
      <c r="C437" s="46"/>
      <c r="D437" s="46"/>
    </row>
    <row r="438" spans="2:4" ht="15" customHeight="1" x14ac:dyDescent="0.25">
      <c r="B438" s="46"/>
      <c r="C438" s="46"/>
      <c r="D438" s="46"/>
    </row>
    <row r="439" spans="2:4" ht="15" customHeight="1" x14ac:dyDescent="0.25">
      <c r="B439" s="46"/>
      <c r="C439" s="46"/>
      <c r="D439" s="46"/>
    </row>
    <row r="440" spans="2:4" ht="15" customHeight="1" x14ac:dyDescent="0.25">
      <c r="B440" s="46"/>
      <c r="C440" s="46"/>
      <c r="D440" s="46"/>
    </row>
    <row r="441" spans="2:4" ht="15" customHeight="1" x14ac:dyDescent="0.25">
      <c r="B441" s="46"/>
      <c r="C441" s="46"/>
      <c r="D441" s="46"/>
    </row>
    <row r="442" spans="2:4" ht="15" customHeight="1" x14ac:dyDescent="0.25">
      <c r="B442" s="46"/>
      <c r="C442" s="46"/>
      <c r="D442" s="46"/>
    </row>
    <row r="443" spans="2:4" ht="15" customHeight="1" x14ac:dyDescent="0.25">
      <c r="B443" s="46"/>
      <c r="C443" s="46"/>
      <c r="D443" s="46"/>
    </row>
    <row r="444" spans="2:4" ht="15" customHeight="1" x14ac:dyDescent="0.25">
      <c r="B444" s="46"/>
      <c r="C444" s="46"/>
      <c r="D444" s="46"/>
    </row>
    <row r="445" spans="2:4" ht="15" customHeight="1" x14ac:dyDescent="0.25">
      <c r="B445" s="46"/>
      <c r="C445" s="46"/>
      <c r="D445" s="46"/>
    </row>
    <row r="446" spans="2:4" ht="15" customHeight="1" x14ac:dyDescent="0.25">
      <c r="B446" s="46"/>
      <c r="C446" s="46"/>
      <c r="D446" s="46"/>
    </row>
    <row r="447" spans="2:4" ht="15" customHeight="1" x14ac:dyDescent="0.25">
      <c r="B447" s="46"/>
      <c r="C447" s="46"/>
      <c r="D447" s="46"/>
    </row>
    <row r="448" spans="2:4" ht="15" customHeight="1" x14ac:dyDescent="0.25">
      <c r="B448" s="46"/>
      <c r="C448" s="46"/>
      <c r="D448" s="46"/>
    </row>
    <row r="449" spans="2:4" ht="15" customHeight="1" x14ac:dyDescent="0.25">
      <c r="B449" s="46"/>
      <c r="C449" s="46"/>
      <c r="D449" s="46"/>
    </row>
    <row r="450" spans="2:4" ht="15" customHeight="1" x14ac:dyDescent="0.25">
      <c r="B450" s="46"/>
      <c r="C450" s="46"/>
      <c r="D450" s="46"/>
    </row>
    <row r="451" spans="2:4" ht="15" customHeight="1" x14ac:dyDescent="0.25">
      <c r="B451" s="46"/>
      <c r="C451" s="46"/>
      <c r="D451" s="46"/>
    </row>
    <row r="452" spans="2:4" ht="15" customHeight="1" x14ac:dyDescent="0.25">
      <c r="B452" s="46"/>
      <c r="C452" s="46"/>
      <c r="D452" s="46"/>
    </row>
    <row r="453" spans="2:4" ht="15" customHeight="1" x14ac:dyDescent="0.25">
      <c r="B453" s="46"/>
      <c r="C453" s="46"/>
      <c r="D453" s="46"/>
    </row>
    <row r="454" spans="2:4" ht="15" customHeight="1" x14ac:dyDescent="0.25">
      <c r="B454" s="46"/>
      <c r="C454" s="46"/>
      <c r="D454" s="46"/>
    </row>
    <row r="455" spans="2:4" ht="15" customHeight="1" x14ac:dyDescent="0.25">
      <c r="B455" s="46"/>
      <c r="C455" s="46"/>
      <c r="D455" s="46"/>
    </row>
    <row r="456" spans="2:4" ht="15" customHeight="1" x14ac:dyDescent="0.25">
      <c r="B456" s="46"/>
      <c r="C456" s="46"/>
      <c r="D456" s="46"/>
    </row>
    <row r="457" spans="2:4" ht="15" customHeight="1" x14ac:dyDescent="0.25">
      <c r="B457" s="46"/>
      <c r="C457" s="46"/>
      <c r="D457" s="46"/>
    </row>
    <row r="458" spans="2:4" ht="15" customHeight="1" x14ac:dyDescent="0.25">
      <c r="B458" s="46"/>
      <c r="C458" s="46"/>
      <c r="D458" s="46"/>
    </row>
    <row r="459" spans="2:4" ht="15" customHeight="1" x14ac:dyDescent="0.25">
      <c r="B459" s="46"/>
      <c r="C459" s="46"/>
      <c r="D459" s="46"/>
    </row>
    <row r="460" spans="2:4" ht="15" customHeight="1" x14ac:dyDescent="0.25">
      <c r="B460" s="46"/>
      <c r="C460" s="46"/>
      <c r="D460" s="46"/>
    </row>
    <row r="461" spans="2:4" ht="15" customHeight="1" x14ac:dyDescent="0.25">
      <c r="B461" s="46"/>
      <c r="C461" s="46"/>
      <c r="D461" s="46"/>
    </row>
    <row r="462" spans="2:4" ht="15" customHeight="1" x14ac:dyDescent="0.25">
      <c r="B462" s="46"/>
      <c r="C462" s="46"/>
      <c r="D462" s="46"/>
    </row>
    <row r="463" spans="2:4" ht="15" customHeight="1" x14ac:dyDescent="0.25">
      <c r="B463" s="46"/>
      <c r="C463" s="46"/>
      <c r="D463" s="46"/>
    </row>
    <row r="464" spans="2:4" ht="15" customHeight="1" x14ac:dyDescent="0.25">
      <c r="B464" s="46"/>
      <c r="C464" s="46"/>
      <c r="D464" s="46"/>
    </row>
    <row r="465" spans="2:4" ht="15" customHeight="1" x14ac:dyDescent="0.25">
      <c r="B465" s="46"/>
      <c r="C465" s="46"/>
      <c r="D465" s="46"/>
    </row>
    <row r="466" spans="2:4" ht="15" customHeight="1" x14ac:dyDescent="0.25">
      <c r="B466" s="46"/>
      <c r="C466" s="46"/>
      <c r="D466" s="46"/>
    </row>
    <row r="467" spans="2:4" ht="15" customHeight="1" x14ac:dyDescent="0.25">
      <c r="B467" s="46"/>
      <c r="C467" s="46"/>
      <c r="D467" s="46"/>
    </row>
    <row r="468" spans="2:4" ht="15" customHeight="1" x14ac:dyDescent="0.25">
      <c r="B468" s="46"/>
      <c r="C468" s="46"/>
      <c r="D468" s="46"/>
    </row>
    <row r="469" spans="2:4" ht="15" customHeight="1" x14ac:dyDescent="0.25">
      <c r="B469" s="46"/>
      <c r="C469" s="46"/>
      <c r="D469" s="46"/>
    </row>
    <row r="470" spans="2:4" ht="15" customHeight="1" x14ac:dyDescent="0.25">
      <c r="B470" s="46"/>
      <c r="C470" s="46"/>
      <c r="D470" s="46"/>
    </row>
    <row r="471" spans="2:4" ht="15" customHeight="1" x14ac:dyDescent="0.25">
      <c r="B471" s="46"/>
      <c r="C471" s="46"/>
      <c r="D471" s="46"/>
    </row>
    <row r="472" spans="2:4" ht="15" customHeight="1" x14ac:dyDescent="0.25">
      <c r="B472" s="46"/>
      <c r="C472" s="46"/>
      <c r="D472" s="46"/>
    </row>
    <row r="473" spans="2:4" ht="15" customHeight="1" x14ac:dyDescent="0.25">
      <c r="B473" s="46"/>
      <c r="C473" s="46"/>
      <c r="D473" s="46"/>
    </row>
    <row r="474" spans="2:4" ht="15" customHeight="1" x14ac:dyDescent="0.25">
      <c r="B474" s="46"/>
      <c r="C474" s="46"/>
      <c r="D474" s="46"/>
    </row>
    <row r="475" spans="2:4" ht="15" customHeight="1" x14ac:dyDescent="0.25">
      <c r="B475" s="46"/>
      <c r="C475" s="46"/>
      <c r="D475" s="46"/>
    </row>
    <row r="476" spans="2:4" ht="15" customHeight="1" x14ac:dyDescent="0.25">
      <c r="B476" s="46"/>
      <c r="C476" s="46"/>
      <c r="D476" s="46"/>
    </row>
    <row r="477" spans="2:4" ht="15" customHeight="1" x14ac:dyDescent="0.25">
      <c r="B477" s="46"/>
      <c r="C477" s="46"/>
      <c r="D477" s="46"/>
    </row>
    <row r="478" spans="2:4" ht="15" customHeight="1" x14ac:dyDescent="0.25">
      <c r="B478" s="46"/>
      <c r="C478" s="46"/>
      <c r="D478" s="46"/>
    </row>
    <row r="479" spans="2:4" ht="15" customHeight="1" x14ac:dyDescent="0.25">
      <c r="B479" s="46"/>
      <c r="C479" s="46"/>
      <c r="D479" s="46"/>
    </row>
    <row r="480" spans="2:4" ht="15" customHeight="1" x14ac:dyDescent="0.25">
      <c r="B480" s="46"/>
      <c r="C480" s="46"/>
      <c r="D480" s="46"/>
    </row>
    <row r="481" spans="2:4" ht="15" customHeight="1" x14ac:dyDescent="0.25">
      <c r="B481" s="46"/>
      <c r="C481" s="46"/>
      <c r="D481" s="46"/>
    </row>
    <row r="482" spans="2:4" ht="15" customHeight="1" x14ac:dyDescent="0.25">
      <c r="B482" s="46"/>
      <c r="C482" s="46"/>
      <c r="D482" s="46"/>
    </row>
    <row r="483" spans="2:4" ht="15" customHeight="1" x14ac:dyDescent="0.25">
      <c r="B483" s="46"/>
      <c r="C483" s="46"/>
      <c r="D483" s="46"/>
    </row>
    <row r="484" spans="2:4" ht="15" customHeight="1" x14ac:dyDescent="0.25">
      <c r="B484" s="46"/>
      <c r="C484" s="46"/>
      <c r="D484" s="46"/>
    </row>
    <row r="485" spans="2:4" ht="15" customHeight="1" x14ac:dyDescent="0.25">
      <c r="B485" s="46"/>
      <c r="C485" s="46"/>
      <c r="D485" s="46"/>
    </row>
    <row r="486" spans="2:4" ht="15" customHeight="1" x14ac:dyDescent="0.25">
      <c r="B486" s="46"/>
      <c r="C486" s="46"/>
      <c r="D486" s="46"/>
    </row>
    <row r="487" spans="2:4" ht="15" customHeight="1" x14ac:dyDescent="0.25">
      <c r="B487" s="46"/>
      <c r="C487" s="46"/>
      <c r="D487" s="46"/>
    </row>
    <row r="488" spans="2:4" ht="15" customHeight="1" x14ac:dyDescent="0.25">
      <c r="B488" s="46"/>
      <c r="C488" s="46"/>
      <c r="D488" s="46"/>
    </row>
    <row r="489" spans="2:4" ht="15" customHeight="1" x14ac:dyDescent="0.25">
      <c r="B489" s="46"/>
      <c r="C489" s="46"/>
      <c r="D489" s="46"/>
    </row>
    <row r="490" spans="2:4" ht="15" customHeight="1" x14ac:dyDescent="0.25">
      <c r="B490" s="46"/>
      <c r="C490" s="46"/>
      <c r="D490" s="46"/>
    </row>
    <row r="491" spans="2:4" ht="15" customHeight="1" x14ac:dyDescent="0.25">
      <c r="B491" s="46"/>
      <c r="C491" s="46"/>
      <c r="D491" s="46"/>
    </row>
    <row r="492" spans="2:4" ht="15" customHeight="1" x14ac:dyDescent="0.25">
      <c r="B492" s="46"/>
      <c r="C492" s="46"/>
      <c r="D492" s="46"/>
    </row>
    <row r="493" spans="2:4" ht="15" customHeight="1" x14ac:dyDescent="0.25">
      <c r="B493" s="46"/>
      <c r="C493" s="46"/>
      <c r="D493" s="46"/>
    </row>
    <row r="494" spans="2:4" ht="15" customHeight="1" x14ac:dyDescent="0.25">
      <c r="B494" s="46"/>
      <c r="C494" s="46"/>
      <c r="D494" s="46"/>
    </row>
    <row r="495" spans="2:4" ht="15" customHeight="1" x14ac:dyDescent="0.25">
      <c r="B495" s="46"/>
      <c r="C495" s="46"/>
      <c r="D495" s="46"/>
    </row>
    <row r="496" spans="2:4" ht="15" customHeight="1" x14ac:dyDescent="0.25">
      <c r="B496" s="46"/>
      <c r="C496" s="46"/>
      <c r="D496" s="46"/>
    </row>
    <row r="497" spans="2:4" ht="15" customHeight="1" x14ac:dyDescent="0.25">
      <c r="B497" s="46"/>
      <c r="C497" s="46"/>
      <c r="D497" s="46"/>
    </row>
    <row r="498" spans="2:4" ht="15" customHeight="1" x14ac:dyDescent="0.25">
      <c r="B498" s="46"/>
      <c r="C498" s="46"/>
      <c r="D498" s="46"/>
    </row>
    <row r="499" spans="2:4" ht="15" customHeight="1" x14ac:dyDescent="0.25">
      <c r="B499" s="46"/>
      <c r="C499" s="46"/>
      <c r="D499" s="46"/>
    </row>
    <row r="500" spans="2:4" ht="15" customHeight="1" x14ac:dyDescent="0.25">
      <c r="B500" s="46"/>
      <c r="C500" s="46"/>
      <c r="D500" s="46"/>
    </row>
    <row r="501" spans="2:4" ht="15" customHeight="1" x14ac:dyDescent="0.25">
      <c r="B501" s="46"/>
      <c r="C501" s="46"/>
      <c r="D501" s="46"/>
    </row>
    <row r="502" spans="2:4" ht="15" customHeight="1" x14ac:dyDescent="0.25">
      <c r="B502" s="46"/>
      <c r="C502" s="46"/>
      <c r="D502" s="46"/>
    </row>
    <row r="503" spans="2:4" ht="15" customHeight="1" x14ac:dyDescent="0.25">
      <c r="B503" s="46"/>
      <c r="C503" s="46"/>
      <c r="D503" s="46"/>
    </row>
    <row r="504" spans="2:4" ht="15" customHeight="1" x14ac:dyDescent="0.25">
      <c r="B504" s="46"/>
      <c r="C504" s="46"/>
      <c r="D504" s="46"/>
    </row>
    <row r="505" spans="2:4" ht="15" customHeight="1" x14ac:dyDescent="0.25">
      <c r="B505" s="46"/>
      <c r="C505" s="46"/>
      <c r="D505" s="46"/>
    </row>
    <row r="506" spans="2:4" ht="15" customHeight="1" x14ac:dyDescent="0.25">
      <c r="B506" s="46"/>
      <c r="C506" s="46"/>
      <c r="D506" s="46"/>
    </row>
    <row r="507" spans="2:4" ht="15" customHeight="1" x14ac:dyDescent="0.25">
      <c r="B507" s="46"/>
      <c r="C507" s="46"/>
      <c r="D507" s="46"/>
    </row>
    <row r="508" spans="2:4" ht="15" customHeight="1" x14ac:dyDescent="0.25">
      <c r="B508" s="46"/>
      <c r="C508" s="46"/>
      <c r="D508" s="46"/>
    </row>
    <row r="509" spans="2:4" ht="15" customHeight="1" x14ac:dyDescent="0.25">
      <c r="B509" s="46"/>
      <c r="C509" s="46"/>
      <c r="D509" s="46"/>
    </row>
    <row r="510" spans="2:4" ht="15" customHeight="1" x14ac:dyDescent="0.25">
      <c r="B510" s="46"/>
      <c r="C510" s="46"/>
      <c r="D510" s="46"/>
    </row>
    <row r="511" spans="2:4" ht="15" customHeight="1" x14ac:dyDescent="0.25">
      <c r="B511" s="46"/>
      <c r="C511" s="46"/>
      <c r="D511" s="46"/>
    </row>
    <row r="512" spans="2:4" ht="15" customHeight="1" x14ac:dyDescent="0.25">
      <c r="B512" s="46"/>
      <c r="C512" s="46"/>
      <c r="D512" s="46"/>
    </row>
    <row r="513" spans="2:4" ht="15" customHeight="1" x14ac:dyDescent="0.25">
      <c r="B513" s="46"/>
      <c r="C513" s="46"/>
      <c r="D513" s="46"/>
    </row>
    <row r="514" spans="2:4" ht="15" customHeight="1" x14ac:dyDescent="0.25">
      <c r="B514" s="46"/>
      <c r="C514" s="46"/>
      <c r="D514" s="46"/>
    </row>
    <row r="515" spans="2:4" ht="15" customHeight="1" x14ac:dyDescent="0.25">
      <c r="B515" s="46"/>
      <c r="C515" s="46"/>
      <c r="D515" s="46"/>
    </row>
    <row r="516" spans="2:4" ht="15" customHeight="1" x14ac:dyDescent="0.25">
      <c r="B516" s="46"/>
      <c r="C516" s="46"/>
      <c r="D516" s="46"/>
    </row>
    <row r="517" spans="2:4" ht="15" customHeight="1" x14ac:dyDescent="0.25">
      <c r="B517" s="46"/>
      <c r="C517" s="46"/>
      <c r="D517" s="46"/>
    </row>
    <row r="518" spans="2:4" ht="15" customHeight="1" x14ac:dyDescent="0.25">
      <c r="B518" s="46"/>
      <c r="C518" s="46"/>
      <c r="D518" s="46"/>
    </row>
    <row r="519" spans="2:4" ht="15" customHeight="1" x14ac:dyDescent="0.25">
      <c r="B519" s="46"/>
      <c r="C519" s="46"/>
      <c r="D519" s="46"/>
    </row>
    <row r="520" spans="2:4" ht="15" customHeight="1" x14ac:dyDescent="0.25">
      <c r="B520" s="46"/>
      <c r="C520" s="46"/>
      <c r="D520" s="46"/>
    </row>
    <row r="521" spans="2:4" ht="15" customHeight="1" x14ac:dyDescent="0.25">
      <c r="B521" s="46"/>
      <c r="C521" s="46"/>
      <c r="D521" s="46"/>
    </row>
    <row r="522" spans="2:4" ht="15" customHeight="1" x14ac:dyDescent="0.25">
      <c r="B522" s="46"/>
      <c r="C522" s="46"/>
      <c r="D522" s="46"/>
    </row>
    <row r="523" spans="2:4" ht="15" customHeight="1" x14ac:dyDescent="0.25">
      <c r="B523" s="46"/>
      <c r="C523" s="46"/>
      <c r="D523" s="46"/>
    </row>
    <row r="524" spans="2:4" ht="15" customHeight="1" x14ac:dyDescent="0.25">
      <c r="B524" s="46"/>
      <c r="C524" s="46"/>
      <c r="D524" s="46"/>
    </row>
    <row r="525" spans="2:4" ht="15" customHeight="1" x14ac:dyDescent="0.25">
      <c r="B525" s="46"/>
      <c r="C525" s="46"/>
      <c r="D525" s="46"/>
    </row>
    <row r="526" spans="2:4" ht="15" customHeight="1" x14ac:dyDescent="0.25">
      <c r="B526" s="46"/>
      <c r="C526" s="46"/>
      <c r="D526" s="46"/>
    </row>
    <row r="527" spans="2:4" ht="15" customHeight="1" x14ac:dyDescent="0.25">
      <c r="B527" s="46"/>
      <c r="C527" s="46"/>
      <c r="D527" s="46"/>
    </row>
    <row r="528" spans="2:4" ht="15" customHeight="1" x14ac:dyDescent="0.25">
      <c r="B528" s="46"/>
      <c r="C528" s="46"/>
      <c r="D528" s="46"/>
    </row>
    <row r="529" spans="2:4" ht="15" customHeight="1" x14ac:dyDescent="0.25">
      <c r="B529" s="46"/>
      <c r="C529" s="46"/>
      <c r="D529" s="46"/>
    </row>
    <row r="530" spans="2:4" ht="15" customHeight="1" x14ac:dyDescent="0.25">
      <c r="B530" s="46"/>
      <c r="C530" s="46"/>
      <c r="D530" s="46"/>
    </row>
    <row r="531" spans="2:4" ht="15" customHeight="1" x14ac:dyDescent="0.25">
      <c r="B531" s="46"/>
      <c r="C531" s="46"/>
      <c r="D531" s="46"/>
    </row>
    <row r="532" spans="2:4" ht="15" customHeight="1" x14ac:dyDescent="0.25">
      <c r="B532" s="46"/>
      <c r="C532" s="46"/>
      <c r="D532" s="46"/>
    </row>
    <row r="533" spans="2:4" ht="15" customHeight="1" x14ac:dyDescent="0.25">
      <c r="B533" s="46"/>
      <c r="C533" s="46"/>
      <c r="D533" s="46"/>
    </row>
    <row r="534" spans="2:4" ht="15" customHeight="1" x14ac:dyDescent="0.25">
      <c r="B534" s="46"/>
      <c r="C534" s="46"/>
      <c r="D534" s="46"/>
    </row>
    <row r="535" spans="2:4" ht="15" customHeight="1" x14ac:dyDescent="0.25">
      <c r="B535" s="46"/>
      <c r="C535" s="46"/>
      <c r="D535" s="46"/>
    </row>
    <row r="536" spans="2:4" ht="15" customHeight="1" x14ac:dyDescent="0.25">
      <c r="B536" s="46"/>
      <c r="C536" s="46"/>
      <c r="D536" s="46"/>
    </row>
    <row r="537" spans="2:4" ht="15" customHeight="1" x14ac:dyDescent="0.25">
      <c r="B537" s="46"/>
      <c r="C537" s="46"/>
      <c r="D537" s="46"/>
    </row>
    <row r="538" spans="2:4" ht="15" customHeight="1" x14ac:dyDescent="0.25">
      <c r="B538" s="46"/>
      <c r="C538" s="46"/>
      <c r="D538" s="46"/>
    </row>
    <row r="539" spans="2:4" ht="15" customHeight="1" x14ac:dyDescent="0.25">
      <c r="B539" s="46"/>
      <c r="C539" s="46"/>
      <c r="D539" s="46"/>
    </row>
    <row r="540" spans="2:4" ht="15" customHeight="1" x14ac:dyDescent="0.25">
      <c r="B540" s="46"/>
      <c r="C540" s="46"/>
      <c r="D540" s="46"/>
    </row>
    <row r="541" spans="2:4" ht="15" customHeight="1" x14ac:dyDescent="0.25">
      <c r="B541" s="46"/>
      <c r="C541" s="46"/>
      <c r="D541" s="46"/>
    </row>
    <row r="542" spans="2:4" ht="15" customHeight="1" x14ac:dyDescent="0.25">
      <c r="B542" s="46"/>
      <c r="C542" s="46"/>
      <c r="D542" s="46"/>
    </row>
    <row r="543" spans="2:4" ht="15" customHeight="1" x14ac:dyDescent="0.25">
      <c r="B543" s="46"/>
      <c r="C543" s="46"/>
      <c r="D543" s="46"/>
    </row>
    <row r="544" spans="2:4" ht="15" customHeight="1" x14ac:dyDescent="0.25">
      <c r="B544" s="46"/>
      <c r="C544" s="46"/>
      <c r="D544" s="46"/>
    </row>
    <row r="545" spans="2:4" ht="15" customHeight="1" x14ac:dyDescent="0.25">
      <c r="B545" s="46"/>
      <c r="C545" s="46"/>
      <c r="D545" s="46"/>
    </row>
    <row r="546" spans="2:4" ht="15" customHeight="1" x14ac:dyDescent="0.25">
      <c r="B546" s="46"/>
      <c r="C546" s="46"/>
      <c r="D546" s="46"/>
    </row>
    <row r="547" spans="2:4" ht="15" customHeight="1" x14ac:dyDescent="0.25">
      <c r="B547" s="46"/>
      <c r="C547" s="46"/>
      <c r="D547" s="46"/>
    </row>
    <row r="548" spans="2:4" ht="15" customHeight="1" x14ac:dyDescent="0.25">
      <c r="B548" s="46"/>
      <c r="C548" s="46"/>
      <c r="D548" s="46"/>
    </row>
    <row r="549" spans="2:4" ht="15" customHeight="1" x14ac:dyDescent="0.25">
      <c r="B549" s="46"/>
      <c r="C549" s="46"/>
      <c r="D549" s="46"/>
    </row>
    <row r="550" spans="2:4" ht="15" customHeight="1" x14ac:dyDescent="0.25">
      <c r="B550" s="46"/>
      <c r="C550" s="46"/>
      <c r="D550" s="46"/>
    </row>
    <row r="551" spans="2:4" ht="15" customHeight="1" x14ac:dyDescent="0.25">
      <c r="B551" s="46"/>
      <c r="C551" s="46"/>
      <c r="D551" s="46"/>
    </row>
    <row r="552" spans="2:4" ht="15" customHeight="1" x14ac:dyDescent="0.25">
      <c r="B552" s="46"/>
      <c r="C552" s="46"/>
      <c r="D552" s="46"/>
    </row>
    <row r="553" spans="2:4" ht="15" customHeight="1" x14ac:dyDescent="0.25">
      <c r="B553" s="46"/>
      <c r="C553" s="46"/>
      <c r="D553" s="46"/>
    </row>
    <row r="554" spans="2:4" ht="15" customHeight="1" x14ac:dyDescent="0.25">
      <c r="B554" s="46"/>
      <c r="C554" s="46"/>
      <c r="D554" s="46"/>
    </row>
    <row r="555" spans="2:4" ht="15" customHeight="1" x14ac:dyDescent="0.25">
      <c r="B555" s="46"/>
      <c r="C555" s="46"/>
      <c r="D555" s="46"/>
    </row>
    <row r="556" spans="2:4" ht="15" customHeight="1" x14ac:dyDescent="0.25">
      <c r="B556" s="46"/>
      <c r="C556" s="46"/>
      <c r="D556" s="46"/>
    </row>
    <row r="557" spans="2:4" ht="15" customHeight="1" x14ac:dyDescent="0.25">
      <c r="B557" s="46"/>
      <c r="C557" s="46"/>
      <c r="D557" s="46"/>
    </row>
    <row r="558" spans="2:4" ht="15" customHeight="1" x14ac:dyDescent="0.25">
      <c r="B558" s="46"/>
      <c r="C558" s="46"/>
      <c r="D558" s="46"/>
    </row>
    <row r="559" spans="2:4" ht="15" customHeight="1" x14ac:dyDescent="0.25">
      <c r="B559" s="46"/>
      <c r="C559" s="46"/>
      <c r="D559" s="46"/>
    </row>
    <row r="560" spans="2:4" ht="15" customHeight="1" x14ac:dyDescent="0.25">
      <c r="B560" s="46"/>
      <c r="C560" s="46"/>
      <c r="D560" s="46"/>
    </row>
    <row r="561" spans="2:4" ht="15" customHeight="1" x14ac:dyDescent="0.25">
      <c r="B561" s="46"/>
      <c r="C561" s="46"/>
      <c r="D561" s="46"/>
    </row>
    <row r="562" spans="2:4" ht="15" customHeight="1" x14ac:dyDescent="0.25">
      <c r="B562" s="46"/>
      <c r="C562" s="46"/>
      <c r="D562" s="46"/>
    </row>
    <row r="563" spans="2:4" ht="15" customHeight="1" x14ac:dyDescent="0.25">
      <c r="B563" s="46"/>
      <c r="C563" s="46"/>
      <c r="D563" s="46"/>
    </row>
    <row r="564" spans="2:4" ht="15" customHeight="1" x14ac:dyDescent="0.25">
      <c r="B564" s="46"/>
      <c r="C564" s="46"/>
      <c r="D564" s="46"/>
    </row>
    <row r="565" spans="2:4" ht="15" customHeight="1" x14ac:dyDescent="0.25">
      <c r="B565" s="46"/>
      <c r="C565" s="46"/>
      <c r="D565" s="46"/>
    </row>
    <row r="566" spans="2:4" ht="15" customHeight="1" x14ac:dyDescent="0.25">
      <c r="B566" s="46"/>
      <c r="C566" s="46"/>
      <c r="D566" s="46"/>
    </row>
    <row r="567" spans="2:4" ht="15" customHeight="1" x14ac:dyDescent="0.25">
      <c r="B567" s="46"/>
      <c r="C567" s="46"/>
      <c r="D567" s="46"/>
    </row>
    <row r="568" spans="2:4" ht="15" customHeight="1" x14ac:dyDescent="0.25">
      <c r="B568" s="46"/>
      <c r="C568" s="46"/>
      <c r="D568" s="46"/>
    </row>
    <row r="569" spans="2:4" ht="15" customHeight="1" x14ac:dyDescent="0.25">
      <c r="B569" s="46"/>
      <c r="C569" s="46"/>
      <c r="D569" s="46"/>
    </row>
    <row r="570" spans="2:4" ht="15" customHeight="1" x14ac:dyDescent="0.25">
      <c r="B570" s="46"/>
      <c r="C570" s="46"/>
      <c r="D570" s="46"/>
    </row>
    <row r="571" spans="2:4" ht="15" customHeight="1" x14ac:dyDescent="0.25">
      <c r="B571" s="46"/>
      <c r="C571" s="46"/>
      <c r="D571" s="46"/>
    </row>
    <row r="572" spans="2:4" ht="15" customHeight="1" x14ac:dyDescent="0.25">
      <c r="B572" s="46"/>
      <c r="C572" s="46"/>
      <c r="D572" s="46"/>
    </row>
    <row r="573" spans="2:4" ht="15" customHeight="1" x14ac:dyDescent="0.25">
      <c r="B573" s="46"/>
      <c r="C573" s="46"/>
      <c r="D573" s="46"/>
    </row>
    <row r="574" spans="2:4" ht="15" customHeight="1" x14ac:dyDescent="0.25">
      <c r="B574" s="46"/>
      <c r="C574" s="46"/>
      <c r="D574" s="46"/>
    </row>
    <row r="575" spans="2:4" ht="15" customHeight="1" x14ac:dyDescent="0.25">
      <c r="B575" s="46"/>
      <c r="C575" s="46"/>
      <c r="D575" s="46"/>
    </row>
    <row r="576" spans="2:4" ht="15" customHeight="1" x14ac:dyDescent="0.25">
      <c r="B576" s="46"/>
      <c r="C576" s="46"/>
      <c r="D576" s="46"/>
    </row>
    <row r="577" spans="2:4" ht="15" customHeight="1" x14ac:dyDescent="0.25">
      <c r="B577" s="46"/>
      <c r="C577" s="46"/>
      <c r="D577" s="46"/>
    </row>
    <row r="578" spans="2:4" ht="15" customHeight="1" x14ac:dyDescent="0.25">
      <c r="B578" s="46"/>
      <c r="C578" s="46"/>
      <c r="D578" s="46"/>
    </row>
    <row r="579" spans="2:4" ht="15" customHeight="1" x14ac:dyDescent="0.25">
      <c r="B579" s="46"/>
      <c r="C579" s="46"/>
      <c r="D579" s="46"/>
    </row>
    <row r="580" spans="2:4" ht="15" customHeight="1" x14ac:dyDescent="0.25">
      <c r="B580" s="46"/>
      <c r="C580" s="46"/>
      <c r="D580" s="46"/>
    </row>
    <row r="581" spans="2:4" ht="15" customHeight="1" x14ac:dyDescent="0.25">
      <c r="B581" s="46"/>
      <c r="C581" s="46"/>
      <c r="D581" s="46"/>
    </row>
    <row r="582" spans="2:4" ht="15" customHeight="1" x14ac:dyDescent="0.25">
      <c r="B582" s="46"/>
      <c r="C582" s="46"/>
      <c r="D582" s="46"/>
    </row>
    <row r="583" spans="2:4" ht="15" customHeight="1" x14ac:dyDescent="0.25">
      <c r="B583" s="46"/>
      <c r="C583" s="46"/>
      <c r="D583" s="46"/>
    </row>
    <row r="584" spans="2:4" ht="15" customHeight="1" x14ac:dyDescent="0.25">
      <c r="B584" s="46"/>
      <c r="C584" s="46"/>
      <c r="D584" s="46"/>
    </row>
    <row r="585" spans="2:4" ht="15" customHeight="1" x14ac:dyDescent="0.25">
      <c r="B585" s="46"/>
      <c r="C585" s="46"/>
      <c r="D585" s="46"/>
    </row>
    <row r="586" spans="2:4" ht="15" customHeight="1" x14ac:dyDescent="0.25">
      <c r="B586" s="46"/>
      <c r="C586" s="46"/>
      <c r="D586" s="46"/>
    </row>
    <row r="587" spans="2:4" ht="15" customHeight="1" x14ac:dyDescent="0.25">
      <c r="B587" s="46"/>
      <c r="C587" s="46"/>
      <c r="D587" s="46"/>
    </row>
    <row r="588" spans="2:4" ht="15" customHeight="1" x14ac:dyDescent="0.25">
      <c r="B588" s="46"/>
      <c r="C588" s="46"/>
      <c r="D588" s="46"/>
    </row>
    <row r="589" spans="2:4" ht="15" customHeight="1" x14ac:dyDescent="0.25">
      <c r="B589" s="46"/>
      <c r="C589" s="46"/>
      <c r="D589" s="46"/>
    </row>
    <row r="590" spans="2:4" ht="15" customHeight="1" x14ac:dyDescent="0.25">
      <c r="B590" s="46"/>
      <c r="C590" s="46"/>
      <c r="D590" s="46"/>
    </row>
    <row r="591" spans="2:4" ht="15" customHeight="1" x14ac:dyDescent="0.25">
      <c r="B591" s="46"/>
      <c r="C591" s="46"/>
      <c r="D591" s="46"/>
    </row>
    <row r="592" spans="2:4" ht="15" customHeight="1" x14ac:dyDescent="0.25">
      <c r="B592" s="46"/>
      <c r="C592" s="46"/>
      <c r="D592" s="46"/>
    </row>
    <row r="593" spans="2:4" ht="15" customHeight="1" x14ac:dyDescent="0.25">
      <c r="B593" s="46"/>
      <c r="C593" s="46"/>
      <c r="D593" s="46"/>
    </row>
    <row r="594" spans="2:4" ht="15" customHeight="1" x14ac:dyDescent="0.25">
      <c r="B594" s="46"/>
      <c r="C594" s="46"/>
      <c r="D594" s="46"/>
    </row>
    <row r="595" spans="2:4" ht="15" customHeight="1" x14ac:dyDescent="0.25">
      <c r="B595" s="46"/>
      <c r="C595" s="46"/>
      <c r="D595" s="46"/>
    </row>
  </sheetData>
  <autoFilter ref="A1:N354">
    <filterColumn colId="5">
      <filters>
        <filter val="MANTENIMIENTO DE BIENES INMUEBLES"/>
      </filters>
    </filterColumn>
  </autoFilter>
  <mergeCells count="1">
    <mergeCell ref="H357:I357"/>
  </mergeCell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5"/>
  <sheetViews>
    <sheetView workbookViewId="0">
      <selection activeCell="J21" sqref="J21"/>
    </sheetView>
  </sheetViews>
  <sheetFormatPr baseColWidth="10" defaultRowHeight="15" x14ac:dyDescent="0.25"/>
  <cols>
    <col min="2" max="6" width="4.140625" customWidth="1"/>
    <col min="7" max="7" width="9.28515625" customWidth="1"/>
    <col min="8" max="9" width="4.140625" customWidth="1"/>
    <col min="10" max="10" width="57.5703125" style="277" customWidth="1"/>
    <col min="11" max="11" width="23.28515625" style="278" customWidth="1"/>
    <col min="12" max="12" width="23.7109375" style="278" customWidth="1"/>
  </cols>
  <sheetData>
    <row r="2" spans="2:12" ht="48" x14ac:dyDescent="0.25">
      <c r="B2" s="279" t="s">
        <v>476</v>
      </c>
      <c r="C2" s="279" t="s">
        <v>475</v>
      </c>
      <c r="D2" s="279" t="s">
        <v>474</v>
      </c>
      <c r="E2" s="279" t="s">
        <v>473</v>
      </c>
      <c r="F2" s="279" t="s">
        <v>472</v>
      </c>
      <c r="G2" s="279" t="s">
        <v>471</v>
      </c>
      <c r="H2" s="279" t="s">
        <v>470</v>
      </c>
      <c r="I2" s="279" t="s">
        <v>469</v>
      </c>
      <c r="J2" s="280" t="s">
        <v>468</v>
      </c>
      <c r="K2" s="281" t="s">
        <v>1418</v>
      </c>
      <c r="L2" s="281" t="s">
        <v>1419</v>
      </c>
    </row>
    <row r="3" spans="2:12" x14ac:dyDescent="0.25">
      <c r="B3" s="539"/>
      <c r="C3" s="539"/>
      <c r="D3" s="539"/>
      <c r="E3" s="539"/>
      <c r="F3" s="539"/>
      <c r="G3" s="539"/>
      <c r="H3" s="539"/>
      <c r="I3" s="539"/>
      <c r="J3" s="283" t="s">
        <v>485</v>
      </c>
      <c r="K3" s="540"/>
      <c r="L3" s="540"/>
    </row>
    <row r="4" spans="2:12" x14ac:dyDescent="0.25">
      <c r="B4" s="541" t="s">
        <v>461</v>
      </c>
      <c r="C4" s="541" t="s">
        <v>463</v>
      </c>
      <c r="D4" s="541" t="s">
        <v>454</v>
      </c>
      <c r="E4" s="541" t="s">
        <v>443</v>
      </c>
      <c r="F4" s="541" t="s">
        <v>459</v>
      </c>
      <c r="G4" s="331" t="s">
        <v>553</v>
      </c>
      <c r="H4" s="542">
        <v>10</v>
      </c>
      <c r="I4" s="542" t="s">
        <v>440</v>
      </c>
      <c r="J4" s="543" t="s">
        <v>565</v>
      </c>
      <c r="K4" s="540"/>
      <c r="L4" s="540"/>
    </row>
    <row r="5" spans="2:12" x14ac:dyDescent="0.25">
      <c r="B5" s="331" t="s">
        <v>461</v>
      </c>
      <c r="C5" s="331" t="s">
        <v>463</v>
      </c>
      <c r="D5" s="331" t="s">
        <v>454</v>
      </c>
      <c r="E5" s="331" t="s">
        <v>443</v>
      </c>
      <c r="F5" s="331" t="s">
        <v>544</v>
      </c>
      <c r="G5" s="331" t="s">
        <v>553</v>
      </c>
      <c r="H5" s="542">
        <v>10</v>
      </c>
      <c r="I5" s="542" t="s">
        <v>440</v>
      </c>
      <c r="J5" s="543" t="s">
        <v>486</v>
      </c>
      <c r="K5" s="540"/>
      <c r="L5" s="540">
        <v>1000000</v>
      </c>
    </row>
    <row r="6" spans="2:12" x14ac:dyDescent="0.25">
      <c r="B6" s="331" t="s">
        <v>461</v>
      </c>
      <c r="C6" s="331" t="s">
        <v>463</v>
      </c>
      <c r="D6" s="331" t="s">
        <v>454</v>
      </c>
      <c r="E6" s="331" t="s">
        <v>443</v>
      </c>
      <c r="F6" s="331" t="s">
        <v>545</v>
      </c>
      <c r="G6" s="331" t="s">
        <v>553</v>
      </c>
      <c r="H6" s="542">
        <v>10</v>
      </c>
      <c r="I6" s="542" t="s">
        <v>440</v>
      </c>
      <c r="J6" s="543" t="s">
        <v>513</v>
      </c>
      <c r="K6" s="540">
        <v>1000000</v>
      </c>
      <c r="L6" s="540"/>
    </row>
    <row r="7" spans="2:12" x14ac:dyDescent="0.25">
      <c r="B7" s="331" t="s">
        <v>461</v>
      </c>
      <c r="C7" s="331" t="s">
        <v>463</v>
      </c>
      <c r="D7" s="331" t="s">
        <v>454</v>
      </c>
      <c r="E7" s="331" t="s">
        <v>443</v>
      </c>
      <c r="F7" s="331" t="s">
        <v>545</v>
      </c>
      <c r="G7" s="331" t="s">
        <v>553</v>
      </c>
      <c r="H7" s="542">
        <v>10</v>
      </c>
      <c r="I7" s="542" t="s">
        <v>440</v>
      </c>
      <c r="J7" s="543" t="s">
        <v>573</v>
      </c>
      <c r="K7" s="540"/>
      <c r="L7" s="540"/>
    </row>
    <row r="8" spans="2:12" ht="15.75" x14ac:dyDescent="0.25">
      <c r="B8" s="331"/>
      <c r="C8" s="331"/>
      <c r="D8" s="331"/>
      <c r="E8" s="331"/>
      <c r="F8" s="331"/>
      <c r="G8" s="331"/>
      <c r="H8" s="542"/>
      <c r="I8" s="542"/>
      <c r="J8" s="288" t="s">
        <v>525</v>
      </c>
      <c r="K8" s="281">
        <f>SUM(K4:K7)</f>
        <v>1000000</v>
      </c>
      <c r="L8" s="281">
        <f>SUM(L4:L7)</f>
        <v>1000000</v>
      </c>
    </row>
    <row r="9" spans="2:12" x14ac:dyDescent="0.25">
      <c r="B9" s="282"/>
      <c r="C9" s="282"/>
      <c r="D9" s="282"/>
      <c r="E9" s="282"/>
      <c r="F9" s="282"/>
      <c r="G9" s="282"/>
      <c r="H9" s="282"/>
      <c r="I9" s="282"/>
      <c r="J9" s="283" t="s">
        <v>514</v>
      </c>
      <c r="K9" s="284"/>
      <c r="L9" s="285"/>
    </row>
    <row r="10" spans="2:12" x14ac:dyDescent="0.25">
      <c r="B10" s="282" t="s">
        <v>461</v>
      </c>
      <c r="C10" s="282" t="s">
        <v>463</v>
      </c>
      <c r="D10" s="282" t="s">
        <v>454</v>
      </c>
      <c r="E10" s="282" t="s">
        <v>454</v>
      </c>
      <c r="F10" s="282" t="s">
        <v>453</v>
      </c>
      <c r="G10" s="282" t="s">
        <v>553</v>
      </c>
      <c r="H10" s="282">
        <v>10</v>
      </c>
      <c r="I10" s="282" t="s">
        <v>440</v>
      </c>
      <c r="J10" s="286" t="s">
        <v>575</v>
      </c>
      <c r="K10" s="285"/>
      <c r="L10" s="287"/>
    </row>
    <row r="11" spans="2:12" x14ac:dyDescent="0.25">
      <c r="B11" s="282" t="s">
        <v>461</v>
      </c>
      <c r="C11" s="282" t="s">
        <v>463</v>
      </c>
      <c r="D11" s="282" t="s">
        <v>454</v>
      </c>
      <c r="E11" s="282" t="s">
        <v>454</v>
      </c>
      <c r="F11" s="282" t="s">
        <v>547</v>
      </c>
      <c r="G11" s="282" t="s">
        <v>553</v>
      </c>
      <c r="H11" s="282">
        <v>10</v>
      </c>
      <c r="I11" s="282" t="s">
        <v>440</v>
      </c>
      <c r="J11" s="286" t="s">
        <v>519</v>
      </c>
      <c r="K11" s="285"/>
      <c r="L11" s="287"/>
    </row>
    <row r="12" spans="2:12" ht="30" x14ac:dyDescent="0.25">
      <c r="B12" s="282" t="s">
        <v>461</v>
      </c>
      <c r="C12" s="282" t="s">
        <v>463</v>
      </c>
      <c r="D12" s="282" t="s">
        <v>454</v>
      </c>
      <c r="E12" s="282" t="s">
        <v>454</v>
      </c>
      <c r="F12" s="282" t="s">
        <v>457</v>
      </c>
      <c r="G12" s="282" t="s">
        <v>553</v>
      </c>
      <c r="H12" s="282">
        <v>10</v>
      </c>
      <c r="I12" s="282" t="s">
        <v>440</v>
      </c>
      <c r="J12" s="286" t="s">
        <v>1063</v>
      </c>
      <c r="K12" s="285"/>
      <c r="L12" s="285"/>
    </row>
    <row r="13" spans="2:12" x14ac:dyDescent="0.25">
      <c r="B13" s="282" t="s">
        <v>461</v>
      </c>
      <c r="C13" s="282" t="s">
        <v>463</v>
      </c>
      <c r="D13" s="282" t="s">
        <v>454</v>
      </c>
      <c r="E13" s="282" t="s">
        <v>454</v>
      </c>
      <c r="F13" s="282" t="s">
        <v>552</v>
      </c>
      <c r="G13" s="282" t="s">
        <v>553</v>
      </c>
      <c r="H13" s="282">
        <v>10</v>
      </c>
      <c r="I13" s="282" t="s">
        <v>440</v>
      </c>
      <c r="J13" s="286" t="s">
        <v>568</v>
      </c>
      <c r="K13" s="285"/>
      <c r="L13" s="287"/>
    </row>
    <row r="14" spans="2:12" x14ac:dyDescent="0.25">
      <c r="B14" s="282" t="s">
        <v>461</v>
      </c>
      <c r="C14" s="282" t="s">
        <v>463</v>
      </c>
      <c r="D14" s="282" t="s">
        <v>454</v>
      </c>
      <c r="E14" s="282" t="s">
        <v>454</v>
      </c>
      <c r="F14" s="282" t="s">
        <v>548</v>
      </c>
      <c r="G14" s="282" t="s">
        <v>553</v>
      </c>
      <c r="H14" s="282">
        <v>10</v>
      </c>
      <c r="I14" s="282" t="s">
        <v>440</v>
      </c>
      <c r="J14" s="286" t="s">
        <v>520</v>
      </c>
      <c r="K14" s="285"/>
      <c r="L14" s="285"/>
    </row>
    <row r="15" spans="2:12" ht="15.75" x14ac:dyDescent="0.25">
      <c r="B15" s="282"/>
      <c r="C15" s="282"/>
      <c r="D15" s="282"/>
      <c r="E15" s="282"/>
      <c r="F15" s="282"/>
      <c r="G15" s="282"/>
      <c r="H15" s="282"/>
      <c r="I15" s="282"/>
      <c r="J15" s="288" t="s">
        <v>521</v>
      </c>
      <c r="K15" s="289">
        <f>SUM(K10:K14)</f>
        <v>0</v>
      </c>
      <c r="L15" s="289">
        <f>SUM(L10:L14)</f>
        <v>0</v>
      </c>
    </row>
    <row r="16" spans="2:12" x14ac:dyDescent="0.25">
      <c r="B16" s="282"/>
      <c r="C16" s="282"/>
      <c r="D16" s="282"/>
      <c r="E16" s="282"/>
      <c r="F16" s="282"/>
      <c r="G16" s="282"/>
      <c r="H16" s="282"/>
      <c r="I16" s="282"/>
      <c r="J16" s="283" t="s">
        <v>522</v>
      </c>
      <c r="K16" s="284"/>
      <c r="L16" s="285"/>
    </row>
    <row r="17" spans="2:12" x14ac:dyDescent="0.25">
      <c r="B17" s="282" t="s">
        <v>461</v>
      </c>
      <c r="C17" s="282" t="s">
        <v>463</v>
      </c>
      <c r="D17" s="282" t="s">
        <v>454</v>
      </c>
      <c r="E17" s="282" t="s">
        <v>450</v>
      </c>
      <c r="F17" s="282" t="s">
        <v>443</v>
      </c>
      <c r="G17" s="282" t="s">
        <v>553</v>
      </c>
      <c r="H17" s="282">
        <v>10</v>
      </c>
      <c r="I17" s="282" t="s">
        <v>440</v>
      </c>
      <c r="J17" s="286" t="s">
        <v>1091</v>
      </c>
      <c r="K17" s="540"/>
      <c r="L17" s="540">
        <v>1500000</v>
      </c>
    </row>
    <row r="18" spans="2:12" x14ac:dyDescent="0.25">
      <c r="B18" s="331" t="s">
        <v>461</v>
      </c>
      <c r="C18" s="331" t="s">
        <v>463</v>
      </c>
      <c r="D18" s="331" t="s">
        <v>454</v>
      </c>
      <c r="E18" s="331" t="s">
        <v>450</v>
      </c>
      <c r="F18" s="331" t="s">
        <v>461</v>
      </c>
      <c r="G18" s="331" t="s">
        <v>553</v>
      </c>
      <c r="H18" s="542">
        <v>10</v>
      </c>
      <c r="I18" s="542" t="s">
        <v>440</v>
      </c>
      <c r="J18" s="543" t="s">
        <v>2619</v>
      </c>
      <c r="K18" s="540">
        <v>1200000</v>
      </c>
      <c r="L18" s="540"/>
    </row>
    <row r="19" spans="2:12" x14ac:dyDescent="0.25">
      <c r="B19" s="282" t="s">
        <v>461</v>
      </c>
      <c r="C19" s="282" t="s">
        <v>463</v>
      </c>
      <c r="D19" s="282" t="s">
        <v>454</v>
      </c>
      <c r="E19" s="282" t="s">
        <v>450</v>
      </c>
      <c r="F19" s="282" t="s">
        <v>549</v>
      </c>
      <c r="G19" s="282" t="s">
        <v>553</v>
      </c>
      <c r="H19" s="282">
        <v>10</v>
      </c>
      <c r="I19" s="282" t="s">
        <v>440</v>
      </c>
      <c r="J19" s="286" t="s">
        <v>493</v>
      </c>
      <c r="K19" s="540">
        <v>300000</v>
      </c>
      <c r="L19" s="540"/>
    </row>
    <row r="20" spans="2:12" ht="15.75" x14ac:dyDescent="0.25">
      <c r="B20" s="282"/>
      <c r="C20" s="282"/>
      <c r="D20" s="282"/>
      <c r="E20" s="282"/>
      <c r="F20" s="282"/>
      <c r="G20" s="282"/>
      <c r="H20" s="282"/>
      <c r="I20" s="282"/>
      <c r="J20" s="286" t="s">
        <v>524</v>
      </c>
      <c r="K20" s="544">
        <f>SUM(K16:K19)</f>
        <v>1500000</v>
      </c>
      <c r="L20" s="544">
        <f>SUM(L16:L19)</f>
        <v>1500000</v>
      </c>
    </row>
    <row r="21" spans="2:12" ht="15.75" x14ac:dyDescent="0.25">
      <c r="B21" s="282"/>
      <c r="C21" s="282"/>
      <c r="D21" s="282"/>
      <c r="E21" s="282"/>
      <c r="F21" s="282"/>
      <c r="G21" s="282"/>
      <c r="H21" s="282"/>
      <c r="I21" s="282"/>
      <c r="J21" s="283" t="s">
        <v>504</v>
      </c>
      <c r="K21" s="289"/>
      <c r="L21" s="289"/>
    </row>
    <row r="22" spans="2:12" x14ac:dyDescent="0.25">
      <c r="B22" s="282" t="s">
        <v>461</v>
      </c>
      <c r="C22" s="282" t="s">
        <v>463</v>
      </c>
      <c r="D22" s="282" t="s">
        <v>454</v>
      </c>
      <c r="E22" s="282" t="s">
        <v>459</v>
      </c>
      <c r="F22" s="282" t="s">
        <v>550</v>
      </c>
      <c r="G22" s="282" t="s">
        <v>553</v>
      </c>
      <c r="H22" s="282">
        <v>10</v>
      </c>
      <c r="I22" s="282" t="s">
        <v>440</v>
      </c>
      <c r="J22" s="286" t="s">
        <v>496</v>
      </c>
      <c r="K22" s="285"/>
      <c r="L22" s="285"/>
    </row>
    <row r="23" spans="2:12" ht="30" x14ac:dyDescent="0.25">
      <c r="B23" s="282" t="s">
        <v>461</v>
      </c>
      <c r="C23" s="282" t="s">
        <v>463</v>
      </c>
      <c r="D23" s="282" t="s">
        <v>454</v>
      </c>
      <c r="E23" s="282" t="s">
        <v>459</v>
      </c>
      <c r="F23" s="282" t="s">
        <v>544</v>
      </c>
      <c r="G23" s="282" t="s">
        <v>553</v>
      </c>
      <c r="H23" s="282">
        <v>10</v>
      </c>
      <c r="I23" s="282" t="s">
        <v>440</v>
      </c>
      <c r="J23" s="286" t="s">
        <v>839</v>
      </c>
      <c r="K23" s="285"/>
      <c r="L23" s="285"/>
    </row>
    <row r="24" spans="2:12" ht="15.75" x14ac:dyDescent="0.25">
      <c r="B24" s="282"/>
      <c r="C24" s="282"/>
      <c r="D24" s="282"/>
      <c r="E24" s="282"/>
      <c r="F24" s="282"/>
      <c r="G24" s="282"/>
      <c r="H24" s="282"/>
      <c r="I24" s="282"/>
      <c r="J24" s="286" t="s">
        <v>526</v>
      </c>
      <c r="K24" s="289">
        <f>SUM(K22:K23)</f>
        <v>0</v>
      </c>
      <c r="L24" s="289">
        <f>SUM(L22:L23)</f>
        <v>0</v>
      </c>
    </row>
    <row r="25" spans="2:12" ht="18.75" x14ac:dyDescent="0.3">
      <c r="B25" s="282"/>
      <c r="C25" s="282"/>
      <c r="D25" s="282"/>
      <c r="E25" s="282"/>
      <c r="F25" s="282"/>
      <c r="G25" s="282"/>
      <c r="H25" s="282"/>
      <c r="I25" s="282"/>
      <c r="J25" s="290" t="s">
        <v>911</v>
      </c>
      <c r="K25" s="291">
        <f>SUM(K8+K20)</f>
        <v>2500000</v>
      </c>
      <c r="L25" s="291">
        <f>SUM(L8+L20)</f>
        <v>2500000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F21" sqref="F21"/>
    </sheetView>
  </sheetViews>
  <sheetFormatPr baseColWidth="10" defaultRowHeight="15" x14ac:dyDescent="0.25"/>
  <cols>
    <col min="1" max="1" width="24.140625" style="277" customWidth="1"/>
    <col min="2" max="2" width="16.140625" customWidth="1"/>
  </cols>
  <sheetData>
    <row r="1" spans="1:2" x14ac:dyDescent="0.25">
      <c r="B1" s="277"/>
    </row>
    <row r="2" spans="1:2" x14ac:dyDescent="0.25">
      <c r="B2" s="277"/>
    </row>
    <row r="3" spans="1:2" x14ac:dyDescent="0.25">
      <c r="B3" s="277"/>
    </row>
    <row r="4" spans="1:2" ht="60" x14ac:dyDescent="0.25">
      <c r="A4" s="125" t="s">
        <v>871</v>
      </c>
      <c r="B4" s="125" t="s">
        <v>2621</v>
      </c>
    </row>
    <row r="5" spans="1:2" x14ac:dyDescent="0.25">
      <c r="A5" s="296" t="s">
        <v>485</v>
      </c>
      <c r="B5" s="297"/>
    </row>
    <row r="6" spans="1:2" x14ac:dyDescent="0.25">
      <c r="A6" s="301" t="s">
        <v>513</v>
      </c>
      <c r="B6" s="561">
        <v>0</v>
      </c>
    </row>
    <row r="7" spans="1:2" x14ac:dyDescent="0.25">
      <c r="A7" s="312" t="s">
        <v>573</v>
      </c>
      <c r="B7" s="561">
        <v>1</v>
      </c>
    </row>
    <row r="8" spans="1:2" ht="22.5" x14ac:dyDescent="0.25">
      <c r="A8" s="296" t="s">
        <v>525</v>
      </c>
      <c r="B8" s="562">
        <v>8.3333333333333329E-2</v>
      </c>
    </row>
    <row r="9" spans="1:2" x14ac:dyDescent="0.25">
      <c r="A9" s="296" t="s">
        <v>514</v>
      </c>
      <c r="B9" s="562"/>
    </row>
    <row r="10" spans="1:2" ht="33.75" x14ac:dyDescent="0.25">
      <c r="A10" s="301" t="s">
        <v>575</v>
      </c>
      <c r="B10" s="561">
        <v>0.72944444444444445</v>
      </c>
    </row>
    <row r="11" spans="1:2" ht="22.5" x14ac:dyDescent="0.25">
      <c r="A11" s="301" t="s">
        <v>518</v>
      </c>
      <c r="B11" s="561">
        <v>0.66488888888888886</v>
      </c>
    </row>
    <row r="12" spans="1:2" ht="22.5" x14ac:dyDescent="0.25">
      <c r="A12" s="301" t="s">
        <v>519</v>
      </c>
      <c r="B12" s="561">
        <v>0.6205701785714286</v>
      </c>
    </row>
    <row r="13" spans="1:2" ht="45" x14ac:dyDescent="0.25">
      <c r="A13" s="301" t="s">
        <v>837</v>
      </c>
      <c r="B13" s="561">
        <v>2.5714285714285714E-2</v>
      </c>
    </row>
    <row r="14" spans="1:2" x14ac:dyDescent="0.25">
      <c r="A14" s="301" t="s">
        <v>568</v>
      </c>
      <c r="B14" s="561">
        <v>0.52759999999999996</v>
      </c>
    </row>
    <row r="15" spans="1:2" ht="22.5" x14ac:dyDescent="0.25">
      <c r="A15" s="301" t="s">
        <v>872</v>
      </c>
      <c r="B15" s="561">
        <v>0.84508000000000005</v>
      </c>
    </row>
    <row r="16" spans="1:2" ht="22.5" x14ac:dyDescent="0.25">
      <c r="A16" s="296" t="s">
        <v>521</v>
      </c>
      <c r="B16" s="562">
        <v>0.65445862499999996</v>
      </c>
    </row>
    <row r="17" spans="1:2" x14ac:dyDescent="0.25">
      <c r="A17" s="303" t="s">
        <v>522</v>
      </c>
      <c r="B17" s="563"/>
    </row>
    <row r="18" spans="1:2" ht="45" x14ac:dyDescent="0.25">
      <c r="A18" s="301" t="s">
        <v>535</v>
      </c>
      <c r="B18" s="561">
        <v>0.39070050000000001</v>
      </c>
    </row>
    <row r="19" spans="1:2" ht="45" x14ac:dyDescent="0.25">
      <c r="A19" s="301" t="s">
        <v>649</v>
      </c>
      <c r="B19" s="561">
        <v>0.6645833333333333</v>
      </c>
    </row>
    <row r="20" spans="1:2" ht="56.25" x14ac:dyDescent="0.25">
      <c r="A20" s="301" t="s">
        <v>838</v>
      </c>
      <c r="B20" s="561">
        <v>1</v>
      </c>
    </row>
    <row r="21" spans="1:2" ht="33.75" x14ac:dyDescent="0.25">
      <c r="A21" s="301" t="s">
        <v>491</v>
      </c>
      <c r="B21" s="561"/>
    </row>
    <row r="22" spans="1:2" x14ac:dyDescent="0.25">
      <c r="A22" s="301" t="s">
        <v>523</v>
      </c>
      <c r="B22" s="561"/>
    </row>
    <row r="23" spans="1:2" ht="22.5" x14ac:dyDescent="0.25">
      <c r="A23" s="301" t="s">
        <v>492</v>
      </c>
      <c r="B23" s="561"/>
    </row>
    <row r="24" spans="1:2" ht="22.5" x14ac:dyDescent="0.25">
      <c r="A24" s="301" t="s">
        <v>493</v>
      </c>
      <c r="B24" s="561">
        <v>0.71876190476190471</v>
      </c>
    </row>
    <row r="25" spans="1:2" x14ac:dyDescent="0.25">
      <c r="A25" s="296" t="s">
        <v>524</v>
      </c>
      <c r="B25" s="562">
        <v>0.56519525000000004</v>
      </c>
    </row>
    <row r="26" spans="1:2" ht="22.5" x14ac:dyDescent="0.25">
      <c r="A26" s="303" t="s">
        <v>504</v>
      </c>
      <c r="B26" s="564"/>
    </row>
    <row r="27" spans="1:2" x14ac:dyDescent="0.25">
      <c r="A27" s="301" t="s">
        <v>494</v>
      </c>
      <c r="B27" s="564">
        <v>0.37522800000000001</v>
      </c>
    </row>
    <row r="28" spans="1:2" ht="22.5" x14ac:dyDescent="0.25">
      <c r="A28" s="301" t="s">
        <v>495</v>
      </c>
      <c r="B28" s="564"/>
    </row>
    <row r="29" spans="1:2" x14ac:dyDescent="0.25">
      <c r="A29" s="301" t="s">
        <v>496</v>
      </c>
      <c r="B29" s="564">
        <v>0.90176470588235291</v>
      </c>
    </row>
    <row r="30" spans="1:2" ht="33.75" x14ac:dyDescent="0.25">
      <c r="A30" s="301" t="s">
        <v>839</v>
      </c>
      <c r="B30" s="564"/>
    </row>
    <row r="31" spans="1:2" ht="22.5" x14ac:dyDescent="0.25">
      <c r="A31" s="296" t="s">
        <v>526</v>
      </c>
      <c r="B31" s="562">
        <v>0.7820972727272727</v>
      </c>
    </row>
    <row r="32" spans="1:2" x14ac:dyDescent="0.25">
      <c r="A32" s="303" t="s">
        <v>497</v>
      </c>
      <c r="B32" s="561"/>
    </row>
    <row r="33" spans="1:2" ht="22.5" x14ac:dyDescent="0.25">
      <c r="A33" s="301" t="s">
        <v>560</v>
      </c>
      <c r="B33" s="561">
        <v>0</v>
      </c>
    </row>
    <row r="34" spans="1:2" ht="33.75" x14ac:dyDescent="0.25">
      <c r="A34" s="301" t="s">
        <v>559</v>
      </c>
      <c r="B34" s="561">
        <v>0</v>
      </c>
    </row>
    <row r="35" spans="1:2" x14ac:dyDescent="0.25">
      <c r="A35" s="301" t="s">
        <v>498</v>
      </c>
      <c r="B35" s="561"/>
    </row>
    <row r="36" spans="1:2" ht="45" x14ac:dyDescent="0.25">
      <c r="A36" s="301" t="s">
        <v>537</v>
      </c>
      <c r="B36" s="561">
        <v>0.85582282282282285</v>
      </c>
    </row>
    <row r="37" spans="1:2" ht="22.5" x14ac:dyDescent="0.25">
      <c r="A37" s="296" t="s">
        <v>571</v>
      </c>
      <c r="B37" s="562">
        <v>0.71247249999999995</v>
      </c>
    </row>
    <row r="38" spans="1:2" x14ac:dyDescent="0.25">
      <c r="A38" s="303" t="s">
        <v>509</v>
      </c>
      <c r="B38" s="561"/>
    </row>
    <row r="39" spans="1:2" x14ac:dyDescent="0.25">
      <c r="A39" s="301" t="s">
        <v>487</v>
      </c>
      <c r="B39" s="561"/>
    </row>
    <row r="40" spans="1:2" x14ac:dyDescent="0.25">
      <c r="A40" s="301" t="s">
        <v>488</v>
      </c>
      <c r="B40" s="561"/>
    </row>
    <row r="41" spans="1:2" x14ac:dyDescent="0.25">
      <c r="A41" s="301" t="s">
        <v>489</v>
      </c>
      <c r="B41" s="561"/>
    </row>
    <row r="42" spans="1:2" x14ac:dyDescent="0.25">
      <c r="A42" s="301" t="s">
        <v>490</v>
      </c>
      <c r="B42" s="561">
        <v>0.35119692307692307</v>
      </c>
    </row>
    <row r="43" spans="1:2" ht="22.5" customHeight="1" x14ac:dyDescent="0.25">
      <c r="A43" s="307" t="s">
        <v>533</v>
      </c>
      <c r="B43" s="565">
        <v>0.35119692307692307</v>
      </c>
    </row>
    <row r="44" spans="1:2" ht="15" customHeight="1" x14ac:dyDescent="0.25">
      <c r="A44" s="309" t="s">
        <v>911</v>
      </c>
      <c r="B44" s="869" t="e">
        <f>SUM(#REF!/#REF!)</f>
        <v>#REF!</v>
      </c>
    </row>
    <row r="45" spans="1:2" ht="15" customHeight="1" x14ac:dyDescent="0.25">
      <c r="B45" s="870"/>
    </row>
  </sheetData>
  <mergeCells count="1">
    <mergeCell ref="B44:B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Z45"/>
  <sheetViews>
    <sheetView zoomScale="69" zoomScaleNormal="69" workbookViewId="0">
      <pane xSplit="12" ySplit="5" topLeftCell="M33" activePane="bottomRight" state="frozen"/>
      <selection pane="topRight" activeCell="M1" sqref="M1"/>
      <selection pane="bottomLeft" activeCell="A6" sqref="A6"/>
      <selection pane="bottomRight" activeCell="T54" sqref="T54"/>
    </sheetView>
  </sheetViews>
  <sheetFormatPr baseColWidth="10" defaultRowHeight="15" x14ac:dyDescent="0.25"/>
  <cols>
    <col min="1" max="1" width="5.42578125" style="277" customWidth="1"/>
    <col min="2" max="2" width="5.7109375" style="277" customWidth="1"/>
    <col min="3" max="8" width="3.42578125" style="277" customWidth="1"/>
    <col min="9" max="9" width="5.140625" style="277" customWidth="1"/>
    <col min="10" max="10" width="3.42578125" style="277" customWidth="1"/>
    <col min="11" max="11" width="6.140625" style="277" customWidth="1"/>
    <col min="12" max="12" width="24.140625" style="277" customWidth="1"/>
    <col min="13" max="13" width="15" style="277" customWidth="1"/>
    <col min="14" max="14" width="14.140625" style="277" customWidth="1"/>
    <col min="15" max="15" width="16.5703125" style="277" customWidth="1"/>
    <col min="16" max="16" width="15.5703125" style="277" customWidth="1"/>
    <col min="17" max="17" width="15.42578125" style="277" customWidth="1"/>
    <col min="18" max="19" width="16.42578125" style="277" customWidth="1"/>
    <col min="20" max="21" width="11.42578125" style="277" customWidth="1"/>
    <col min="22" max="22" width="27" style="277" customWidth="1"/>
    <col min="23" max="23" width="22.7109375" style="277" customWidth="1"/>
    <col min="24" max="24" width="11.42578125" style="277"/>
    <col min="25" max="25" width="23" style="277" customWidth="1"/>
    <col min="26" max="26" width="14.42578125" style="277" customWidth="1"/>
    <col min="27" max="16384" width="11.42578125" style="277"/>
  </cols>
  <sheetData>
    <row r="3" spans="3:26" ht="75" x14ac:dyDescent="0.25">
      <c r="Y3" s="571" t="s">
        <v>2622</v>
      </c>
      <c r="Z3" s="286" t="s">
        <v>2623</v>
      </c>
    </row>
    <row r="4" spans="3:26" ht="60" x14ac:dyDescent="0.25">
      <c r="C4" s="871" t="s">
        <v>870</v>
      </c>
      <c r="D4" s="871"/>
      <c r="E4" s="871"/>
      <c r="F4" s="871"/>
      <c r="G4" s="871"/>
      <c r="H4" s="871"/>
      <c r="I4" s="871"/>
      <c r="J4" s="871"/>
      <c r="K4" s="871"/>
      <c r="L4" s="292" t="s">
        <v>871</v>
      </c>
      <c r="M4" s="125" t="s">
        <v>1003</v>
      </c>
      <c r="N4" s="125" t="s">
        <v>1420</v>
      </c>
      <c r="O4" s="125" t="s">
        <v>1417</v>
      </c>
      <c r="P4" s="125" t="s">
        <v>2620</v>
      </c>
      <c r="Q4" s="125" t="s">
        <v>1425</v>
      </c>
      <c r="R4" s="125" t="s">
        <v>2621</v>
      </c>
      <c r="S4" s="125"/>
      <c r="V4" s="125" t="s">
        <v>2624</v>
      </c>
      <c r="W4" s="125" t="s">
        <v>2621</v>
      </c>
      <c r="Y4" s="286" t="s">
        <v>525</v>
      </c>
      <c r="Z4" s="570">
        <v>8.3333333333333329E-2</v>
      </c>
    </row>
    <row r="5" spans="3:26" ht="30" x14ac:dyDescent="0.25">
      <c r="C5" s="293"/>
      <c r="D5" s="293"/>
      <c r="E5" s="293"/>
      <c r="F5" s="293"/>
      <c r="G5" s="293"/>
      <c r="H5" s="293"/>
      <c r="I5" s="293"/>
      <c r="J5" s="294"/>
      <c r="K5" s="295"/>
      <c r="L5" s="296" t="s">
        <v>485</v>
      </c>
      <c r="M5" s="297"/>
      <c r="N5" s="297"/>
      <c r="O5" s="297"/>
      <c r="P5" s="297"/>
      <c r="Q5" s="297"/>
      <c r="R5" s="297"/>
      <c r="S5" s="707"/>
      <c r="V5" s="567" t="s">
        <v>513</v>
      </c>
      <c r="W5" s="561">
        <v>0</v>
      </c>
      <c r="Y5" s="286" t="s">
        <v>521</v>
      </c>
      <c r="Z5" s="570">
        <v>0.65445862499999996</v>
      </c>
    </row>
    <row r="6" spans="3:26" ht="30" x14ac:dyDescent="0.25">
      <c r="C6" s="298" t="s">
        <v>460</v>
      </c>
      <c r="D6" s="298" t="s">
        <v>461</v>
      </c>
      <c r="E6" s="298" t="s">
        <v>463</v>
      </c>
      <c r="F6" s="298" t="s">
        <v>454</v>
      </c>
      <c r="G6" s="298" t="s">
        <v>443</v>
      </c>
      <c r="H6" s="298" t="s">
        <v>545</v>
      </c>
      <c r="I6" s="298" t="s">
        <v>553</v>
      </c>
      <c r="J6" s="299">
        <v>10</v>
      </c>
      <c r="K6" s="300" t="s">
        <v>440</v>
      </c>
      <c r="L6" s="301" t="s">
        <v>513</v>
      </c>
      <c r="M6" s="302">
        <v>1200000</v>
      </c>
      <c r="N6" s="310">
        <v>600000</v>
      </c>
      <c r="O6" s="302">
        <v>550000</v>
      </c>
      <c r="P6" s="302"/>
      <c r="Q6" s="302">
        <f>SUM(O6-P6)</f>
        <v>550000</v>
      </c>
      <c r="R6" s="561">
        <f>SUM(P6/O6)</f>
        <v>0</v>
      </c>
      <c r="S6" s="708"/>
      <c r="V6" s="569" t="s">
        <v>573</v>
      </c>
      <c r="W6" s="561">
        <v>1</v>
      </c>
      <c r="Y6" s="286" t="s">
        <v>524</v>
      </c>
      <c r="Z6" s="570">
        <v>0.56519525000000004</v>
      </c>
    </row>
    <row r="7" spans="3:26" ht="45" x14ac:dyDescent="0.25">
      <c r="C7" s="298" t="s">
        <v>460</v>
      </c>
      <c r="D7" s="298" t="s">
        <v>461</v>
      </c>
      <c r="E7" s="298" t="s">
        <v>463</v>
      </c>
      <c r="F7" s="298" t="s">
        <v>454</v>
      </c>
      <c r="G7" s="298" t="s">
        <v>443</v>
      </c>
      <c r="H7" s="298" t="s">
        <v>545</v>
      </c>
      <c r="I7" s="298" t="s">
        <v>553</v>
      </c>
      <c r="J7" s="299">
        <v>10</v>
      </c>
      <c r="K7" s="300" t="s">
        <v>440</v>
      </c>
      <c r="L7" s="714" t="s">
        <v>573</v>
      </c>
      <c r="M7" s="302"/>
      <c r="N7" s="310"/>
      <c r="O7" s="302">
        <v>50000</v>
      </c>
      <c r="P7" s="302">
        <f>0+0+0+50000</f>
        <v>50000</v>
      </c>
      <c r="Q7" s="302">
        <f>SUM(O7-P7)</f>
        <v>0</v>
      </c>
      <c r="R7" s="561">
        <f>SUM(P7/O7)</f>
        <v>1</v>
      </c>
      <c r="S7" s="708"/>
      <c r="V7" s="567" t="s">
        <v>2625</v>
      </c>
      <c r="W7" s="561">
        <v>0.72944444444444445</v>
      </c>
      <c r="Y7" s="286" t="s">
        <v>526</v>
      </c>
      <c r="Z7" s="570">
        <v>0.7820972727272727</v>
      </c>
    </row>
    <row r="8" spans="3:26" ht="30" x14ac:dyDescent="0.25">
      <c r="C8" s="293"/>
      <c r="D8" s="293"/>
      <c r="E8" s="293"/>
      <c r="F8" s="293"/>
      <c r="G8" s="293"/>
      <c r="H8" s="293"/>
      <c r="I8" s="293"/>
      <c r="J8" s="294"/>
      <c r="K8" s="295"/>
      <c r="L8" s="296" t="s">
        <v>525</v>
      </c>
      <c r="M8" s="311">
        <f>SUM(M6:M7)</f>
        <v>1200000</v>
      </c>
      <c r="N8" s="311">
        <v>600000</v>
      </c>
      <c r="O8" s="297">
        <f>SUM(O6:O7)</f>
        <v>600000</v>
      </c>
      <c r="P8" s="297">
        <f>SUM(P6:P7)</f>
        <v>50000</v>
      </c>
      <c r="Q8" s="297">
        <f>SUM(Q6:Q7)</f>
        <v>550000</v>
      </c>
      <c r="R8" s="566">
        <f>SUM(P8/O8)</f>
        <v>8.3333333333333329E-2</v>
      </c>
      <c r="S8" s="709"/>
      <c r="V8" s="567" t="s">
        <v>518</v>
      </c>
      <c r="W8" s="561">
        <v>0.66488888888888886</v>
      </c>
      <c r="Y8" s="286" t="s">
        <v>571</v>
      </c>
      <c r="Z8" s="570">
        <v>0.71247249999999995</v>
      </c>
    </row>
    <row r="9" spans="3:26" ht="30" x14ac:dyDescent="0.25">
      <c r="C9" s="293"/>
      <c r="D9" s="293"/>
      <c r="E9" s="293"/>
      <c r="F9" s="293"/>
      <c r="G9" s="293"/>
      <c r="H9" s="293"/>
      <c r="I9" s="293"/>
      <c r="J9" s="294"/>
      <c r="K9" s="295"/>
      <c r="L9" s="296" t="s">
        <v>514</v>
      </c>
      <c r="M9" s="297"/>
      <c r="N9" s="311"/>
      <c r="O9" s="297"/>
      <c r="P9" s="297"/>
      <c r="Q9" s="297"/>
      <c r="R9" s="562"/>
      <c r="S9" s="710"/>
      <c r="V9" s="567" t="s">
        <v>519</v>
      </c>
      <c r="W9" s="561">
        <v>0.6205701785714286</v>
      </c>
      <c r="Y9" s="286" t="s">
        <v>533</v>
      </c>
      <c r="Z9" s="570">
        <v>0.35119692307692307</v>
      </c>
    </row>
    <row r="10" spans="3:26" ht="33.75" x14ac:dyDescent="0.25">
      <c r="C10" s="298" t="s">
        <v>460</v>
      </c>
      <c r="D10" s="298" t="s">
        <v>461</v>
      </c>
      <c r="E10" s="298" t="s">
        <v>463</v>
      </c>
      <c r="F10" s="298" t="s">
        <v>454</v>
      </c>
      <c r="G10" s="298" t="s">
        <v>454</v>
      </c>
      <c r="H10" s="298" t="s">
        <v>453</v>
      </c>
      <c r="I10" s="298" t="s">
        <v>553</v>
      </c>
      <c r="J10" s="299">
        <v>10</v>
      </c>
      <c r="K10" s="300" t="s">
        <v>440</v>
      </c>
      <c r="L10" s="301" t="s">
        <v>575</v>
      </c>
      <c r="M10" s="302"/>
      <c r="N10" s="302"/>
      <c r="O10" s="302">
        <v>900000</v>
      </c>
      <c r="P10" s="302">
        <f>0+121700+181300+76800+21000+255700</f>
        <v>656500</v>
      </c>
      <c r="Q10" s="302">
        <f t="shared" ref="Q10:Q15" si="0">SUM(O10-P10)</f>
        <v>243500</v>
      </c>
      <c r="R10" s="561">
        <f t="shared" ref="R10:R16" si="1">SUM(P10/O10)</f>
        <v>0.72944444444444445</v>
      </c>
      <c r="S10" s="708"/>
      <c r="V10" s="567" t="s">
        <v>1643</v>
      </c>
      <c r="W10" s="561">
        <v>2.5714285714285714E-2</v>
      </c>
    </row>
    <row r="11" spans="3:26" ht="22.5" x14ac:dyDescent="0.25">
      <c r="C11" s="298" t="s">
        <v>460</v>
      </c>
      <c r="D11" s="298" t="s">
        <v>461</v>
      </c>
      <c r="E11" s="298" t="s">
        <v>463</v>
      </c>
      <c r="F11" s="298" t="s">
        <v>454</v>
      </c>
      <c r="G11" s="298" t="s">
        <v>454</v>
      </c>
      <c r="H11" s="298" t="s">
        <v>546</v>
      </c>
      <c r="I11" s="298" t="s">
        <v>553</v>
      </c>
      <c r="J11" s="299">
        <v>10</v>
      </c>
      <c r="K11" s="300" t="s">
        <v>440</v>
      </c>
      <c r="L11" s="301" t="s">
        <v>518</v>
      </c>
      <c r="M11" s="302"/>
      <c r="N11" s="302"/>
      <c r="O11" s="302">
        <v>450000</v>
      </c>
      <c r="P11" s="302">
        <v>299200</v>
      </c>
      <c r="Q11" s="302">
        <f t="shared" si="0"/>
        <v>150800</v>
      </c>
      <c r="R11" s="561">
        <f t="shared" si="1"/>
        <v>0.66488888888888886</v>
      </c>
      <c r="S11" s="708"/>
      <c r="V11" s="567" t="s">
        <v>568</v>
      </c>
      <c r="W11" s="561">
        <v>0.52759999999999996</v>
      </c>
    </row>
    <row r="12" spans="3:26" ht="22.5" x14ac:dyDescent="0.25">
      <c r="C12" s="298" t="s">
        <v>460</v>
      </c>
      <c r="D12" s="298" t="s">
        <v>461</v>
      </c>
      <c r="E12" s="298" t="s">
        <v>463</v>
      </c>
      <c r="F12" s="298" t="s">
        <v>454</v>
      </c>
      <c r="G12" s="298" t="s">
        <v>454</v>
      </c>
      <c r="H12" s="298" t="s">
        <v>547</v>
      </c>
      <c r="I12" s="298" t="s">
        <v>553</v>
      </c>
      <c r="J12" s="299">
        <v>10</v>
      </c>
      <c r="K12" s="300" t="s">
        <v>440</v>
      </c>
      <c r="L12" s="301" t="s">
        <v>519</v>
      </c>
      <c r="M12" s="302"/>
      <c r="N12" s="302"/>
      <c r="O12" s="302">
        <v>11200000</v>
      </c>
      <c r="P12" s="302">
        <f>1267107+1338407+858884+1881812+609902+994274</f>
        <v>6950386</v>
      </c>
      <c r="Q12" s="302">
        <f t="shared" si="0"/>
        <v>4249614</v>
      </c>
      <c r="R12" s="561">
        <f t="shared" si="1"/>
        <v>0.6205701785714286</v>
      </c>
      <c r="S12" s="708"/>
      <c r="V12" s="567" t="s">
        <v>2626</v>
      </c>
      <c r="W12" s="561">
        <v>0.84508000000000005</v>
      </c>
    </row>
    <row r="13" spans="3:26" ht="45" customHeight="1" x14ac:dyDescent="0.25">
      <c r="C13" s="298" t="s">
        <v>460</v>
      </c>
      <c r="D13" s="298" t="s">
        <v>461</v>
      </c>
      <c r="E13" s="298" t="s">
        <v>463</v>
      </c>
      <c r="F13" s="298" t="s">
        <v>454</v>
      </c>
      <c r="G13" s="298" t="s">
        <v>454</v>
      </c>
      <c r="H13" s="298" t="s">
        <v>457</v>
      </c>
      <c r="I13" s="298" t="s">
        <v>553</v>
      </c>
      <c r="J13" s="299">
        <v>10</v>
      </c>
      <c r="K13" s="300" t="s">
        <v>440</v>
      </c>
      <c r="L13" s="301" t="s">
        <v>837</v>
      </c>
      <c r="M13" s="302"/>
      <c r="N13" s="302"/>
      <c r="O13" s="302">
        <v>350000</v>
      </c>
      <c r="P13" s="302">
        <f>0+0+0+9000</f>
        <v>9000</v>
      </c>
      <c r="Q13" s="302">
        <f t="shared" si="0"/>
        <v>341000</v>
      </c>
      <c r="R13" s="561">
        <f t="shared" si="1"/>
        <v>2.5714285714285714E-2</v>
      </c>
      <c r="S13" s="708"/>
      <c r="V13" s="567" t="s">
        <v>1091</v>
      </c>
      <c r="W13" s="561">
        <v>0.39070050000000001</v>
      </c>
    </row>
    <row r="14" spans="3:26" ht="22.5" x14ac:dyDescent="0.25">
      <c r="C14" s="298" t="s">
        <v>460</v>
      </c>
      <c r="D14" s="298" t="s">
        <v>461</v>
      </c>
      <c r="E14" s="298" t="s">
        <v>463</v>
      </c>
      <c r="F14" s="298" t="s">
        <v>454</v>
      </c>
      <c r="G14" s="298" t="s">
        <v>454</v>
      </c>
      <c r="H14" s="298" t="s">
        <v>552</v>
      </c>
      <c r="I14" s="298" t="s">
        <v>553</v>
      </c>
      <c r="J14" s="299">
        <v>10</v>
      </c>
      <c r="K14" s="300" t="s">
        <v>440</v>
      </c>
      <c r="L14" s="301" t="s">
        <v>568</v>
      </c>
      <c r="M14" s="302"/>
      <c r="N14" s="302"/>
      <c r="O14" s="302">
        <v>200000</v>
      </c>
      <c r="P14" s="302">
        <f>31220+4300+0+70000</f>
        <v>105520</v>
      </c>
      <c r="Q14" s="302">
        <f t="shared" si="0"/>
        <v>94480</v>
      </c>
      <c r="R14" s="561">
        <f t="shared" si="1"/>
        <v>0.52759999999999996</v>
      </c>
      <c r="S14" s="708"/>
      <c r="V14" s="567" t="s">
        <v>1649</v>
      </c>
      <c r="W14" s="561">
        <v>0.6645833333333333</v>
      </c>
    </row>
    <row r="15" spans="3:26" ht="22.5" x14ac:dyDescent="0.25">
      <c r="C15" s="298" t="s">
        <v>460</v>
      </c>
      <c r="D15" s="298" t="s">
        <v>461</v>
      </c>
      <c r="E15" s="298" t="s">
        <v>463</v>
      </c>
      <c r="F15" s="298" t="s">
        <v>454</v>
      </c>
      <c r="G15" s="298" t="s">
        <v>454</v>
      </c>
      <c r="H15" s="298" t="s">
        <v>548</v>
      </c>
      <c r="I15" s="298" t="s">
        <v>553</v>
      </c>
      <c r="J15" s="299">
        <v>10</v>
      </c>
      <c r="K15" s="300" t="s">
        <v>440</v>
      </c>
      <c r="L15" s="301" t="s">
        <v>872</v>
      </c>
      <c r="M15" s="302">
        <v>20000000</v>
      </c>
      <c r="N15" s="302">
        <v>4000000</v>
      </c>
      <c r="O15" s="302">
        <v>2900000</v>
      </c>
      <c r="P15" s="302">
        <f>272500+341814+126110+1078262+212000+420046</f>
        <v>2450732</v>
      </c>
      <c r="Q15" s="302">
        <f t="shared" si="0"/>
        <v>449268</v>
      </c>
      <c r="R15" s="561">
        <f t="shared" si="1"/>
        <v>0.84508000000000005</v>
      </c>
      <c r="S15" s="708"/>
      <c r="V15" s="567" t="s">
        <v>2627</v>
      </c>
      <c r="W15" s="561">
        <v>1</v>
      </c>
    </row>
    <row r="16" spans="3:26" ht="22.5" x14ac:dyDescent="0.25">
      <c r="C16" s="293"/>
      <c r="D16" s="293"/>
      <c r="E16" s="293"/>
      <c r="F16" s="293"/>
      <c r="G16" s="293"/>
      <c r="H16" s="293"/>
      <c r="I16" s="293"/>
      <c r="J16" s="294"/>
      <c r="K16" s="295"/>
      <c r="L16" s="296" t="s">
        <v>521</v>
      </c>
      <c r="M16" s="297">
        <f>SUM(M10:M15)</f>
        <v>20000000</v>
      </c>
      <c r="N16" s="297">
        <f>SUM(N10:N15)</f>
        <v>4000000</v>
      </c>
      <c r="O16" s="297">
        <f>SUM(O10:O15)</f>
        <v>16000000</v>
      </c>
      <c r="P16" s="297">
        <f>SUM(P10:P15)</f>
        <v>10471338</v>
      </c>
      <c r="Q16" s="297">
        <f>SUM(Q10:Q15)</f>
        <v>5528662</v>
      </c>
      <c r="R16" s="566">
        <f t="shared" si="1"/>
        <v>0.65445862499999996</v>
      </c>
      <c r="S16" s="709"/>
      <c r="V16" s="567" t="s">
        <v>493</v>
      </c>
      <c r="W16" s="561">
        <v>0.71876190476190471</v>
      </c>
    </row>
    <row r="17" spans="3:23" x14ac:dyDescent="0.25">
      <c r="C17" s="298"/>
      <c r="D17" s="298"/>
      <c r="E17" s="298"/>
      <c r="F17" s="298"/>
      <c r="G17" s="298"/>
      <c r="H17" s="298"/>
      <c r="I17" s="298"/>
      <c r="J17" s="299"/>
      <c r="K17" s="300"/>
      <c r="L17" s="303" t="s">
        <v>522</v>
      </c>
      <c r="M17" s="302"/>
      <c r="N17" s="310"/>
      <c r="O17" s="556"/>
      <c r="P17" s="556"/>
      <c r="Q17" s="556"/>
      <c r="R17" s="563"/>
      <c r="S17" s="711"/>
      <c r="V17" s="567" t="s">
        <v>494</v>
      </c>
      <c r="W17" s="561">
        <v>0.37522800000000001</v>
      </c>
    </row>
    <row r="18" spans="3:23" ht="45" x14ac:dyDescent="0.25">
      <c r="C18" s="298" t="s">
        <v>460</v>
      </c>
      <c r="D18" s="298" t="s">
        <v>461</v>
      </c>
      <c r="E18" s="298" t="s">
        <v>463</v>
      </c>
      <c r="F18" s="298" t="s">
        <v>454</v>
      </c>
      <c r="G18" s="298" t="s">
        <v>450</v>
      </c>
      <c r="H18" s="298" t="s">
        <v>443</v>
      </c>
      <c r="I18" s="298" t="s">
        <v>553</v>
      </c>
      <c r="J18" s="299">
        <v>10</v>
      </c>
      <c r="K18" s="300" t="s">
        <v>440</v>
      </c>
      <c r="L18" s="301" t="s">
        <v>535</v>
      </c>
      <c r="M18" s="302"/>
      <c r="N18" s="302"/>
      <c r="O18" s="302">
        <v>2000000</v>
      </c>
      <c r="P18" s="302">
        <f>12000+181501+280200+307700</f>
        <v>781401</v>
      </c>
      <c r="Q18" s="302">
        <f>SUM(O18-P18)</f>
        <v>1218599</v>
      </c>
      <c r="R18" s="561">
        <f t="shared" ref="R18:R25" si="2">SUM(P18/O18)</f>
        <v>0.39070050000000001</v>
      </c>
      <c r="S18" s="708"/>
      <c r="V18" s="567" t="s">
        <v>496</v>
      </c>
      <c r="W18" s="561">
        <v>0.90176470588235291</v>
      </c>
    </row>
    <row r="19" spans="3:23" ht="39" customHeight="1" x14ac:dyDescent="0.25">
      <c r="C19" s="298" t="s">
        <v>460</v>
      </c>
      <c r="D19" s="298" t="s">
        <v>461</v>
      </c>
      <c r="E19" s="298" t="s">
        <v>463</v>
      </c>
      <c r="F19" s="298" t="s">
        <v>454</v>
      </c>
      <c r="G19" s="298" t="s">
        <v>450</v>
      </c>
      <c r="H19" s="298" t="s">
        <v>461</v>
      </c>
      <c r="I19" s="298" t="s">
        <v>553</v>
      </c>
      <c r="J19" s="299">
        <v>10</v>
      </c>
      <c r="K19" s="300" t="s">
        <v>440</v>
      </c>
      <c r="L19" s="301" t="s">
        <v>649</v>
      </c>
      <c r="M19" s="302"/>
      <c r="N19" s="302"/>
      <c r="O19" s="302">
        <v>1200000</v>
      </c>
      <c r="P19" s="302">
        <f>530000+11000+180000+76500</f>
        <v>797500</v>
      </c>
      <c r="Q19" s="302">
        <f>SUM(O19-P19)</f>
        <v>402500</v>
      </c>
      <c r="R19" s="561">
        <f t="shared" si="2"/>
        <v>0.6645833333333333</v>
      </c>
      <c r="S19" s="708"/>
      <c r="V19" s="567" t="s">
        <v>560</v>
      </c>
      <c r="W19" s="561">
        <v>0</v>
      </c>
    </row>
    <row r="20" spans="3:23" ht="56.25" x14ac:dyDescent="0.25">
      <c r="C20" s="298" t="s">
        <v>460</v>
      </c>
      <c r="D20" s="298" t="s">
        <v>461</v>
      </c>
      <c r="E20" s="298" t="s">
        <v>463</v>
      </c>
      <c r="F20" s="298" t="s">
        <v>454</v>
      </c>
      <c r="G20" s="298" t="s">
        <v>450</v>
      </c>
      <c r="H20" s="298" t="s">
        <v>450</v>
      </c>
      <c r="I20" s="298" t="s">
        <v>553</v>
      </c>
      <c r="J20" s="299">
        <v>10</v>
      </c>
      <c r="K20" s="300" t="s">
        <v>440</v>
      </c>
      <c r="L20" s="301" t="s">
        <v>838</v>
      </c>
      <c r="M20" s="302"/>
      <c r="N20" s="302"/>
      <c r="O20" s="302">
        <v>380000</v>
      </c>
      <c r="P20" s="302">
        <v>380000</v>
      </c>
      <c r="Q20" s="302">
        <f>SUM(O20-P20)</f>
        <v>0</v>
      </c>
      <c r="R20" s="561">
        <f t="shared" si="2"/>
        <v>1</v>
      </c>
      <c r="S20" s="708"/>
      <c r="V20" s="567" t="s">
        <v>559</v>
      </c>
      <c r="W20" s="561">
        <v>0</v>
      </c>
    </row>
    <row r="21" spans="3:23" ht="33.75" x14ac:dyDescent="0.25">
      <c r="C21" s="298" t="s">
        <v>460</v>
      </c>
      <c r="D21" s="298" t="s">
        <v>461</v>
      </c>
      <c r="E21" s="298" t="s">
        <v>463</v>
      </c>
      <c r="F21" s="298" t="s">
        <v>454</v>
      </c>
      <c r="G21" s="298" t="s">
        <v>450</v>
      </c>
      <c r="H21" s="298" t="s">
        <v>459</v>
      </c>
      <c r="I21" s="298" t="s">
        <v>553</v>
      </c>
      <c r="J21" s="299">
        <v>10</v>
      </c>
      <c r="K21" s="300" t="s">
        <v>440</v>
      </c>
      <c r="L21" s="301" t="s">
        <v>491</v>
      </c>
      <c r="M21" s="302"/>
      <c r="N21" s="302"/>
      <c r="O21" s="302"/>
      <c r="P21" s="302"/>
      <c r="Q21" s="302"/>
      <c r="R21" s="561"/>
      <c r="S21" s="708"/>
      <c r="V21" s="567" t="s">
        <v>2628</v>
      </c>
      <c r="W21" s="561">
        <v>0.85582282282282285</v>
      </c>
    </row>
    <row r="22" spans="3:23" ht="22.5" x14ac:dyDescent="0.25">
      <c r="C22" s="298" t="s">
        <v>460</v>
      </c>
      <c r="D22" s="298" t="s">
        <v>461</v>
      </c>
      <c r="E22" s="298" t="s">
        <v>463</v>
      </c>
      <c r="F22" s="298" t="s">
        <v>454</v>
      </c>
      <c r="G22" s="298" t="s">
        <v>450</v>
      </c>
      <c r="H22" s="298" t="s">
        <v>544</v>
      </c>
      <c r="I22" s="298" t="s">
        <v>553</v>
      </c>
      <c r="J22" s="299">
        <v>10</v>
      </c>
      <c r="K22" s="300" t="s">
        <v>440</v>
      </c>
      <c r="L22" s="301" t="s">
        <v>523</v>
      </c>
      <c r="M22" s="302"/>
      <c r="N22" s="302"/>
      <c r="O22" s="302"/>
      <c r="P22" s="302"/>
      <c r="Q22" s="302"/>
      <c r="R22" s="561"/>
      <c r="S22" s="708"/>
      <c r="V22" s="567" t="s">
        <v>490</v>
      </c>
      <c r="W22" s="561">
        <v>0.35119692307692307</v>
      </c>
    </row>
    <row r="23" spans="3:23" ht="22.5" x14ac:dyDescent="0.25">
      <c r="C23" s="298" t="s">
        <v>460</v>
      </c>
      <c r="D23" s="298" t="s">
        <v>461</v>
      </c>
      <c r="E23" s="298" t="s">
        <v>463</v>
      </c>
      <c r="F23" s="298" t="s">
        <v>454</v>
      </c>
      <c r="G23" s="298" t="s">
        <v>450</v>
      </c>
      <c r="H23" s="298" t="s">
        <v>441</v>
      </c>
      <c r="I23" s="298" t="s">
        <v>553</v>
      </c>
      <c r="J23" s="299">
        <v>10</v>
      </c>
      <c r="K23" s="300" t="s">
        <v>440</v>
      </c>
      <c r="L23" s="301" t="s">
        <v>492</v>
      </c>
      <c r="M23" s="302"/>
      <c r="N23" s="302"/>
      <c r="O23" s="302"/>
      <c r="P23" s="302"/>
      <c r="Q23" s="302"/>
      <c r="R23" s="561"/>
      <c r="S23" s="708"/>
      <c r="V23" s="568" t="s">
        <v>911</v>
      </c>
      <c r="W23" s="869">
        <v>0.56910000000000005</v>
      </c>
    </row>
    <row r="24" spans="3:23" ht="22.5" x14ac:dyDescent="0.25">
      <c r="C24" s="298" t="s">
        <v>460</v>
      </c>
      <c r="D24" s="298" t="s">
        <v>461</v>
      </c>
      <c r="E24" s="298" t="s">
        <v>463</v>
      </c>
      <c r="F24" s="298" t="s">
        <v>454</v>
      </c>
      <c r="G24" s="298" t="s">
        <v>450</v>
      </c>
      <c r="H24" s="298" t="s">
        <v>549</v>
      </c>
      <c r="I24" s="298" t="s">
        <v>553</v>
      </c>
      <c r="J24" s="299">
        <v>10</v>
      </c>
      <c r="K24" s="300" t="s">
        <v>440</v>
      </c>
      <c r="L24" s="301" t="s">
        <v>493</v>
      </c>
      <c r="M24" s="302">
        <v>5500000</v>
      </c>
      <c r="N24" s="302">
        <v>1500000</v>
      </c>
      <c r="O24" s="302">
        <v>420000</v>
      </c>
      <c r="P24" s="302">
        <f>0+66500+0+30000+205380</f>
        <v>301880</v>
      </c>
      <c r="Q24" s="302">
        <f>SUM(O24-P24)</f>
        <v>118120</v>
      </c>
      <c r="R24" s="561">
        <f t="shared" si="2"/>
        <v>0.71876190476190471</v>
      </c>
      <c r="S24" s="708"/>
      <c r="W24" s="870"/>
    </row>
    <row r="25" spans="3:23" x14ac:dyDescent="0.25">
      <c r="C25" s="293"/>
      <c r="D25" s="293"/>
      <c r="E25" s="293"/>
      <c r="F25" s="293"/>
      <c r="G25" s="293"/>
      <c r="H25" s="293"/>
      <c r="I25" s="293"/>
      <c r="J25" s="294"/>
      <c r="K25" s="295"/>
      <c r="L25" s="296" t="s">
        <v>524</v>
      </c>
      <c r="M25" s="297">
        <f>SUM(M18:M24)</f>
        <v>5500000</v>
      </c>
      <c r="N25" s="297">
        <f>SUM(N18:N24)</f>
        <v>1500000</v>
      </c>
      <c r="O25" s="297">
        <f>SUM(O18:O24)</f>
        <v>4000000</v>
      </c>
      <c r="P25" s="297">
        <f>SUM(P18:P24)</f>
        <v>2260781</v>
      </c>
      <c r="Q25" s="297">
        <f>SUM(Q18:Q24)</f>
        <v>1739219</v>
      </c>
      <c r="R25" s="566">
        <f t="shared" si="2"/>
        <v>0.56519525000000004</v>
      </c>
      <c r="S25" s="709"/>
    </row>
    <row r="26" spans="3:23" ht="22.5" x14ac:dyDescent="0.25">
      <c r="C26" s="298"/>
      <c r="D26" s="298"/>
      <c r="E26" s="298"/>
      <c r="F26" s="298"/>
      <c r="G26" s="298"/>
      <c r="H26" s="298"/>
      <c r="I26" s="298"/>
      <c r="J26" s="299"/>
      <c r="K26" s="300"/>
      <c r="L26" s="303" t="s">
        <v>504</v>
      </c>
      <c r="M26" s="302"/>
      <c r="N26" s="302"/>
      <c r="O26" s="302"/>
      <c r="P26" s="302"/>
      <c r="Q26" s="302"/>
      <c r="R26" s="560"/>
      <c r="S26" s="712"/>
    </row>
    <row r="27" spans="3:23" ht="22.5" x14ac:dyDescent="0.25">
      <c r="C27" s="298" t="s">
        <v>460</v>
      </c>
      <c r="D27" s="298" t="s">
        <v>461</v>
      </c>
      <c r="E27" s="298" t="s">
        <v>463</v>
      </c>
      <c r="F27" s="298" t="s">
        <v>454</v>
      </c>
      <c r="G27" s="298" t="s">
        <v>459</v>
      </c>
      <c r="H27" s="298" t="s">
        <v>461</v>
      </c>
      <c r="I27" s="298" t="s">
        <v>553</v>
      </c>
      <c r="J27" s="299">
        <v>10</v>
      </c>
      <c r="K27" s="300" t="s">
        <v>440</v>
      </c>
      <c r="L27" s="301" t="s">
        <v>494</v>
      </c>
      <c r="M27" s="302"/>
      <c r="N27" s="302"/>
      <c r="O27" s="302">
        <v>500000</v>
      </c>
      <c r="P27" s="302">
        <f>22000+26500+29614+41000+39100+29400</f>
        <v>187614</v>
      </c>
      <c r="Q27" s="302">
        <f>SUM(O27-P27)</f>
        <v>312386</v>
      </c>
      <c r="R27" s="560">
        <f t="shared" ref="R27:R37" si="3">SUM(P27/O27)</f>
        <v>0.37522800000000001</v>
      </c>
      <c r="S27" s="712"/>
    </row>
    <row r="28" spans="3:23" ht="22.5" x14ac:dyDescent="0.25">
      <c r="C28" s="298" t="s">
        <v>460</v>
      </c>
      <c r="D28" s="298" t="s">
        <v>461</v>
      </c>
      <c r="E28" s="298" t="s">
        <v>463</v>
      </c>
      <c r="F28" s="298" t="s">
        <v>454</v>
      </c>
      <c r="G28" s="298" t="s">
        <v>459</v>
      </c>
      <c r="H28" s="298" t="s">
        <v>450</v>
      </c>
      <c r="I28" s="298" t="s">
        <v>553</v>
      </c>
      <c r="J28" s="299">
        <v>10</v>
      </c>
      <c r="K28" s="300" t="s">
        <v>440</v>
      </c>
      <c r="L28" s="301" t="s">
        <v>495</v>
      </c>
      <c r="M28" s="302"/>
      <c r="N28" s="302"/>
      <c r="O28" s="302"/>
      <c r="P28" s="302"/>
      <c r="Q28" s="302"/>
      <c r="R28" s="560"/>
      <c r="S28" s="712"/>
    </row>
    <row r="29" spans="3:23" ht="22.5" x14ac:dyDescent="0.25">
      <c r="C29" s="298" t="s">
        <v>460</v>
      </c>
      <c r="D29" s="298" t="s">
        <v>461</v>
      </c>
      <c r="E29" s="298" t="s">
        <v>463</v>
      </c>
      <c r="F29" s="298" t="s">
        <v>454</v>
      </c>
      <c r="G29" s="298" t="s">
        <v>459</v>
      </c>
      <c r="H29" s="298" t="s">
        <v>550</v>
      </c>
      <c r="I29" s="298" t="s">
        <v>553</v>
      </c>
      <c r="J29" s="299">
        <v>10</v>
      </c>
      <c r="K29" s="300" t="s">
        <v>440</v>
      </c>
      <c r="L29" s="301" t="s">
        <v>496</v>
      </c>
      <c r="M29" s="302"/>
      <c r="N29" s="302"/>
      <c r="O29" s="302">
        <v>1700000</v>
      </c>
      <c r="P29" s="302">
        <f>132700+78500+964200+225100+74100+58400</f>
        <v>1533000</v>
      </c>
      <c r="Q29" s="302">
        <f>SUM(O29-P29)</f>
        <v>167000</v>
      </c>
      <c r="R29" s="560">
        <f t="shared" si="3"/>
        <v>0.90176470588235291</v>
      </c>
      <c r="S29" s="712"/>
    </row>
    <row r="30" spans="3:23" ht="33.75" x14ac:dyDescent="0.25">
      <c r="C30" s="298" t="s">
        <v>460</v>
      </c>
      <c r="D30" s="298" t="s">
        <v>461</v>
      </c>
      <c r="E30" s="298" t="s">
        <v>463</v>
      </c>
      <c r="F30" s="298" t="s">
        <v>454</v>
      </c>
      <c r="G30" s="298" t="s">
        <v>459</v>
      </c>
      <c r="H30" s="298" t="s">
        <v>544</v>
      </c>
      <c r="I30" s="298" t="s">
        <v>553</v>
      </c>
      <c r="J30" s="299">
        <v>10</v>
      </c>
      <c r="K30" s="300" t="s">
        <v>440</v>
      </c>
      <c r="L30" s="301" t="s">
        <v>839</v>
      </c>
      <c r="M30" s="302">
        <v>3700000</v>
      </c>
      <c r="N30" s="302">
        <v>1500000</v>
      </c>
      <c r="O30" s="302"/>
      <c r="P30" s="302"/>
      <c r="Q30" s="302"/>
      <c r="R30" s="560"/>
      <c r="S30" s="712"/>
    </row>
    <row r="31" spans="3:23" ht="22.5" x14ac:dyDescent="0.25">
      <c r="C31" s="293"/>
      <c r="D31" s="293"/>
      <c r="E31" s="293"/>
      <c r="F31" s="293"/>
      <c r="G31" s="293"/>
      <c r="H31" s="293"/>
      <c r="I31" s="293"/>
      <c r="J31" s="294"/>
      <c r="K31" s="295"/>
      <c r="L31" s="296" t="s">
        <v>526</v>
      </c>
      <c r="M31" s="297">
        <f>SUM(M27:M30)</f>
        <v>3700000</v>
      </c>
      <c r="N31" s="297">
        <f>SUM(N27:N30)</f>
        <v>1500000</v>
      </c>
      <c r="O31" s="297">
        <f>SUM(O27:O30)</f>
        <v>2200000</v>
      </c>
      <c r="P31" s="297">
        <f>SUM(P27:P30)</f>
        <v>1720614</v>
      </c>
      <c r="Q31" s="297">
        <f>SUM(Q27:Q30)</f>
        <v>479386</v>
      </c>
      <c r="R31" s="566">
        <f t="shared" si="3"/>
        <v>0.7820972727272727</v>
      </c>
      <c r="S31" s="709"/>
    </row>
    <row r="32" spans="3:23" x14ac:dyDescent="0.25">
      <c r="C32" s="298"/>
      <c r="D32" s="298"/>
      <c r="E32" s="298"/>
      <c r="F32" s="298"/>
      <c r="G32" s="298"/>
      <c r="H32" s="298"/>
      <c r="I32" s="298"/>
      <c r="J32" s="299"/>
      <c r="K32" s="300"/>
      <c r="L32" s="303" t="s">
        <v>497</v>
      </c>
      <c r="M32" s="302"/>
      <c r="N32" s="302"/>
      <c r="O32" s="302"/>
      <c r="P32" s="302"/>
      <c r="Q32" s="302"/>
      <c r="R32" s="561"/>
      <c r="S32" s="708"/>
    </row>
    <row r="33" spans="3:19" ht="22.5" x14ac:dyDescent="0.25">
      <c r="C33" s="298" t="s">
        <v>460</v>
      </c>
      <c r="D33" s="298">
        <v>2</v>
      </c>
      <c r="E33" s="298">
        <v>0</v>
      </c>
      <c r="F33" s="298">
        <v>4</v>
      </c>
      <c r="G33" s="298">
        <v>7</v>
      </c>
      <c r="H33" s="298">
        <v>1</v>
      </c>
      <c r="I33" s="298" t="s">
        <v>553</v>
      </c>
      <c r="J33" s="299">
        <v>9</v>
      </c>
      <c r="K33" s="300" t="s">
        <v>440</v>
      </c>
      <c r="L33" s="301" t="s">
        <v>560</v>
      </c>
      <c r="M33" s="302"/>
      <c r="N33" s="302"/>
      <c r="O33" s="302">
        <v>1000</v>
      </c>
      <c r="P33" s="302"/>
      <c r="Q33" s="302">
        <f>SUM(O33-P33)</f>
        <v>1000</v>
      </c>
      <c r="R33" s="561">
        <f t="shared" si="3"/>
        <v>0</v>
      </c>
      <c r="S33" s="708"/>
    </row>
    <row r="34" spans="3:19" ht="33.75" x14ac:dyDescent="0.25">
      <c r="C34" s="298" t="s">
        <v>460</v>
      </c>
      <c r="D34" s="298" t="s">
        <v>461</v>
      </c>
      <c r="E34" s="298" t="s">
        <v>463</v>
      </c>
      <c r="F34" s="298" t="s">
        <v>454</v>
      </c>
      <c r="G34" s="298" t="s">
        <v>550</v>
      </c>
      <c r="H34" s="298" t="s">
        <v>458</v>
      </c>
      <c r="I34" s="298" t="s">
        <v>442</v>
      </c>
      <c r="J34" s="299" t="s">
        <v>441</v>
      </c>
      <c r="K34" s="300" t="s">
        <v>440</v>
      </c>
      <c r="L34" s="301" t="s">
        <v>559</v>
      </c>
      <c r="M34" s="302"/>
      <c r="N34" s="302"/>
      <c r="O34" s="302">
        <v>200000</v>
      </c>
      <c r="P34" s="302"/>
      <c r="Q34" s="302">
        <f>SUM(O34-P34)</f>
        <v>200000</v>
      </c>
      <c r="R34" s="561">
        <f t="shared" si="3"/>
        <v>0</v>
      </c>
      <c r="S34" s="708"/>
    </row>
    <row r="35" spans="3:19" ht="22.5" x14ac:dyDescent="0.25">
      <c r="C35" s="298" t="s">
        <v>460</v>
      </c>
      <c r="D35" s="298" t="s">
        <v>461</v>
      </c>
      <c r="E35" s="298" t="s">
        <v>463</v>
      </c>
      <c r="F35" s="298" t="s">
        <v>454</v>
      </c>
      <c r="G35" s="298" t="s">
        <v>550</v>
      </c>
      <c r="H35" s="298" t="s">
        <v>450</v>
      </c>
      <c r="I35" s="298" t="s">
        <v>553</v>
      </c>
      <c r="J35" s="299">
        <v>10</v>
      </c>
      <c r="K35" s="300" t="s">
        <v>440</v>
      </c>
      <c r="L35" s="301" t="s">
        <v>498</v>
      </c>
      <c r="M35" s="302"/>
      <c r="N35" s="302"/>
      <c r="O35" s="302"/>
      <c r="P35" s="302"/>
      <c r="Q35" s="302"/>
      <c r="R35" s="561"/>
      <c r="S35" s="708"/>
    </row>
    <row r="36" spans="3:19" ht="45" x14ac:dyDescent="0.25">
      <c r="C36" s="298" t="s">
        <v>460</v>
      </c>
      <c r="D36" s="298" t="s">
        <v>461</v>
      </c>
      <c r="E36" s="298" t="s">
        <v>463</v>
      </c>
      <c r="F36" s="298" t="s">
        <v>454</v>
      </c>
      <c r="G36" s="298" t="s">
        <v>550</v>
      </c>
      <c r="H36" s="298" t="s">
        <v>459</v>
      </c>
      <c r="I36" s="298" t="s">
        <v>553</v>
      </c>
      <c r="J36" s="299">
        <v>10</v>
      </c>
      <c r="K36" s="300" t="s">
        <v>440</v>
      </c>
      <c r="L36" s="301" t="s">
        <v>537</v>
      </c>
      <c r="M36" s="302">
        <v>2000000</v>
      </c>
      <c r="N36" s="302">
        <v>800000</v>
      </c>
      <c r="O36" s="302">
        <v>999000</v>
      </c>
      <c r="P36" s="302">
        <f>64880+124656+115086+303305+225904+21136</f>
        <v>854967</v>
      </c>
      <c r="Q36" s="302">
        <f>SUM(O36-P36)</f>
        <v>144033</v>
      </c>
      <c r="R36" s="561">
        <f t="shared" si="3"/>
        <v>0.85582282282282285</v>
      </c>
      <c r="S36" s="708"/>
    </row>
    <row r="37" spans="3:19" ht="22.5" x14ac:dyDescent="0.25">
      <c r="C37" s="293"/>
      <c r="D37" s="293"/>
      <c r="E37" s="293"/>
      <c r="F37" s="293"/>
      <c r="G37" s="293"/>
      <c r="H37" s="293"/>
      <c r="I37" s="293" t="s">
        <v>553</v>
      </c>
      <c r="J37" s="294"/>
      <c r="K37" s="295"/>
      <c r="L37" s="296" t="s">
        <v>571</v>
      </c>
      <c r="M37" s="297">
        <f>SUM(M33:M36)</f>
        <v>2000000</v>
      </c>
      <c r="N37" s="297">
        <f>SUM(N33:N36)</f>
        <v>800000</v>
      </c>
      <c r="O37" s="297">
        <f>SUM(O33:O36)</f>
        <v>1200000</v>
      </c>
      <c r="P37" s="297">
        <f>SUM(P33:P36)</f>
        <v>854967</v>
      </c>
      <c r="Q37" s="297">
        <f>SUM(Q33:Q36)</f>
        <v>345033</v>
      </c>
      <c r="R37" s="566">
        <f t="shared" si="3"/>
        <v>0.71247249999999995</v>
      </c>
      <c r="S37" s="709"/>
    </row>
    <row r="38" spans="3:19" x14ac:dyDescent="0.25">
      <c r="C38" s="298"/>
      <c r="D38" s="298"/>
      <c r="E38" s="298"/>
      <c r="F38" s="298"/>
      <c r="G38" s="298"/>
      <c r="H38" s="298"/>
      <c r="I38" s="298"/>
      <c r="J38" s="299"/>
      <c r="K38" s="300"/>
      <c r="L38" s="303" t="s">
        <v>509</v>
      </c>
      <c r="M38" s="302"/>
      <c r="N38" s="302"/>
      <c r="O38" s="302"/>
      <c r="P38" s="302"/>
      <c r="Q38" s="302"/>
      <c r="R38" s="561"/>
      <c r="S38" s="708"/>
    </row>
    <row r="39" spans="3:19" ht="22.5" x14ac:dyDescent="0.25">
      <c r="C39" s="298" t="s">
        <v>460</v>
      </c>
      <c r="D39" s="298" t="s">
        <v>461</v>
      </c>
      <c r="E39" s="298" t="s">
        <v>463</v>
      </c>
      <c r="F39" s="298" t="s">
        <v>454</v>
      </c>
      <c r="G39" s="298" t="s">
        <v>448</v>
      </c>
      <c r="H39" s="298" t="s">
        <v>443</v>
      </c>
      <c r="I39" s="298" t="s">
        <v>553</v>
      </c>
      <c r="J39" s="299">
        <v>10</v>
      </c>
      <c r="K39" s="300" t="s">
        <v>440</v>
      </c>
      <c r="L39" s="301" t="s">
        <v>487</v>
      </c>
      <c r="M39" s="302"/>
      <c r="N39" s="302"/>
      <c r="O39" s="302"/>
      <c r="P39" s="302"/>
      <c r="Q39" s="302"/>
      <c r="R39" s="561"/>
      <c r="S39" s="708"/>
    </row>
    <row r="40" spans="3:19" ht="22.5" x14ac:dyDescent="0.25">
      <c r="C40" s="298" t="s">
        <v>460</v>
      </c>
      <c r="D40" s="298" t="s">
        <v>461</v>
      </c>
      <c r="E40" s="298" t="s">
        <v>463</v>
      </c>
      <c r="F40" s="298" t="s">
        <v>454</v>
      </c>
      <c r="G40" s="298" t="s">
        <v>448</v>
      </c>
      <c r="H40" s="298" t="s">
        <v>443</v>
      </c>
      <c r="I40" s="298" t="s">
        <v>553</v>
      </c>
      <c r="J40" s="299">
        <v>10</v>
      </c>
      <c r="K40" s="300" t="s">
        <v>440</v>
      </c>
      <c r="L40" s="301" t="s">
        <v>488</v>
      </c>
      <c r="M40" s="302"/>
      <c r="N40" s="302"/>
      <c r="O40" s="302"/>
      <c r="P40" s="302"/>
      <c r="Q40" s="302"/>
      <c r="R40" s="561"/>
      <c r="S40" s="708"/>
    </row>
    <row r="41" spans="3:19" ht="22.5" x14ac:dyDescent="0.25">
      <c r="C41" s="298" t="s">
        <v>460</v>
      </c>
      <c r="D41" s="298" t="s">
        <v>461</v>
      </c>
      <c r="E41" s="298" t="s">
        <v>463</v>
      </c>
      <c r="F41" s="298" t="s">
        <v>454</v>
      </c>
      <c r="G41" s="298" t="s">
        <v>448</v>
      </c>
      <c r="H41" s="298" t="s">
        <v>461</v>
      </c>
      <c r="I41" s="298" t="s">
        <v>553</v>
      </c>
      <c r="J41" s="299">
        <v>10</v>
      </c>
      <c r="K41" s="300" t="s">
        <v>440</v>
      </c>
      <c r="L41" s="301" t="s">
        <v>489</v>
      </c>
      <c r="M41" s="302"/>
      <c r="N41" s="302"/>
      <c r="O41" s="302"/>
      <c r="P41" s="302"/>
      <c r="Q41" s="302"/>
      <c r="R41" s="561"/>
      <c r="S41" s="708"/>
    </row>
    <row r="42" spans="3:19" ht="22.5" x14ac:dyDescent="0.25">
      <c r="C42" s="298" t="s">
        <v>460</v>
      </c>
      <c r="D42" s="298" t="s">
        <v>461</v>
      </c>
      <c r="E42" s="298" t="s">
        <v>463</v>
      </c>
      <c r="F42" s="298" t="s">
        <v>454</v>
      </c>
      <c r="G42" s="298" t="s">
        <v>448</v>
      </c>
      <c r="H42" s="298" t="s">
        <v>461</v>
      </c>
      <c r="I42" s="298" t="s">
        <v>553</v>
      </c>
      <c r="J42" s="299">
        <v>10</v>
      </c>
      <c r="K42" s="300" t="s">
        <v>440</v>
      </c>
      <c r="L42" s="301" t="s">
        <v>490</v>
      </c>
      <c r="M42" s="302">
        <v>12800000</v>
      </c>
      <c r="N42" s="302">
        <v>5000000</v>
      </c>
      <c r="O42" s="302">
        <v>7800000</v>
      </c>
      <c r="P42" s="302">
        <f>1086510+0+0+525706+872107+255013</f>
        <v>2739336</v>
      </c>
      <c r="Q42" s="302">
        <f>SUM(O42-P42)</f>
        <v>5060664</v>
      </c>
      <c r="R42" s="561">
        <f>SUM(P42/O42)</f>
        <v>0.35119692307692307</v>
      </c>
      <c r="S42" s="708"/>
    </row>
    <row r="43" spans="3:19" ht="22.5" x14ac:dyDescent="0.25">
      <c r="C43" s="304"/>
      <c r="D43" s="304"/>
      <c r="E43" s="304"/>
      <c r="F43" s="304"/>
      <c r="G43" s="304"/>
      <c r="H43" s="304"/>
      <c r="I43" s="304"/>
      <c r="J43" s="305"/>
      <c r="K43" s="306"/>
      <c r="L43" s="307" t="s">
        <v>533</v>
      </c>
      <c r="M43" s="308">
        <f>SUM(M39:M42)</f>
        <v>12800000</v>
      </c>
      <c r="N43" s="308">
        <f>SUM(N39:N42)</f>
        <v>5000000</v>
      </c>
      <c r="O43" s="308">
        <f>SUM(O39:O42)</f>
        <v>7800000</v>
      </c>
      <c r="P43" s="308">
        <f>SUM(P39:P42)</f>
        <v>2739336</v>
      </c>
      <c r="Q43" s="308">
        <f>SUM(Q39:Q42)</f>
        <v>5060664</v>
      </c>
      <c r="R43" s="566">
        <f>SUM(P43/O43)</f>
        <v>0.35119692307692307</v>
      </c>
      <c r="S43" s="709"/>
    </row>
    <row r="44" spans="3:19" ht="23.25" customHeight="1" x14ac:dyDescent="0.25">
      <c r="L44" s="309" t="s">
        <v>911</v>
      </c>
      <c r="M44" s="557">
        <f>SUM(M8+M31+M16+M25+M37+M43)</f>
        <v>45200000</v>
      </c>
      <c r="N44" s="557">
        <f>SUM(N8+N31+N16+N25+N37+N43)</f>
        <v>13400000</v>
      </c>
      <c r="O44" s="557">
        <f>SUM(O8+O31+O16+O25+O37+O43)</f>
        <v>31800000</v>
      </c>
      <c r="P44" s="557">
        <f>SUM(P8+P31+P16+P25+P37+P43)</f>
        <v>18097036</v>
      </c>
      <c r="Q44" s="558">
        <f>SUM(Q8+Q31+Q16+Q25+Q37+Q43)</f>
        <v>13702964</v>
      </c>
      <c r="R44" s="869">
        <f>SUM(P44/O44)</f>
        <v>0.56908918238993711</v>
      </c>
      <c r="S44" s="713"/>
    </row>
    <row r="45" spans="3:19" ht="28.5" x14ac:dyDescent="0.25">
      <c r="M45" s="559"/>
      <c r="N45" s="872">
        <f>SUM(O44+N44)</f>
        <v>45200000</v>
      </c>
      <c r="O45" s="873"/>
      <c r="P45" s="874">
        <f>SUM(P44+Q44)</f>
        <v>31800000</v>
      </c>
      <c r="Q45" s="875"/>
      <c r="R45" s="870"/>
      <c r="S45" s="713"/>
    </row>
  </sheetData>
  <mergeCells count="5">
    <mergeCell ref="C4:K4"/>
    <mergeCell ref="N45:O45"/>
    <mergeCell ref="P45:Q45"/>
    <mergeCell ref="R44:R45"/>
    <mergeCell ref="W23:W24"/>
  </mergeCells>
  <pageMargins left="0.70866141732283472" right="0.70866141732283472" top="0.74803149606299213" bottom="0.74803149606299213" header="0.31496062992125984" footer="0.31496062992125984"/>
  <pageSetup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8"/>
  <sheetViews>
    <sheetView topLeftCell="H1" workbookViewId="0">
      <pane ySplit="1050" topLeftCell="A81" activePane="bottomLeft"/>
      <selection activeCell="X109" sqref="X109"/>
      <selection pane="bottomLeft" activeCell="S125" sqref="S125"/>
    </sheetView>
  </sheetViews>
  <sheetFormatPr baseColWidth="10" defaultRowHeight="15" x14ac:dyDescent="0.25"/>
  <cols>
    <col min="1" max="1" width="13.42578125" style="46" customWidth="1"/>
    <col min="2" max="2" width="27" style="46" customWidth="1"/>
    <col min="3" max="3" width="21.5703125" style="46" customWidth="1"/>
    <col min="4" max="11" width="5.42578125" style="46" customWidth="1"/>
    <col min="12" max="12" width="9.5703125" style="46" customWidth="1"/>
    <col min="13" max="13" width="8" style="46" customWidth="1"/>
    <col min="14" max="14" width="9.5703125" style="46" customWidth="1"/>
    <col min="15" max="15" width="27.5703125" style="46" customWidth="1"/>
    <col min="16" max="27" width="18.85546875" style="46" customWidth="1"/>
    <col min="28" max="28" width="0" style="46" hidden="1" customWidth="1"/>
    <col min="29" max="29" width="0.42578125" style="46" customWidth="1"/>
    <col min="30" max="16384" width="11.42578125" style="46"/>
  </cols>
  <sheetData>
    <row r="1" spans="1:27" x14ac:dyDescent="0.25">
      <c r="A1" s="609" t="s">
        <v>1541</v>
      </c>
      <c r="B1" s="609">
        <v>2016</v>
      </c>
      <c r="C1" s="50" t="s">
        <v>438</v>
      </c>
      <c r="D1" s="50" t="s">
        <v>438</v>
      </c>
      <c r="E1" s="50" t="s">
        <v>438</v>
      </c>
      <c r="F1" s="50" t="s">
        <v>438</v>
      </c>
      <c r="G1" s="50" t="s">
        <v>438</v>
      </c>
      <c r="H1" s="50" t="s">
        <v>438</v>
      </c>
      <c r="I1" s="50" t="s">
        <v>438</v>
      </c>
      <c r="J1" s="50" t="s">
        <v>438</v>
      </c>
      <c r="K1" s="50" t="s">
        <v>438</v>
      </c>
      <c r="L1" s="50" t="s">
        <v>438</v>
      </c>
      <c r="M1" s="50" t="s">
        <v>438</v>
      </c>
      <c r="N1" s="50" t="s">
        <v>438</v>
      </c>
      <c r="O1" s="50" t="s">
        <v>438</v>
      </c>
      <c r="P1" s="50" t="s">
        <v>438</v>
      </c>
      <c r="Q1" s="50" t="s">
        <v>438</v>
      </c>
      <c r="R1" s="50" t="s">
        <v>438</v>
      </c>
      <c r="S1" s="50" t="s">
        <v>438</v>
      </c>
      <c r="T1" s="50" t="s">
        <v>438</v>
      </c>
      <c r="U1" s="50" t="s">
        <v>438</v>
      </c>
      <c r="V1" s="50" t="s">
        <v>438</v>
      </c>
      <c r="W1" s="50" t="s">
        <v>438</v>
      </c>
      <c r="X1" s="50"/>
      <c r="Y1" s="50" t="s">
        <v>438</v>
      </c>
      <c r="Z1" s="50" t="s">
        <v>438</v>
      </c>
      <c r="AA1" s="50" t="s">
        <v>438</v>
      </c>
    </row>
    <row r="2" spans="1:27" x14ac:dyDescent="0.25">
      <c r="A2" s="609" t="s">
        <v>1542</v>
      </c>
      <c r="B2" s="609" t="s">
        <v>1543</v>
      </c>
      <c r="C2" s="50" t="s">
        <v>438</v>
      </c>
      <c r="D2" s="50" t="s">
        <v>438</v>
      </c>
      <c r="E2" s="50" t="s">
        <v>438</v>
      </c>
      <c r="F2" s="50" t="s">
        <v>438</v>
      </c>
      <c r="G2" s="50" t="s">
        <v>438</v>
      </c>
      <c r="H2" s="50" t="s">
        <v>438</v>
      </c>
      <c r="I2" s="50" t="s">
        <v>438</v>
      </c>
      <c r="J2" s="50" t="s">
        <v>438</v>
      </c>
      <c r="K2" s="50" t="s">
        <v>438</v>
      </c>
      <c r="L2" s="50" t="s">
        <v>438</v>
      </c>
      <c r="M2" s="50" t="s">
        <v>438</v>
      </c>
      <c r="N2" s="50" t="s">
        <v>438</v>
      </c>
      <c r="O2" s="50" t="s">
        <v>438</v>
      </c>
      <c r="P2" s="50" t="s">
        <v>438</v>
      </c>
      <c r="Q2" s="50" t="s">
        <v>438</v>
      </c>
      <c r="R2" s="50" t="s">
        <v>438</v>
      </c>
      <c r="S2" s="50" t="s">
        <v>438</v>
      </c>
      <c r="T2" s="50" t="s">
        <v>438</v>
      </c>
      <c r="U2" s="50" t="s">
        <v>438</v>
      </c>
      <c r="V2" s="50" t="s">
        <v>438</v>
      </c>
      <c r="W2" s="50" t="s">
        <v>438</v>
      </c>
      <c r="X2" s="50"/>
      <c r="Y2" s="50" t="s">
        <v>438</v>
      </c>
      <c r="Z2" s="50" t="s">
        <v>438</v>
      </c>
      <c r="AA2" s="50" t="s">
        <v>438</v>
      </c>
    </row>
    <row r="3" spans="1:27" x14ac:dyDescent="0.25">
      <c r="A3" s="609" t="s">
        <v>1544</v>
      </c>
      <c r="B3" s="609" t="s">
        <v>2842</v>
      </c>
      <c r="C3" s="50" t="s">
        <v>438</v>
      </c>
      <c r="D3" s="50" t="s">
        <v>438</v>
      </c>
      <c r="E3" s="50" t="s">
        <v>438</v>
      </c>
      <c r="F3" s="50" t="s">
        <v>438</v>
      </c>
      <c r="G3" s="50" t="s">
        <v>438</v>
      </c>
      <c r="H3" s="50" t="s">
        <v>438</v>
      </c>
      <c r="I3" s="50" t="s">
        <v>438</v>
      </c>
      <c r="J3" s="50" t="s">
        <v>438</v>
      </c>
      <c r="K3" s="50" t="s">
        <v>438</v>
      </c>
      <c r="L3" s="50" t="s">
        <v>438</v>
      </c>
      <c r="M3" s="50" t="s">
        <v>438</v>
      </c>
      <c r="N3" s="50" t="s">
        <v>438</v>
      </c>
      <c r="O3" s="50" t="s">
        <v>438</v>
      </c>
      <c r="P3" s="50" t="s">
        <v>438</v>
      </c>
      <c r="Q3" s="50" t="s">
        <v>438</v>
      </c>
      <c r="R3" s="50" t="s">
        <v>438</v>
      </c>
      <c r="S3" s="50" t="s">
        <v>438</v>
      </c>
      <c r="T3" s="50" t="s">
        <v>438</v>
      </c>
      <c r="U3" s="50" t="s">
        <v>438</v>
      </c>
      <c r="V3" s="50" t="s">
        <v>438</v>
      </c>
      <c r="W3" s="50" t="s">
        <v>438</v>
      </c>
      <c r="X3" s="50"/>
      <c r="Y3" s="50" t="s">
        <v>438</v>
      </c>
      <c r="Z3" s="50" t="s">
        <v>438</v>
      </c>
      <c r="AA3" s="50" t="s">
        <v>438</v>
      </c>
    </row>
    <row r="4" spans="1:27" ht="37.5" x14ac:dyDescent="0.25">
      <c r="A4" s="644" t="s">
        <v>1545</v>
      </c>
      <c r="B4" s="644" t="s">
        <v>1546</v>
      </c>
      <c r="C4" s="644" t="s">
        <v>196</v>
      </c>
      <c r="D4" s="644" t="s">
        <v>477</v>
      </c>
      <c r="E4" s="644" t="s">
        <v>476</v>
      </c>
      <c r="F4" s="644" t="s">
        <v>475</v>
      </c>
      <c r="G4" s="644" t="s">
        <v>474</v>
      </c>
      <c r="H4" s="644" t="s">
        <v>473</v>
      </c>
      <c r="I4" s="644" t="s">
        <v>472</v>
      </c>
      <c r="J4" s="644" t="s">
        <v>1547</v>
      </c>
      <c r="K4" s="644" t="s">
        <v>1548</v>
      </c>
      <c r="L4" s="644" t="s">
        <v>471</v>
      </c>
      <c r="M4" s="644" t="s">
        <v>470</v>
      </c>
      <c r="N4" s="644" t="s">
        <v>469</v>
      </c>
      <c r="O4" s="644" t="s">
        <v>468</v>
      </c>
      <c r="P4" s="644" t="s">
        <v>467</v>
      </c>
      <c r="Q4" s="644" t="s">
        <v>466</v>
      </c>
      <c r="R4" s="644" t="s">
        <v>1549</v>
      </c>
      <c r="S4" s="644" t="s">
        <v>465</v>
      </c>
      <c r="T4" s="644" t="s">
        <v>1550</v>
      </c>
      <c r="U4" s="644" t="s">
        <v>1551</v>
      </c>
      <c r="V4" s="644" t="s">
        <v>1552</v>
      </c>
      <c r="W4" s="644" t="s">
        <v>1553</v>
      </c>
      <c r="X4" s="645" t="s">
        <v>2894</v>
      </c>
      <c r="Y4" s="644" t="s">
        <v>1554</v>
      </c>
      <c r="Z4" s="644" t="s">
        <v>1555</v>
      </c>
      <c r="AA4" s="644" t="s">
        <v>1556</v>
      </c>
    </row>
    <row r="5" spans="1:27" ht="22.5" hidden="1" x14ac:dyDescent="0.25">
      <c r="A5" s="49" t="s">
        <v>1557</v>
      </c>
      <c r="B5" s="326" t="s">
        <v>1558</v>
      </c>
      <c r="C5" s="327" t="s">
        <v>1559</v>
      </c>
      <c r="D5" s="49" t="s">
        <v>460</v>
      </c>
      <c r="E5" s="49" t="s">
        <v>443</v>
      </c>
      <c r="F5" s="49" t="s">
        <v>463</v>
      </c>
      <c r="G5" s="49" t="s">
        <v>443</v>
      </c>
      <c r="H5" s="49" t="s">
        <v>443</v>
      </c>
      <c r="I5" s="49" t="s">
        <v>443</v>
      </c>
      <c r="J5" s="49"/>
      <c r="K5" s="49"/>
      <c r="L5" s="49" t="s">
        <v>442</v>
      </c>
      <c r="M5" s="49" t="s">
        <v>441</v>
      </c>
      <c r="N5" s="49" t="s">
        <v>440</v>
      </c>
      <c r="O5" s="326" t="s">
        <v>1560</v>
      </c>
      <c r="P5" s="328">
        <v>6504821000</v>
      </c>
      <c r="Q5" s="328">
        <v>252493000</v>
      </c>
      <c r="R5" s="328">
        <v>251293000</v>
      </c>
      <c r="S5" s="328">
        <v>6506021000</v>
      </c>
      <c r="T5" s="328">
        <v>0</v>
      </c>
      <c r="U5" s="328">
        <v>6506021000</v>
      </c>
      <c r="V5" s="328">
        <v>0</v>
      </c>
      <c r="W5" s="328">
        <v>3864794755</v>
      </c>
      <c r="X5" s="646">
        <f t="shared" ref="X5:X36" si="0">SUM(S5-T5-W5)</f>
        <v>2641226245</v>
      </c>
      <c r="Y5" s="328">
        <v>3861840797</v>
      </c>
      <c r="Z5" s="328">
        <v>3861840797</v>
      </c>
      <c r="AA5" s="328">
        <v>3324694857</v>
      </c>
    </row>
    <row r="6" spans="1:27" ht="22.5" hidden="1" x14ac:dyDescent="0.25">
      <c r="A6" s="49" t="s">
        <v>1557</v>
      </c>
      <c r="B6" s="326" t="s">
        <v>1558</v>
      </c>
      <c r="C6" s="327" t="s">
        <v>1561</v>
      </c>
      <c r="D6" s="49" t="s">
        <v>460</v>
      </c>
      <c r="E6" s="49" t="s">
        <v>443</v>
      </c>
      <c r="F6" s="49" t="s">
        <v>463</v>
      </c>
      <c r="G6" s="49" t="s">
        <v>443</v>
      </c>
      <c r="H6" s="49" t="s">
        <v>443</v>
      </c>
      <c r="I6" s="49" t="s">
        <v>461</v>
      </c>
      <c r="J6" s="49"/>
      <c r="K6" s="49"/>
      <c r="L6" s="49" t="s">
        <v>442</v>
      </c>
      <c r="M6" s="49" t="s">
        <v>441</v>
      </c>
      <c r="N6" s="49" t="s">
        <v>440</v>
      </c>
      <c r="O6" s="326" t="s">
        <v>1562</v>
      </c>
      <c r="P6" s="328">
        <v>480000000</v>
      </c>
      <c r="Q6" s="328">
        <v>0</v>
      </c>
      <c r="R6" s="328">
        <v>0</v>
      </c>
      <c r="S6" s="328">
        <v>480000000</v>
      </c>
      <c r="T6" s="328">
        <v>0</v>
      </c>
      <c r="U6" s="328">
        <v>480000000</v>
      </c>
      <c r="V6" s="328">
        <v>0</v>
      </c>
      <c r="W6" s="328">
        <v>277400891</v>
      </c>
      <c r="X6" s="646">
        <f t="shared" si="0"/>
        <v>202599109</v>
      </c>
      <c r="Y6" s="328">
        <v>275237775</v>
      </c>
      <c r="Z6" s="328">
        <v>275237775</v>
      </c>
      <c r="AA6" s="328">
        <v>242214326</v>
      </c>
    </row>
    <row r="7" spans="1:27" ht="22.5" hidden="1" x14ac:dyDescent="0.25">
      <c r="A7" s="49" t="s">
        <v>1557</v>
      </c>
      <c r="B7" s="326" t="s">
        <v>1558</v>
      </c>
      <c r="C7" s="327" t="s">
        <v>1563</v>
      </c>
      <c r="D7" s="49" t="s">
        <v>460</v>
      </c>
      <c r="E7" s="49" t="s">
        <v>443</v>
      </c>
      <c r="F7" s="49" t="s">
        <v>463</v>
      </c>
      <c r="G7" s="49" t="s">
        <v>443</v>
      </c>
      <c r="H7" s="49" t="s">
        <v>443</v>
      </c>
      <c r="I7" s="49" t="s">
        <v>454</v>
      </c>
      <c r="J7" s="49"/>
      <c r="K7" s="49"/>
      <c r="L7" s="49" t="s">
        <v>442</v>
      </c>
      <c r="M7" s="49" t="s">
        <v>441</v>
      </c>
      <c r="N7" s="49" t="s">
        <v>440</v>
      </c>
      <c r="O7" s="326" t="s">
        <v>1564</v>
      </c>
      <c r="P7" s="328">
        <v>54000000</v>
      </c>
      <c r="Q7" s="328">
        <v>0</v>
      </c>
      <c r="R7" s="328">
        <v>0</v>
      </c>
      <c r="S7" s="328">
        <v>54000000</v>
      </c>
      <c r="T7" s="328">
        <v>0</v>
      </c>
      <c r="U7" s="328">
        <v>54000000</v>
      </c>
      <c r="V7" s="328">
        <v>0</v>
      </c>
      <c r="W7" s="328">
        <v>49229409</v>
      </c>
      <c r="X7" s="646">
        <f t="shared" si="0"/>
        <v>4770591</v>
      </c>
      <c r="Y7" s="328">
        <v>33968383</v>
      </c>
      <c r="Z7" s="328">
        <v>33968383</v>
      </c>
      <c r="AA7" s="328">
        <v>23977736</v>
      </c>
    </row>
    <row r="8" spans="1:27" ht="22.5" hidden="1" x14ac:dyDescent="0.25">
      <c r="A8" s="49" t="s">
        <v>1557</v>
      </c>
      <c r="B8" s="326" t="s">
        <v>1558</v>
      </c>
      <c r="C8" s="327" t="s">
        <v>1565</v>
      </c>
      <c r="D8" s="49" t="s">
        <v>460</v>
      </c>
      <c r="E8" s="49" t="s">
        <v>443</v>
      </c>
      <c r="F8" s="49" t="s">
        <v>463</v>
      </c>
      <c r="G8" s="49" t="s">
        <v>443</v>
      </c>
      <c r="H8" s="49" t="s">
        <v>454</v>
      </c>
      <c r="I8" s="49" t="s">
        <v>443</v>
      </c>
      <c r="J8" s="49"/>
      <c r="K8" s="49"/>
      <c r="L8" s="49" t="s">
        <v>442</v>
      </c>
      <c r="M8" s="49" t="s">
        <v>441</v>
      </c>
      <c r="N8" s="49" t="s">
        <v>440</v>
      </c>
      <c r="O8" s="326" t="s">
        <v>1566</v>
      </c>
      <c r="P8" s="328">
        <v>406459005</v>
      </c>
      <c r="Q8" s="328">
        <v>0</v>
      </c>
      <c r="R8" s="328">
        <v>0</v>
      </c>
      <c r="S8" s="328">
        <v>406459005</v>
      </c>
      <c r="T8" s="328">
        <v>0</v>
      </c>
      <c r="U8" s="328">
        <v>406459005</v>
      </c>
      <c r="V8" s="328">
        <v>0</v>
      </c>
      <c r="W8" s="328">
        <v>243479785</v>
      </c>
      <c r="X8" s="646">
        <f t="shared" si="0"/>
        <v>162979220</v>
      </c>
      <c r="Y8" s="328">
        <v>243479785</v>
      </c>
      <c r="Z8" s="328">
        <v>243479785</v>
      </c>
      <c r="AA8" s="328">
        <v>206052422</v>
      </c>
    </row>
    <row r="9" spans="1:27" ht="22.5" hidden="1" x14ac:dyDescent="0.25">
      <c r="A9" s="49" t="s">
        <v>1557</v>
      </c>
      <c r="B9" s="326" t="s">
        <v>1558</v>
      </c>
      <c r="C9" s="327" t="s">
        <v>1567</v>
      </c>
      <c r="D9" s="49" t="s">
        <v>460</v>
      </c>
      <c r="E9" s="49" t="s">
        <v>443</v>
      </c>
      <c r="F9" s="49" t="s">
        <v>463</v>
      </c>
      <c r="G9" s="49" t="s">
        <v>443</v>
      </c>
      <c r="H9" s="49" t="s">
        <v>454</v>
      </c>
      <c r="I9" s="49" t="s">
        <v>461</v>
      </c>
      <c r="J9" s="49"/>
      <c r="K9" s="49"/>
      <c r="L9" s="49" t="s">
        <v>442</v>
      </c>
      <c r="M9" s="49" t="s">
        <v>441</v>
      </c>
      <c r="N9" s="49" t="s">
        <v>440</v>
      </c>
      <c r="O9" s="326" t="s">
        <v>1568</v>
      </c>
      <c r="P9" s="328">
        <v>307601995</v>
      </c>
      <c r="Q9" s="328">
        <v>0</v>
      </c>
      <c r="R9" s="328">
        <v>0</v>
      </c>
      <c r="S9" s="328">
        <v>307601995</v>
      </c>
      <c r="T9" s="328">
        <v>0</v>
      </c>
      <c r="U9" s="328">
        <v>307601995</v>
      </c>
      <c r="V9" s="328">
        <v>0</v>
      </c>
      <c r="W9" s="328">
        <v>166591850</v>
      </c>
      <c r="X9" s="646">
        <f t="shared" si="0"/>
        <v>141010145</v>
      </c>
      <c r="Y9" s="328">
        <v>166591850</v>
      </c>
      <c r="Z9" s="328">
        <v>166591850</v>
      </c>
      <c r="AA9" s="328">
        <v>146568697</v>
      </c>
    </row>
    <row r="10" spans="1:27" ht="22.5" hidden="1" x14ac:dyDescent="0.25">
      <c r="A10" s="49" t="s">
        <v>1557</v>
      </c>
      <c r="B10" s="326" t="s">
        <v>1558</v>
      </c>
      <c r="C10" s="327" t="s">
        <v>1569</v>
      </c>
      <c r="D10" s="49" t="s">
        <v>460</v>
      </c>
      <c r="E10" s="49" t="s">
        <v>443</v>
      </c>
      <c r="F10" s="49" t="s">
        <v>463</v>
      </c>
      <c r="G10" s="49" t="s">
        <v>443</v>
      </c>
      <c r="H10" s="49" t="s">
        <v>450</v>
      </c>
      <c r="I10" s="49" t="s">
        <v>443</v>
      </c>
      <c r="J10" s="49"/>
      <c r="K10" s="49"/>
      <c r="L10" s="49" t="s">
        <v>442</v>
      </c>
      <c r="M10" s="49" t="s">
        <v>441</v>
      </c>
      <c r="N10" s="49" t="s">
        <v>440</v>
      </c>
      <c r="O10" s="326" t="s">
        <v>1570</v>
      </c>
      <c r="P10" s="328">
        <v>146047836</v>
      </c>
      <c r="Q10" s="328">
        <v>0</v>
      </c>
      <c r="R10" s="328">
        <v>0</v>
      </c>
      <c r="S10" s="328">
        <v>146047836</v>
      </c>
      <c r="T10" s="328">
        <v>0</v>
      </c>
      <c r="U10" s="328">
        <v>146047836</v>
      </c>
      <c r="V10" s="328">
        <v>0</v>
      </c>
      <c r="W10" s="328">
        <v>89416758</v>
      </c>
      <c r="X10" s="646">
        <f t="shared" si="0"/>
        <v>56631078</v>
      </c>
      <c r="Y10" s="328">
        <v>89416758</v>
      </c>
      <c r="Z10" s="328">
        <v>89416758</v>
      </c>
      <c r="AA10" s="328">
        <v>76300444</v>
      </c>
    </row>
    <row r="11" spans="1:27" ht="22.5" hidden="1" x14ac:dyDescent="0.25">
      <c r="A11" s="49" t="s">
        <v>1557</v>
      </c>
      <c r="B11" s="326" t="s">
        <v>1558</v>
      </c>
      <c r="C11" s="327" t="s">
        <v>1571</v>
      </c>
      <c r="D11" s="49" t="s">
        <v>460</v>
      </c>
      <c r="E11" s="49" t="s">
        <v>443</v>
      </c>
      <c r="F11" s="49" t="s">
        <v>463</v>
      </c>
      <c r="G11" s="49" t="s">
        <v>443</v>
      </c>
      <c r="H11" s="49" t="s">
        <v>450</v>
      </c>
      <c r="I11" s="49" t="s">
        <v>461</v>
      </c>
      <c r="J11" s="49"/>
      <c r="K11" s="49"/>
      <c r="L11" s="49" t="s">
        <v>442</v>
      </c>
      <c r="M11" s="49" t="s">
        <v>441</v>
      </c>
      <c r="N11" s="49" t="s">
        <v>440</v>
      </c>
      <c r="O11" s="326" t="s">
        <v>1572</v>
      </c>
      <c r="P11" s="328">
        <v>235020119</v>
      </c>
      <c r="Q11" s="328">
        <v>0</v>
      </c>
      <c r="R11" s="328">
        <v>0</v>
      </c>
      <c r="S11" s="328">
        <v>235020119</v>
      </c>
      <c r="T11" s="328">
        <v>0</v>
      </c>
      <c r="U11" s="328">
        <v>235020119</v>
      </c>
      <c r="V11" s="328">
        <v>0</v>
      </c>
      <c r="W11" s="328">
        <v>137600799</v>
      </c>
      <c r="X11" s="646">
        <f t="shared" si="0"/>
        <v>97419320</v>
      </c>
      <c r="Y11" s="328">
        <v>136978780</v>
      </c>
      <c r="Z11" s="328">
        <v>136978780</v>
      </c>
      <c r="AA11" s="328">
        <v>119511654</v>
      </c>
    </row>
    <row r="12" spans="1:27" ht="22.5" hidden="1" x14ac:dyDescent="0.25">
      <c r="A12" s="49" t="s">
        <v>1557</v>
      </c>
      <c r="B12" s="326" t="s">
        <v>1558</v>
      </c>
      <c r="C12" s="327" t="s">
        <v>1573</v>
      </c>
      <c r="D12" s="49" t="s">
        <v>460</v>
      </c>
      <c r="E12" s="49" t="s">
        <v>443</v>
      </c>
      <c r="F12" s="49" t="s">
        <v>463</v>
      </c>
      <c r="G12" s="49" t="s">
        <v>443</v>
      </c>
      <c r="H12" s="49" t="s">
        <v>450</v>
      </c>
      <c r="I12" s="49" t="s">
        <v>450</v>
      </c>
      <c r="J12" s="49"/>
      <c r="K12" s="49"/>
      <c r="L12" s="49" t="s">
        <v>442</v>
      </c>
      <c r="M12" s="49" t="s">
        <v>441</v>
      </c>
      <c r="N12" s="49" t="s">
        <v>440</v>
      </c>
      <c r="O12" s="326" t="s">
        <v>1574</v>
      </c>
      <c r="P12" s="328">
        <v>40585145</v>
      </c>
      <c r="Q12" s="328">
        <v>0</v>
      </c>
      <c r="R12" s="328">
        <v>0</v>
      </c>
      <c r="S12" s="328">
        <v>40585145</v>
      </c>
      <c r="T12" s="328">
        <v>0</v>
      </c>
      <c r="U12" s="328">
        <v>40585145</v>
      </c>
      <c r="V12" s="328">
        <v>0</v>
      </c>
      <c r="W12" s="328">
        <v>27063294</v>
      </c>
      <c r="X12" s="646">
        <f t="shared" si="0"/>
        <v>13521851</v>
      </c>
      <c r="Y12" s="328">
        <v>26689865</v>
      </c>
      <c r="Z12" s="328">
        <v>26689865</v>
      </c>
      <c r="AA12" s="328">
        <v>23858107</v>
      </c>
    </row>
    <row r="13" spans="1:27" ht="22.5" hidden="1" x14ac:dyDescent="0.25">
      <c r="A13" s="49" t="s">
        <v>1557</v>
      </c>
      <c r="B13" s="326" t="s">
        <v>1558</v>
      </c>
      <c r="C13" s="327" t="s">
        <v>1575</v>
      </c>
      <c r="D13" s="49" t="s">
        <v>460</v>
      </c>
      <c r="E13" s="49" t="s">
        <v>443</v>
      </c>
      <c r="F13" s="49" t="s">
        <v>463</v>
      </c>
      <c r="G13" s="49" t="s">
        <v>443</v>
      </c>
      <c r="H13" s="49" t="s">
        <v>450</v>
      </c>
      <c r="I13" s="49" t="s">
        <v>549</v>
      </c>
      <c r="J13" s="49"/>
      <c r="K13" s="49"/>
      <c r="L13" s="49" t="s">
        <v>442</v>
      </c>
      <c r="M13" s="49" t="s">
        <v>441</v>
      </c>
      <c r="N13" s="49" t="s">
        <v>440</v>
      </c>
      <c r="O13" s="326" t="s">
        <v>1576</v>
      </c>
      <c r="P13" s="328">
        <v>16721712</v>
      </c>
      <c r="Q13" s="328">
        <v>0</v>
      </c>
      <c r="R13" s="328">
        <v>0</v>
      </c>
      <c r="S13" s="328">
        <v>16721712</v>
      </c>
      <c r="T13" s="328">
        <v>0</v>
      </c>
      <c r="U13" s="328">
        <v>16721712</v>
      </c>
      <c r="V13" s="328">
        <v>0</v>
      </c>
      <c r="W13" s="328">
        <v>8960452</v>
      </c>
      <c r="X13" s="646">
        <f t="shared" si="0"/>
        <v>7761260</v>
      </c>
      <c r="Y13" s="328">
        <v>8960452</v>
      </c>
      <c r="Z13" s="328">
        <v>8960452</v>
      </c>
      <c r="AA13" s="328">
        <v>7862742</v>
      </c>
    </row>
    <row r="14" spans="1:27" ht="22.5" hidden="1" x14ac:dyDescent="0.25">
      <c r="A14" s="49" t="s">
        <v>1557</v>
      </c>
      <c r="B14" s="326" t="s">
        <v>1558</v>
      </c>
      <c r="C14" s="327" t="s">
        <v>1577</v>
      </c>
      <c r="D14" s="49" t="s">
        <v>460</v>
      </c>
      <c r="E14" s="49" t="s">
        <v>443</v>
      </c>
      <c r="F14" s="49" t="s">
        <v>463</v>
      </c>
      <c r="G14" s="49" t="s">
        <v>443</v>
      </c>
      <c r="H14" s="49" t="s">
        <v>450</v>
      </c>
      <c r="I14" s="49" t="s">
        <v>551</v>
      </c>
      <c r="J14" s="49"/>
      <c r="K14" s="49"/>
      <c r="L14" s="49" t="s">
        <v>442</v>
      </c>
      <c r="M14" s="49" t="s">
        <v>441</v>
      </c>
      <c r="N14" s="49" t="s">
        <v>440</v>
      </c>
      <c r="O14" s="326" t="s">
        <v>1578</v>
      </c>
      <c r="P14" s="328">
        <v>10256400</v>
      </c>
      <c r="Q14" s="328">
        <v>0</v>
      </c>
      <c r="R14" s="328">
        <v>0</v>
      </c>
      <c r="S14" s="328">
        <v>10256400</v>
      </c>
      <c r="T14" s="328">
        <v>0</v>
      </c>
      <c r="U14" s="328">
        <v>10256400</v>
      </c>
      <c r="V14" s="328">
        <v>0</v>
      </c>
      <c r="W14" s="328">
        <v>4651640</v>
      </c>
      <c r="X14" s="646">
        <f t="shared" si="0"/>
        <v>5604760</v>
      </c>
      <c r="Y14" s="328">
        <v>4651640</v>
      </c>
      <c r="Z14" s="328">
        <v>4651640</v>
      </c>
      <c r="AA14" s="328">
        <v>4071480</v>
      </c>
    </row>
    <row r="15" spans="1:27" ht="22.5" hidden="1" x14ac:dyDescent="0.25">
      <c r="A15" s="49" t="s">
        <v>1557</v>
      </c>
      <c r="B15" s="326" t="s">
        <v>1558</v>
      </c>
      <c r="C15" s="327" t="s">
        <v>1579</v>
      </c>
      <c r="D15" s="49" t="s">
        <v>460</v>
      </c>
      <c r="E15" s="49" t="s">
        <v>443</v>
      </c>
      <c r="F15" s="49" t="s">
        <v>463</v>
      </c>
      <c r="G15" s="49" t="s">
        <v>443</v>
      </c>
      <c r="H15" s="49" t="s">
        <v>450</v>
      </c>
      <c r="I15" s="49" t="s">
        <v>570</v>
      </c>
      <c r="J15" s="49"/>
      <c r="K15" s="49"/>
      <c r="L15" s="49" t="s">
        <v>442</v>
      </c>
      <c r="M15" s="49" t="s">
        <v>441</v>
      </c>
      <c r="N15" s="49" t="s">
        <v>440</v>
      </c>
      <c r="O15" s="326" t="s">
        <v>1580</v>
      </c>
      <c r="P15" s="328">
        <v>339129405</v>
      </c>
      <c r="Q15" s="328">
        <v>0</v>
      </c>
      <c r="R15" s="328">
        <v>0</v>
      </c>
      <c r="S15" s="328">
        <v>339129405</v>
      </c>
      <c r="T15" s="328">
        <v>0</v>
      </c>
      <c r="U15" s="328">
        <v>339129405</v>
      </c>
      <c r="V15" s="328">
        <v>0</v>
      </c>
      <c r="W15" s="328">
        <v>325791806</v>
      </c>
      <c r="X15" s="646">
        <f t="shared" si="0"/>
        <v>13337599</v>
      </c>
      <c r="Y15" s="328">
        <v>325779849</v>
      </c>
      <c r="Z15" s="328">
        <v>325779849</v>
      </c>
      <c r="AA15" s="328">
        <v>325779849</v>
      </c>
    </row>
    <row r="16" spans="1:27" ht="22.5" hidden="1" x14ac:dyDescent="0.25">
      <c r="A16" s="49" t="s">
        <v>1557</v>
      </c>
      <c r="B16" s="326" t="s">
        <v>1558</v>
      </c>
      <c r="C16" s="327" t="s">
        <v>1581</v>
      </c>
      <c r="D16" s="49" t="s">
        <v>460</v>
      </c>
      <c r="E16" s="49" t="s">
        <v>443</v>
      </c>
      <c r="F16" s="49" t="s">
        <v>463</v>
      </c>
      <c r="G16" s="49" t="s">
        <v>443</v>
      </c>
      <c r="H16" s="49" t="s">
        <v>450</v>
      </c>
      <c r="I16" s="49" t="s">
        <v>453</v>
      </c>
      <c r="J16" s="49"/>
      <c r="K16" s="49"/>
      <c r="L16" s="49" t="s">
        <v>442</v>
      </c>
      <c r="M16" s="49" t="s">
        <v>441</v>
      </c>
      <c r="N16" s="49" t="s">
        <v>440</v>
      </c>
      <c r="O16" s="326" t="s">
        <v>1582</v>
      </c>
      <c r="P16" s="328">
        <v>353259798</v>
      </c>
      <c r="Q16" s="328">
        <v>0</v>
      </c>
      <c r="R16" s="328">
        <v>0</v>
      </c>
      <c r="S16" s="328">
        <v>353259798</v>
      </c>
      <c r="T16" s="328">
        <v>0</v>
      </c>
      <c r="U16" s="328">
        <v>353259798</v>
      </c>
      <c r="V16" s="328">
        <v>0</v>
      </c>
      <c r="W16" s="328">
        <v>226689926</v>
      </c>
      <c r="X16" s="646">
        <f t="shared" si="0"/>
        <v>126569872</v>
      </c>
      <c r="Y16" s="328">
        <v>223574765</v>
      </c>
      <c r="Z16" s="328">
        <v>223574765</v>
      </c>
      <c r="AA16" s="328">
        <v>200766211</v>
      </c>
    </row>
    <row r="17" spans="1:27" ht="22.5" hidden="1" x14ac:dyDescent="0.25">
      <c r="A17" s="49" t="s">
        <v>1557</v>
      </c>
      <c r="B17" s="326" t="s">
        <v>1558</v>
      </c>
      <c r="C17" s="327" t="s">
        <v>1583</v>
      </c>
      <c r="D17" s="49" t="s">
        <v>460</v>
      </c>
      <c r="E17" s="49" t="s">
        <v>443</v>
      </c>
      <c r="F17" s="49" t="s">
        <v>463</v>
      </c>
      <c r="G17" s="49" t="s">
        <v>443</v>
      </c>
      <c r="H17" s="49" t="s">
        <v>450</v>
      </c>
      <c r="I17" s="49" t="s">
        <v>1584</v>
      </c>
      <c r="J17" s="49"/>
      <c r="K17" s="49"/>
      <c r="L17" s="49" t="s">
        <v>442</v>
      </c>
      <c r="M17" s="49" t="s">
        <v>441</v>
      </c>
      <c r="N17" s="49" t="s">
        <v>440</v>
      </c>
      <c r="O17" s="326" t="s">
        <v>1585</v>
      </c>
      <c r="P17" s="328">
        <v>696499948</v>
      </c>
      <c r="Q17" s="328">
        <v>0</v>
      </c>
      <c r="R17" s="328">
        <v>20000000</v>
      </c>
      <c r="S17" s="328">
        <v>676499948</v>
      </c>
      <c r="T17" s="328">
        <v>0</v>
      </c>
      <c r="U17" s="328">
        <v>676499948</v>
      </c>
      <c r="V17" s="328">
        <v>0</v>
      </c>
      <c r="W17" s="328">
        <v>17475815</v>
      </c>
      <c r="X17" s="646">
        <f t="shared" si="0"/>
        <v>659024133</v>
      </c>
      <c r="Y17" s="328">
        <v>15004888</v>
      </c>
      <c r="Z17" s="328">
        <v>15004888</v>
      </c>
      <c r="AA17" s="328">
        <v>15004888</v>
      </c>
    </row>
    <row r="18" spans="1:27" ht="22.5" hidden="1" x14ac:dyDescent="0.25">
      <c r="A18" s="49" t="s">
        <v>1557</v>
      </c>
      <c r="B18" s="326" t="s">
        <v>1558</v>
      </c>
      <c r="C18" s="327" t="s">
        <v>1586</v>
      </c>
      <c r="D18" s="49" t="s">
        <v>460</v>
      </c>
      <c r="E18" s="49" t="s">
        <v>443</v>
      </c>
      <c r="F18" s="49" t="s">
        <v>463</v>
      </c>
      <c r="G18" s="49" t="s">
        <v>443</v>
      </c>
      <c r="H18" s="49" t="s">
        <v>450</v>
      </c>
      <c r="I18" s="49" t="s">
        <v>1587</v>
      </c>
      <c r="J18" s="49"/>
      <c r="K18" s="49"/>
      <c r="L18" s="49" t="s">
        <v>442</v>
      </c>
      <c r="M18" s="49" t="s">
        <v>441</v>
      </c>
      <c r="N18" s="49" t="s">
        <v>440</v>
      </c>
      <c r="O18" s="326" t="s">
        <v>1588</v>
      </c>
      <c r="P18" s="328">
        <v>2880600</v>
      </c>
      <c r="Q18" s="328">
        <v>0</v>
      </c>
      <c r="R18" s="328">
        <v>0</v>
      </c>
      <c r="S18" s="328">
        <v>2880600</v>
      </c>
      <c r="T18" s="328">
        <v>0</v>
      </c>
      <c r="U18" s="328">
        <v>2880600</v>
      </c>
      <c r="V18" s="328">
        <v>0</v>
      </c>
      <c r="W18" s="328">
        <v>1810914</v>
      </c>
      <c r="X18" s="646">
        <f t="shared" si="0"/>
        <v>1069686</v>
      </c>
      <c r="Y18" s="328">
        <v>1810914</v>
      </c>
      <c r="Z18" s="328">
        <v>1810914</v>
      </c>
      <c r="AA18" s="328">
        <v>1552212</v>
      </c>
    </row>
    <row r="19" spans="1:27" ht="22.5" hidden="1" x14ac:dyDescent="0.25">
      <c r="A19" s="49" t="s">
        <v>1557</v>
      </c>
      <c r="B19" s="326" t="s">
        <v>1558</v>
      </c>
      <c r="C19" s="327" t="s">
        <v>1589</v>
      </c>
      <c r="D19" s="49" t="s">
        <v>460</v>
      </c>
      <c r="E19" s="49" t="s">
        <v>443</v>
      </c>
      <c r="F19" s="49" t="s">
        <v>463</v>
      </c>
      <c r="G19" s="49" t="s">
        <v>443</v>
      </c>
      <c r="H19" s="49" t="s">
        <v>450</v>
      </c>
      <c r="I19" s="49" t="s">
        <v>1590</v>
      </c>
      <c r="J19" s="49"/>
      <c r="K19" s="49"/>
      <c r="L19" s="49" t="s">
        <v>442</v>
      </c>
      <c r="M19" s="49" t="s">
        <v>441</v>
      </c>
      <c r="N19" s="49" t="s">
        <v>440</v>
      </c>
      <c r="O19" s="326" t="s">
        <v>1591</v>
      </c>
      <c r="P19" s="328">
        <v>93185637</v>
      </c>
      <c r="Q19" s="328">
        <v>20000000</v>
      </c>
      <c r="R19" s="328">
        <v>0</v>
      </c>
      <c r="S19" s="328">
        <v>113185637</v>
      </c>
      <c r="T19" s="328">
        <v>0</v>
      </c>
      <c r="U19" s="328">
        <v>113185637</v>
      </c>
      <c r="V19" s="328">
        <v>0</v>
      </c>
      <c r="W19" s="328">
        <v>64836301</v>
      </c>
      <c r="X19" s="646">
        <f t="shared" si="0"/>
        <v>48349336</v>
      </c>
      <c r="Y19" s="328">
        <v>64836301</v>
      </c>
      <c r="Z19" s="328">
        <v>64836301</v>
      </c>
      <c r="AA19" s="328">
        <v>53854858</v>
      </c>
    </row>
    <row r="20" spans="1:27" ht="22.5" hidden="1" x14ac:dyDescent="0.25">
      <c r="A20" s="49" t="s">
        <v>1557</v>
      </c>
      <c r="B20" s="326" t="s">
        <v>1558</v>
      </c>
      <c r="C20" s="327" t="s">
        <v>1592</v>
      </c>
      <c r="D20" s="49" t="s">
        <v>460</v>
      </c>
      <c r="E20" s="49" t="s">
        <v>443</v>
      </c>
      <c r="F20" s="49" t="s">
        <v>463</v>
      </c>
      <c r="G20" s="49" t="s">
        <v>443</v>
      </c>
      <c r="H20" s="49" t="s">
        <v>450</v>
      </c>
      <c r="I20" s="49" t="s">
        <v>1593</v>
      </c>
      <c r="J20" s="49"/>
      <c r="K20" s="49"/>
      <c r="L20" s="49" t="s">
        <v>442</v>
      </c>
      <c r="M20" s="49" t="s">
        <v>441</v>
      </c>
      <c r="N20" s="49" t="s">
        <v>440</v>
      </c>
      <c r="O20" s="326" t="s">
        <v>1594</v>
      </c>
      <c r="P20" s="328">
        <v>333194400</v>
      </c>
      <c r="Q20" s="328">
        <v>0</v>
      </c>
      <c r="R20" s="328">
        <v>0</v>
      </c>
      <c r="S20" s="328">
        <v>333194400</v>
      </c>
      <c r="T20" s="328">
        <v>0</v>
      </c>
      <c r="U20" s="328">
        <v>333194400</v>
      </c>
      <c r="V20" s="328">
        <v>0</v>
      </c>
      <c r="W20" s="328">
        <v>178373873</v>
      </c>
      <c r="X20" s="646">
        <f t="shared" si="0"/>
        <v>154820527</v>
      </c>
      <c r="Y20" s="328">
        <v>178373873</v>
      </c>
      <c r="Z20" s="328">
        <v>178373873</v>
      </c>
      <c r="AA20" s="328">
        <v>176957166</v>
      </c>
    </row>
    <row r="21" spans="1:27" ht="22.5" hidden="1" x14ac:dyDescent="0.25">
      <c r="A21" s="49" t="s">
        <v>1557</v>
      </c>
      <c r="B21" s="326" t="s">
        <v>1558</v>
      </c>
      <c r="C21" s="327" t="s">
        <v>1595</v>
      </c>
      <c r="D21" s="49" t="s">
        <v>460</v>
      </c>
      <c r="E21" s="49" t="s">
        <v>443</v>
      </c>
      <c r="F21" s="49" t="s">
        <v>463</v>
      </c>
      <c r="G21" s="49" t="s">
        <v>443</v>
      </c>
      <c r="H21" s="49" t="s">
        <v>464</v>
      </c>
      <c r="I21" s="49" t="s">
        <v>443</v>
      </c>
      <c r="J21" s="49"/>
      <c r="K21" s="49"/>
      <c r="L21" s="49" t="s">
        <v>442</v>
      </c>
      <c r="M21" s="49" t="s">
        <v>441</v>
      </c>
      <c r="N21" s="49" t="s">
        <v>440</v>
      </c>
      <c r="O21" s="326" t="s">
        <v>1596</v>
      </c>
      <c r="P21" s="328">
        <v>64000000</v>
      </c>
      <c r="Q21" s="328">
        <v>0</v>
      </c>
      <c r="R21" s="328">
        <v>2713650</v>
      </c>
      <c r="S21" s="328">
        <v>61286350</v>
      </c>
      <c r="T21" s="328">
        <v>0</v>
      </c>
      <c r="U21" s="328">
        <v>61286350</v>
      </c>
      <c r="V21" s="328">
        <v>0</v>
      </c>
      <c r="W21" s="328">
        <v>26728143</v>
      </c>
      <c r="X21" s="646">
        <f t="shared" si="0"/>
        <v>34558207</v>
      </c>
      <c r="Y21" s="328">
        <v>26728143</v>
      </c>
      <c r="Z21" s="328">
        <v>26728143</v>
      </c>
      <c r="AA21" s="328">
        <v>22577644</v>
      </c>
    </row>
    <row r="22" spans="1:27" ht="22.5" hidden="1" x14ac:dyDescent="0.25">
      <c r="A22" s="49" t="s">
        <v>1557</v>
      </c>
      <c r="B22" s="326" t="s">
        <v>1558</v>
      </c>
      <c r="C22" s="327" t="s">
        <v>1597</v>
      </c>
      <c r="D22" s="49" t="s">
        <v>460</v>
      </c>
      <c r="E22" s="49" t="s">
        <v>443</v>
      </c>
      <c r="F22" s="49" t="s">
        <v>463</v>
      </c>
      <c r="G22" s="49" t="s">
        <v>443</v>
      </c>
      <c r="H22" s="49" t="s">
        <v>464</v>
      </c>
      <c r="I22" s="49" t="s">
        <v>458</v>
      </c>
      <c r="J22" s="49"/>
      <c r="K22" s="49"/>
      <c r="L22" s="49" t="s">
        <v>442</v>
      </c>
      <c r="M22" s="49" t="s">
        <v>441</v>
      </c>
      <c r="N22" s="49" t="s">
        <v>440</v>
      </c>
      <c r="O22" s="326" t="s">
        <v>1598</v>
      </c>
      <c r="P22" s="328">
        <v>207365000</v>
      </c>
      <c r="Q22" s="328">
        <v>0</v>
      </c>
      <c r="R22" s="328">
        <v>0</v>
      </c>
      <c r="S22" s="328">
        <v>207365000</v>
      </c>
      <c r="T22" s="328">
        <v>0</v>
      </c>
      <c r="U22" s="328">
        <v>207365000</v>
      </c>
      <c r="V22" s="328">
        <v>0</v>
      </c>
      <c r="W22" s="328">
        <v>68248788</v>
      </c>
      <c r="X22" s="646">
        <f t="shared" si="0"/>
        <v>139116212</v>
      </c>
      <c r="Y22" s="328">
        <v>65572846</v>
      </c>
      <c r="Z22" s="328">
        <v>65572846</v>
      </c>
      <c r="AA22" s="328">
        <v>65572846</v>
      </c>
    </row>
    <row r="23" spans="1:27" ht="22.5" x14ac:dyDescent="0.25">
      <c r="A23" s="49" t="s">
        <v>1557</v>
      </c>
      <c r="B23" s="326" t="s">
        <v>1558</v>
      </c>
      <c r="C23" s="327" t="s">
        <v>1599</v>
      </c>
      <c r="D23" s="49" t="s">
        <v>460</v>
      </c>
      <c r="E23" s="49" t="s">
        <v>443</v>
      </c>
      <c r="F23" s="49" t="s">
        <v>463</v>
      </c>
      <c r="G23" s="49" t="s">
        <v>461</v>
      </c>
      <c r="H23" s="49" t="s">
        <v>549</v>
      </c>
      <c r="I23" s="49"/>
      <c r="J23" s="49"/>
      <c r="K23" s="49"/>
      <c r="L23" s="49" t="s">
        <v>442</v>
      </c>
      <c r="M23" s="49" t="s">
        <v>441</v>
      </c>
      <c r="N23" s="49" t="s">
        <v>440</v>
      </c>
      <c r="O23" s="649" t="s">
        <v>428</v>
      </c>
      <c r="P23" s="328">
        <v>132850300</v>
      </c>
      <c r="Q23" s="328">
        <v>1338503</v>
      </c>
      <c r="R23" s="328">
        <v>8031018</v>
      </c>
      <c r="S23" s="648">
        <v>126157785</v>
      </c>
      <c r="T23" s="328">
        <v>0</v>
      </c>
      <c r="U23" s="328">
        <v>124638090</v>
      </c>
      <c r="V23" s="328">
        <v>1519695</v>
      </c>
      <c r="W23" s="328">
        <v>118200004</v>
      </c>
      <c r="X23" s="646">
        <f t="shared" si="0"/>
        <v>7957781</v>
      </c>
      <c r="Y23" s="328">
        <v>67543800</v>
      </c>
      <c r="Z23" s="328">
        <v>67543800</v>
      </c>
      <c r="AA23" s="328">
        <v>64162800</v>
      </c>
    </row>
    <row r="24" spans="1:27" ht="22.5" x14ac:dyDescent="0.25">
      <c r="A24" s="49" t="s">
        <v>1557</v>
      </c>
      <c r="B24" s="326" t="s">
        <v>1558</v>
      </c>
      <c r="C24" s="327" t="s">
        <v>1600</v>
      </c>
      <c r="D24" s="49" t="s">
        <v>460</v>
      </c>
      <c r="E24" s="49" t="s">
        <v>443</v>
      </c>
      <c r="F24" s="49" t="s">
        <v>463</v>
      </c>
      <c r="G24" s="49" t="s">
        <v>461</v>
      </c>
      <c r="H24" s="49" t="s">
        <v>1601</v>
      </c>
      <c r="I24" s="49"/>
      <c r="J24" s="49"/>
      <c r="K24" s="49"/>
      <c r="L24" s="49" t="s">
        <v>442</v>
      </c>
      <c r="M24" s="49" t="s">
        <v>441</v>
      </c>
      <c r="N24" s="49" t="s">
        <v>440</v>
      </c>
      <c r="O24" s="649" t="s">
        <v>484</v>
      </c>
      <c r="P24" s="328">
        <v>1000000</v>
      </c>
      <c r="Q24" s="328">
        <v>0</v>
      </c>
      <c r="R24" s="328">
        <v>0</v>
      </c>
      <c r="S24" s="648">
        <v>1000000</v>
      </c>
      <c r="T24" s="328">
        <v>0</v>
      </c>
      <c r="U24" s="328">
        <v>1000000</v>
      </c>
      <c r="V24" s="328">
        <v>0</v>
      </c>
      <c r="W24" s="328">
        <v>234000</v>
      </c>
      <c r="X24" s="646">
        <f t="shared" si="0"/>
        <v>766000</v>
      </c>
      <c r="Y24" s="328">
        <v>234000</v>
      </c>
      <c r="Z24" s="328">
        <v>234000</v>
      </c>
      <c r="AA24" s="328">
        <v>234000</v>
      </c>
    </row>
    <row r="25" spans="1:27" ht="22.5" hidden="1" x14ac:dyDescent="0.25">
      <c r="A25" s="49" t="s">
        <v>1557</v>
      </c>
      <c r="B25" s="326" t="s">
        <v>1558</v>
      </c>
      <c r="C25" s="327" t="s">
        <v>1602</v>
      </c>
      <c r="D25" s="49" t="s">
        <v>460</v>
      </c>
      <c r="E25" s="49" t="s">
        <v>443</v>
      </c>
      <c r="F25" s="49" t="s">
        <v>463</v>
      </c>
      <c r="G25" s="49" t="s">
        <v>450</v>
      </c>
      <c r="H25" s="49" t="s">
        <v>443</v>
      </c>
      <c r="I25" s="49" t="s">
        <v>443</v>
      </c>
      <c r="J25" s="49"/>
      <c r="K25" s="49"/>
      <c r="L25" s="49" t="s">
        <v>442</v>
      </c>
      <c r="M25" s="49" t="s">
        <v>441</v>
      </c>
      <c r="N25" s="49" t="s">
        <v>440</v>
      </c>
      <c r="O25" s="326" t="s">
        <v>1603</v>
      </c>
      <c r="P25" s="328">
        <v>345009541</v>
      </c>
      <c r="Q25" s="328">
        <v>0</v>
      </c>
      <c r="R25" s="328">
        <v>0</v>
      </c>
      <c r="S25" s="648">
        <v>345009541</v>
      </c>
      <c r="T25" s="328">
        <v>0</v>
      </c>
      <c r="U25" s="328">
        <v>345009541</v>
      </c>
      <c r="V25" s="328">
        <v>0</v>
      </c>
      <c r="W25" s="328">
        <v>172412700</v>
      </c>
      <c r="X25" s="646">
        <f t="shared" si="0"/>
        <v>172596841</v>
      </c>
      <c r="Y25" s="328">
        <v>172412700</v>
      </c>
      <c r="Z25" s="328">
        <v>172412700</v>
      </c>
      <c r="AA25" s="328">
        <v>172412700</v>
      </c>
    </row>
    <row r="26" spans="1:27" ht="22.5" hidden="1" x14ac:dyDescent="0.25">
      <c r="A26" s="49" t="s">
        <v>1557</v>
      </c>
      <c r="B26" s="326" t="s">
        <v>1558</v>
      </c>
      <c r="C26" s="327" t="s">
        <v>1604</v>
      </c>
      <c r="D26" s="49" t="s">
        <v>460</v>
      </c>
      <c r="E26" s="49" t="s">
        <v>443</v>
      </c>
      <c r="F26" s="49" t="s">
        <v>463</v>
      </c>
      <c r="G26" s="49" t="s">
        <v>450</v>
      </c>
      <c r="H26" s="49" t="s">
        <v>443</v>
      </c>
      <c r="I26" s="49" t="s">
        <v>458</v>
      </c>
      <c r="J26" s="49"/>
      <c r="K26" s="49"/>
      <c r="L26" s="49" t="s">
        <v>442</v>
      </c>
      <c r="M26" s="49" t="s">
        <v>441</v>
      </c>
      <c r="N26" s="49" t="s">
        <v>440</v>
      </c>
      <c r="O26" s="326" t="s">
        <v>1605</v>
      </c>
      <c r="P26" s="328">
        <v>506293545</v>
      </c>
      <c r="Q26" s="328">
        <v>0</v>
      </c>
      <c r="R26" s="328">
        <v>0</v>
      </c>
      <c r="S26" s="648">
        <v>506293545</v>
      </c>
      <c r="T26" s="328">
        <v>0</v>
      </c>
      <c r="U26" s="328">
        <v>506293545</v>
      </c>
      <c r="V26" s="328">
        <v>0</v>
      </c>
      <c r="W26" s="328">
        <v>235469300</v>
      </c>
      <c r="X26" s="646">
        <f t="shared" si="0"/>
        <v>270824245</v>
      </c>
      <c r="Y26" s="328">
        <v>235469300</v>
      </c>
      <c r="Z26" s="328">
        <v>235469300</v>
      </c>
      <c r="AA26" s="328">
        <v>235469300</v>
      </c>
    </row>
    <row r="27" spans="1:27" ht="22.5" hidden="1" x14ac:dyDescent="0.25">
      <c r="A27" s="49" t="s">
        <v>1557</v>
      </c>
      <c r="B27" s="326" t="s">
        <v>1558</v>
      </c>
      <c r="C27" s="327" t="s">
        <v>1606</v>
      </c>
      <c r="D27" s="49" t="s">
        <v>460</v>
      </c>
      <c r="E27" s="49" t="s">
        <v>443</v>
      </c>
      <c r="F27" s="49" t="s">
        <v>463</v>
      </c>
      <c r="G27" s="49" t="s">
        <v>450</v>
      </c>
      <c r="H27" s="49" t="s">
        <v>443</v>
      </c>
      <c r="I27" s="49" t="s">
        <v>454</v>
      </c>
      <c r="J27" s="49"/>
      <c r="K27" s="49"/>
      <c r="L27" s="49" t="s">
        <v>442</v>
      </c>
      <c r="M27" s="49" t="s">
        <v>441</v>
      </c>
      <c r="N27" s="49" t="s">
        <v>440</v>
      </c>
      <c r="O27" s="326" t="s">
        <v>1607</v>
      </c>
      <c r="P27" s="328">
        <v>673120847</v>
      </c>
      <c r="Q27" s="328">
        <v>0</v>
      </c>
      <c r="R27" s="328">
        <v>0</v>
      </c>
      <c r="S27" s="648">
        <v>673120847</v>
      </c>
      <c r="T27" s="328">
        <v>0</v>
      </c>
      <c r="U27" s="328">
        <v>673120847</v>
      </c>
      <c r="V27" s="328">
        <v>0</v>
      </c>
      <c r="W27" s="328">
        <v>340727500</v>
      </c>
      <c r="X27" s="646">
        <f t="shared" si="0"/>
        <v>332393347</v>
      </c>
      <c r="Y27" s="328">
        <v>340727500</v>
      </c>
      <c r="Z27" s="328">
        <v>340727500</v>
      </c>
      <c r="AA27" s="328">
        <v>340727500</v>
      </c>
    </row>
    <row r="28" spans="1:27" ht="22.5" hidden="1" x14ac:dyDescent="0.25">
      <c r="A28" s="49" t="s">
        <v>1557</v>
      </c>
      <c r="B28" s="326" t="s">
        <v>1558</v>
      </c>
      <c r="C28" s="327" t="s">
        <v>1608</v>
      </c>
      <c r="D28" s="49" t="s">
        <v>460</v>
      </c>
      <c r="E28" s="49" t="s">
        <v>443</v>
      </c>
      <c r="F28" s="49" t="s">
        <v>463</v>
      </c>
      <c r="G28" s="49" t="s">
        <v>450</v>
      </c>
      <c r="H28" s="49" t="s">
        <v>461</v>
      </c>
      <c r="I28" s="49" t="s">
        <v>461</v>
      </c>
      <c r="J28" s="49"/>
      <c r="K28" s="49"/>
      <c r="L28" s="49" t="s">
        <v>442</v>
      </c>
      <c r="M28" s="49" t="s">
        <v>441</v>
      </c>
      <c r="N28" s="49" t="s">
        <v>440</v>
      </c>
      <c r="O28" s="326" t="s">
        <v>1609</v>
      </c>
      <c r="P28" s="328">
        <v>769908583</v>
      </c>
      <c r="Q28" s="328">
        <v>0</v>
      </c>
      <c r="R28" s="328">
        <v>0</v>
      </c>
      <c r="S28" s="648">
        <v>769908583</v>
      </c>
      <c r="T28" s="328">
        <v>0</v>
      </c>
      <c r="U28" s="328">
        <v>769908583</v>
      </c>
      <c r="V28" s="328">
        <v>0</v>
      </c>
      <c r="W28" s="328">
        <v>347673944</v>
      </c>
      <c r="X28" s="646">
        <f t="shared" si="0"/>
        <v>422234639</v>
      </c>
      <c r="Y28" s="328">
        <v>347673944</v>
      </c>
      <c r="Z28" s="328">
        <v>347673944</v>
      </c>
      <c r="AA28" s="328">
        <v>347673944</v>
      </c>
    </row>
    <row r="29" spans="1:27" ht="22.5" hidden="1" x14ac:dyDescent="0.25">
      <c r="A29" s="49" t="s">
        <v>1557</v>
      </c>
      <c r="B29" s="326" t="s">
        <v>1558</v>
      </c>
      <c r="C29" s="327" t="s">
        <v>1610</v>
      </c>
      <c r="D29" s="49" t="s">
        <v>460</v>
      </c>
      <c r="E29" s="49" t="s">
        <v>443</v>
      </c>
      <c r="F29" s="49" t="s">
        <v>463</v>
      </c>
      <c r="G29" s="49" t="s">
        <v>450</v>
      </c>
      <c r="H29" s="49" t="s">
        <v>461</v>
      </c>
      <c r="I29" s="49" t="s">
        <v>458</v>
      </c>
      <c r="J29" s="49"/>
      <c r="K29" s="49"/>
      <c r="L29" s="49" t="s">
        <v>442</v>
      </c>
      <c r="M29" s="49" t="s">
        <v>441</v>
      </c>
      <c r="N29" s="49" t="s">
        <v>440</v>
      </c>
      <c r="O29" s="326" t="s">
        <v>1611</v>
      </c>
      <c r="P29" s="328">
        <v>453641768</v>
      </c>
      <c r="Q29" s="328">
        <v>0</v>
      </c>
      <c r="R29" s="328">
        <v>0</v>
      </c>
      <c r="S29" s="648">
        <v>453641768</v>
      </c>
      <c r="T29" s="328">
        <v>0</v>
      </c>
      <c r="U29" s="328">
        <v>453641768</v>
      </c>
      <c r="V29" s="328">
        <v>0</v>
      </c>
      <c r="W29" s="328">
        <v>245271581</v>
      </c>
      <c r="X29" s="646">
        <f t="shared" si="0"/>
        <v>208370187</v>
      </c>
      <c r="Y29" s="328">
        <v>245271581</v>
      </c>
      <c r="Z29" s="328">
        <v>245271581</v>
      </c>
      <c r="AA29" s="328">
        <v>245271581</v>
      </c>
    </row>
    <row r="30" spans="1:27" ht="22.5" hidden="1" x14ac:dyDescent="0.25">
      <c r="A30" s="49" t="s">
        <v>1557</v>
      </c>
      <c r="B30" s="326" t="s">
        <v>1558</v>
      </c>
      <c r="C30" s="327" t="s">
        <v>1612</v>
      </c>
      <c r="D30" s="49" t="s">
        <v>460</v>
      </c>
      <c r="E30" s="49" t="s">
        <v>443</v>
      </c>
      <c r="F30" s="49" t="s">
        <v>463</v>
      </c>
      <c r="G30" s="49" t="s">
        <v>450</v>
      </c>
      <c r="H30" s="49" t="s">
        <v>461</v>
      </c>
      <c r="I30" s="49" t="s">
        <v>459</v>
      </c>
      <c r="J30" s="49"/>
      <c r="K30" s="49"/>
      <c r="L30" s="49" t="s">
        <v>442</v>
      </c>
      <c r="M30" s="49" t="s">
        <v>441</v>
      </c>
      <c r="N30" s="49" t="s">
        <v>440</v>
      </c>
      <c r="O30" s="326" t="s">
        <v>1613</v>
      </c>
      <c r="P30" s="328">
        <v>1000000</v>
      </c>
      <c r="Q30" s="328">
        <v>0</v>
      </c>
      <c r="R30" s="328">
        <v>0</v>
      </c>
      <c r="S30" s="648">
        <v>1000000</v>
      </c>
      <c r="T30" s="328">
        <v>0</v>
      </c>
      <c r="U30" s="328">
        <v>1000000</v>
      </c>
      <c r="V30" s="328">
        <v>0</v>
      </c>
      <c r="W30" s="328">
        <v>0</v>
      </c>
      <c r="X30" s="646">
        <f t="shared" si="0"/>
        <v>1000000</v>
      </c>
      <c r="Y30" s="328">
        <v>0</v>
      </c>
      <c r="Z30" s="328">
        <v>0</v>
      </c>
      <c r="AA30" s="328">
        <v>0</v>
      </c>
    </row>
    <row r="31" spans="1:27" ht="45" hidden="1" x14ac:dyDescent="0.25">
      <c r="A31" s="49" t="s">
        <v>1557</v>
      </c>
      <c r="B31" s="326" t="s">
        <v>1558</v>
      </c>
      <c r="C31" s="327" t="s">
        <v>1614</v>
      </c>
      <c r="D31" s="49" t="s">
        <v>460</v>
      </c>
      <c r="E31" s="49" t="s">
        <v>443</v>
      </c>
      <c r="F31" s="49" t="s">
        <v>463</v>
      </c>
      <c r="G31" s="49" t="s">
        <v>450</v>
      </c>
      <c r="H31" s="49" t="s">
        <v>461</v>
      </c>
      <c r="I31" s="49" t="s">
        <v>550</v>
      </c>
      <c r="J31" s="49"/>
      <c r="K31" s="49"/>
      <c r="L31" s="49" t="s">
        <v>442</v>
      </c>
      <c r="M31" s="49" t="s">
        <v>441</v>
      </c>
      <c r="N31" s="49" t="s">
        <v>440</v>
      </c>
      <c r="O31" s="326" t="s">
        <v>1615</v>
      </c>
      <c r="P31" s="328">
        <v>38627186</v>
      </c>
      <c r="Q31" s="328">
        <v>0</v>
      </c>
      <c r="R31" s="328">
        <v>0</v>
      </c>
      <c r="S31" s="648">
        <v>38627186</v>
      </c>
      <c r="T31" s="328">
        <v>0</v>
      </c>
      <c r="U31" s="328">
        <v>38627186</v>
      </c>
      <c r="V31" s="328">
        <v>0</v>
      </c>
      <c r="W31" s="328">
        <v>19569332</v>
      </c>
      <c r="X31" s="646">
        <f t="shared" si="0"/>
        <v>19057854</v>
      </c>
      <c r="Y31" s="328">
        <v>19569332</v>
      </c>
      <c r="Z31" s="328">
        <v>19569332</v>
      </c>
      <c r="AA31" s="328">
        <v>19569332</v>
      </c>
    </row>
    <row r="32" spans="1:27" ht="22.5" hidden="1" x14ac:dyDescent="0.25">
      <c r="A32" s="49" t="s">
        <v>1557</v>
      </c>
      <c r="B32" s="326" t="s">
        <v>1558</v>
      </c>
      <c r="C32" s="327" t="s">
        <v>1616</v>
      </c>
      <c r="D32" s="49" t="s">
        <v>460</v>
      </c>
      <c r="E32" s="49" t="s">
        <v>443</v>
      </c>
      <c r="F32" s="49" t="s">
        <v>463</v>
      </c>
      <c r="G32" s="49" t="s">
        <v>450</v>
      </c>
      <c r="H32" s="49" t="s">
        <v>459</v>
      </c>
      <c r="I32" s="49"/>
      <c r="J32" s="49"/>
      <c r="K32" s="49"/>
      <c r="L32" s="49" t="s">
        <v>442</v>
      </c>
      <c r="M32" s="49" t="s">
        <v>441</v>
      </c>
      <c r="N32" s="49" t="s">
        <v>440</v>
      </c>
      <c r="O32" s="326" t="s">
        <v>1617</v>
      </c>
      <c r="P32" s="328">
        <v>248793759</v>
      </c>
      <c r="Q32" s="328">
        <v>0</v>
      </c>
      <c r="R32" s="328">
        <v>0</v>
      </c>
      <c r="S32" s="648">
        <v>248793759</v>
      </c>
      <c r="T32" s="328">
        <v>0</v>
      </c>
      <c r="U32" s="328">
        <v>248793759</v>
      </c>
      <c r="V32" s="328">
        <v>0</v>
      </c>
      <c r="W32" s="328">
        <v>129303800</v>
      </c>
      <c r="X32" s="646">
        <f t="shared" si="0"/>
        <v>119489959</v>
      </c>
      <c r="Y32" s="328">
        <v>129303800</v>
      </c>
      <c r="Z32" s="328">
        <v>129303800</v>
      </c>
      <c r="AA32" s="328">
        <v>129303800</v>
      </c>
    </row>
    <row r="33" spans="1:27" ht="22.5" hidden="1" x14ac:dyDescent="0.25">
      <c r="A33" s="49" t="s">
        <v>1557</v>
      </c>
      <c r="B33" s="326" t="s">
        <v>1558</v>
      </c>
      <c r="C33" s="327" t="s">
        <v>1618</v>
      </c>
      <c r="D33" s="49" t="s">
        <v>460</v>
      </c>
      <c r="E33" s="49" t="s">
        <v>443</v>
      </c>
      <c r="F33" s="49" t="s">
        <v>463</v>
      </c>
      <c r="G33" s="49" t="s">
        <v>450</v>
      </c>
      <c r="H33" s="49" t="s">
        <v>550</v>
      </c>
      <c r="I33" s="49"/>
      <c r="J33" s="49"/>
      <c r="K33" s="49"/>
      <c r="L33" s="49" t="s">
        <v>442</v>
      </c>
      <c r="M33" s="49" t="s">
        <v>441</v>
      </c>
      <c r="N33" s="49" t="s">
        <v>440</v>
      </c>
      <c r="O33" s="326" t="s">
        <v>1619</v>
      </c>
      <c r="P33" s="328">
        <v>44376193</v>
      </c>
      <c r="Q33" s="328">
        <v>0</v>
      </c>
      <c r="R33" s="328">
        <v>0</v>
      </c>
      <c r="S33" s="648">
        <v>44376193</v>
      </c>
      <c r="T33" s="328">
        <v>0</v>
      </c>
      <c r="U33" s="328">
        <v>44376193</v>
      </c>
      <c r="V33" s="328">
        <v>0</v>
      </c>
      <c r="W33" s="328">
        <v>21545300</v>
      </c>
      <c r="X33" s="646">
        <f t="shared" si="0"/>
        <v>22830893</v>
      </c>
      <c r="Y33" s="328">
        <v>21545300</v>
      </c>
      <c r="Z33" s="328">
        <v>21545300</v>
      </c>
      <c r="AA33" s="328">
        <v>21545300</v>
      </c>
    </row>
    <row r="34" spans="1:27" ht="22.5" hidden="1" x14ac:dyDescent="0.25">
      <c r="A34" s="49" t="s">
        <v>1557</v>
      </c>
      <c r="B34" s="326" t="s">
        <v>1558</v>
      </c>
      <c r="C34" s="327" t="s">
        <v>1620</v>
      </c>
      <c r="D34" s="49" t="s">
        <v>460</v>
      </c>
      <c r="E34" s="49" t="s">
        <v>443</v>
      </c>
      <c r="F34" s="49" t="s">
        <v>463</v>
      </c>
      <c r="G34" s="49" t="s">
        <v>450</v>
      </c>
      <c r="H34" s="49" t="s">
        <v>544</v>
      </c>
      <c r="I34" s="49"/>
      <c r="J34" s="49"/>
      <c r="K34" s="49"/>
      <c r="L34" s="49" t="s">
        <v>442</v>
      </c>
      <c r="M34" s="49" t="s">
        <v>441</v>
      </c>
      <c r="N34" s="49" t="s">
        <v>440</v>
      </c>
      <c r="O34" s="326" t="s">
        <v>1621</v>
      </c>
      <c r="P34" s="328">
        <v>44376193</v>
      </c>
      <c r="Q34" s="328">
        <v>0</v>
      </c>
      <c r="R34" s="328">
        <v>0</v>
      </c>
      <c r="S34" s="648">
        <v>44376193</v>
      </c>
      <c r="T34" s="328">
        <v>0</v>
      </c>
      <c r="U34" s="328">
        <v>44376193</v>
      </c>
      <c r="V34" s="328">
        <v>0</v>
      </c>
      <c r="W34" s="328">
        <v>21545300</v>
      </c>
      <c r="X34" s="646">
        <f t="shared" si="0"/>
        <v>22830893</v>
      </c>
      <c r="Y34" s="328">
        <v>21545300</v>
      </c>
      <c r="Z34" s="328">
        <v>21545300</v>
      </c>
      <c r="AA34" s="328">
        <v>21545300</v>
      </c>
    </row>
    <row r="35" spans="1:27" ht="33.75" hidden="1" x14ac:dyDescent="0.25">
      <c r="A35" s="49" t="s">
        <v>1557</v>
      </c>
      <c r="B35" s="326" t="s">
        <v>1558</v>
      </c>
      <c r="C35" s="327" t="s">
        <v>1622</v>
      </c>
      <c r="D35" s="49" t="s">
        <v>460</v>
      </c>
      <c r="E35" s="49" t="s">
        <v>443</v>
      </c>
      <c r="F35" s="49" t="s">
        <v>463</v>
      </c>
      <c r="G35" s="49" t="s">
        <v>450</v>
      </c>
      <c r="H35" s="49" t="s">
        <v>464</v>
      </c>
      <c r="I35" s="49"/>
      <c r="J35" s="49"/>
      <c r="K35" s="49"/>
      <c r="L35" s="49" t="s">
        <v>442</v>
      </c>
      <c r="M35" s="49" t="s">
        <v>441</v>
      </c>
      <c r="N35" s="49" t="s">
        <v>440</v>
      </c>
      <c r="O35" s="326" t="s">
        <v>1623</v>
      </c>
      <c r="P35" s="328">
        <v>88752385</v>
      </c>
      <c r="Q35" s="328">
        <v>0</v>
      </c>
      <c r="R35" s="328">
        <v>0</v>
      </c>
      <c r="S35" s="648">
        <v>88752385</v>
      </c>
      <c r="T35" s="328">
        <v>0</v>
      </c>
      <c r="U35" s="328">
        <v>88752385</v>
      </c>
      <c r="V35" s="328">
        <v>0</v>
      </c>
      <c r="W35" s="328">
        <v>43099300</v>
      </c>
      <c r="X35" s="646">
        <f t="shared" si="0"/>
        <v>45653085</v>
      </c>
      <c r="Y35" s="328">
        <v>43099300</v>
      </c>
      <c r="Z35" s="328">
        <v>43099300</v>
      </c>
      <c r="AA35" s="328">
        <v>43099300</v>
      </c>
    </row>
    <row r="36" spans="1:27" ht="22.5" x14ac:dyDescent="0.25">
      <c r="A36" s="49" t="s">
        <v>1557</v>
      </c>
      <c r="B36" s="326" t="s">
        <v>1558</v>
      </c>
      <c r="C36" s="327" t="s">
        <v>1624</v>
      </c>
      <c r="D36" s="49" t="s">
        <v>460</v>
      </c>
      <c r="E36" s="49" t="s">
        <v>461</v>
      </c>
      <c r="F36" s="49" t="s">
        <v>463</v>
      </c>
      <c r="G36" s="49" t="s">
        <v>458</v>
      </c>
      <c r="H36" s="49" t="s">
        <v>1625</v>
      </c>
      <c r="I36" s="49" t="s">
        <v>461</v>
      </c>
      <c r="J36" s="49"/>
      <c r="K36" s="49"/>
      <c r="L36" s="49" t="s">
        <v>442</v>
      </c>
      <c r="M36" s="49" t="s">
        <v>441</v>
      </c>
      <c r="N36" s="49" t="s">
        <v>440</v>
      </c>
      <c r="O36" s="649" t="s">
        <v>1626</v>
      </c>
      <c r="P36" s="328">
        <v>900000</v>
      </c>
      <c r="Q36" s="328">
        <v>0</v>
      </c>
      <c r="R36" s="328">
        <v>0</v>
      </c>
      <c r="S36" s="648">
        <v>900000</v>
      </c>
      <c r="T36" s="328">
        <v>0</v>
      </c>
      <c r="U36" s="328">
        <v>900000</v>
      </c>
      <c r="V36" s="328">
        <v>0</v>
      </c>
      <c r="W36" s="328">
        <v>799100</v>
      </c>
      <c r="X36" s="646">
        <f t="shared" si="0"/>
        <v>100900</v>
      </c>
      <c r="Y36" s="328">
        <v>799100</v>
      </c>
      <c r="Z36" s="328">
        <v>799100</v>
      </c>
      <c r="AA36" s="328">
        <v>799100</v>
      </c>
    </row>
    <row r="37" spans="1:27" ht="22.5" x14ac:dyDescent="0.25">
      <c r="A37" s="49" t="s">
        <v>1557</v>
      </c>
      <c r="B37" s="326" t="s">
        <v>1558</v>
      </c>
      <c r="C37" s="327" t="s">
        <v>1627</v>
      </c>
      <c r="D37" s="49" t="s">
        <v>460</v>
      </c>
      <c r="E37" s="49" t="s">
        <v>461</v>
      </c>
      <c r="F37" s="49" t="s">
        <v>463</v>
      </c>
      <c r="G37" s="49" t="s">
        <v>458</v>
      </c>
      <c r="H37" s="49" t="s">
        <v>1625</v>
      </c>
      <c r="I37" s="49" t="s">
        <v>458</v>
      </c>
      <c r="J37" s="49"/>
      <c r="K37" s="49"/>
      <c r="L37" s="49" t="s">
        <v>442</v>
      </c>
      <c r="M37" s="49" t="s">
        <v>441</v>
      </c>
      <c r="N37" s="49" t="s">
        <v>440</v>
      </c>
      <c r="O37" s="649" t="s">
        <v>803</v>
      </c>
      <c r="P37" s="328">
        <v>28100000</v>
      </c>
      <c r="Q37" s="328">
        <v>7672000</v>
      </c>
      <c r="R37" s="328">
        <v>580000</v>
      </c>
      <c r="S37" s="648">
        <v>35192000</v>
      </c>
      <c r="T37" s="328">
        <v>0</v>
      </c>
      <c r="U37" s="328">
        <v>34339000</v>
      </c>
      <c r="V37" s="328">
        <v>853000</v>
      </c>
      <c r="W37" s="328">
        <v>34339000</v>
      </c>
      <c r="X37" s="646">
        <f t="shared" ref="X37:X68" si="1">SUM(S37-T37-W37)</f>
        <v>853000</v>
      </c>
      <c r="Y37" s="328">
        <v>34339000</v>
      </c>
      <c r="Z37" s="328">
        <v>34339000</v>
      </c>
      <c r="AA37" s="328">
        <v>34339000</v>
      </c>
    </row>
    <row r="38" spans="1:27" ht="22.5" x14ac:dyDescent="0.25">
      <c r="A38" s="49" t="s">
        <v>1557</v>
      </c>
      <c r="B38" s="326" t="s">
        <v>1558</v>
      </c>
      <c r="C38" s="327" t="s">
        <v>1628</v>
      </c>
      <c r="D38" s="49" t="s">
        <v>460</v>
      </c>
      <c r="E38" s="49" t="s">
        <v>461</v>
      </c>
      <c r="F38" s="49" t="s">
        <v>463</v>
      </c>
      <c r="G38" s="49" t="s">
        <v>454</v>
      </c>
      <c r="H38" s="49" t="s">
        <v>443</v>
      </c>
      <c r="I38" s="49" t="s">
        <v>544</v>
      </c>
      <c r="J38" s="49"/>
      <c r="K38" s="49"/>
      <c r="L38" s="49" t="s">
        <v>442</v>
      </c>
      <c r="M38" s="49" t="s">
        <v>441</v>
      </c>
      <c r="N38" s="49" t="s">
        <v>440</v>
      </c>
      <c r="O38" s="649" t="s">
        <v>486</v>
      </c>
      <c r="P38" s="328">
        <v>37000000</v>
      </c>
      <c r="Q38" s="328">
        <v>65000000</v>
      </c>
      <c r="R38" s="328">
        <v>1000000</v>
      </c>
      <c r="S38" s="648">
        <v>101000000</v>
      </c>
      <c r="T38" s="328">
        <v>0</v>
      </c>
      <c r="U38" s="328">
        <v>36000000</v>
      </c>
      <c r="V38" s="328">
        <v>65000000</v>
      </c>
      <c r="W38" s="328">
        <v>36000000</v>
      </c>
      <c r="X38" s="646">
        <f t="shared" si="1"/>
        <v>65000000</v>
      </c>
      <c r="Y38" s="328">
        <v>36000000</v>
      </c>
      <c r="Z38" s="328">
        <v>36000000</v>
      </c>
      <c r="AA38" s="328">
        <v>36000000</v>
      </c>
    </row>
    <row r="39" spans="1:27" ht="22.5" x14ac:dyDescent="0.25">
      <c r="A39" s="49" t="s">
        <v>1557</v>
      </c>
      <c r="B39" s="326" t="s">
        <v>1558</v>
      </c>
      <c r="C39" s="327" t="s">
        <v>1629</v>
      </c>
      <c r="D39" s="49" t="s">
        <v>460</v>
      </c>
      <c r="E39" s="49" t="s">
        <v>461</v>
      </c>
      <c r="F39" s="49" t="s">
        <v>463</v>
      </c>
      <c r="G39" s="49" t="s">
        <v>454</v>
      </c>
      <c r="H39" s="49" t="s">
        <v>443</v>
      </c>
      <c r="I39" s="49" t="s">
        <v>545</v>
      </c>
      <c r="J39" s="49"/>
      <c r="K39" s="49"/>
      <c r="L39" s="49" t="s">
        <v>442</v>
      </c>
      <c r="M39" s="49" t="s">
        <v>441</v>
      </c>
      <c r="N39" s="49" t="s">
        <v>440</v>
      </c>
      <c r="O39" s="649" t="s">
        <v>1630</v>
      </c>
      <c r="P39" s="328">
        <v>1200000</v>
      </c>
      <c r="Q39" s="328">
        <v>1000000</v>
      </c>
      <c r="R39" s="328">
        <v>50000</v>
      </c>
      <c r="S39" s="648">
        <v>2150000</v>
      </c>
      <c r="T39" s="328">
        <v>0</v>
      </c>
      <c r="U39" s="328">
        <v>1261655</v>
      </c>
      <c r="V39" s="328">
        <v>888345</v>
      </c>
      <c r="W39" s="328">
        <v>600000</v>
      </c>
      <c r="X39" s="646">
        <f t="shared" si="1"/>
        <v>1550000</v>
      </c>
      <c r="Y39" s="328">
        <v>600000</v>
      </c>
      <c r="Z39" s="328">
        <v>600000</v>
      </c>
      <c r="AA39" s="328">
        <v>600000</v>
      </c>
    </row>
    <row r="40" spans="1:27" ht="22.5" x14ac:dyDescent="0.25">
      <c r="A40" s="49" t="s">
        <v>1557</v>
      </c>
      <c r="B40" s="326" t="s">
        <v>1558</v>
      </c>
      <c r="C40" s="327" t="s">
        <v>1631</v>
      </c>
      <c r="D40" s="49" t="s">
        <v>460</v>
      </c>
      <c r="E40" s="49" t="s">
        <v>461</v>
      </c>
      <c r="F40" s="49" t="s">
        <v>463</v>
      </c>
      <c r="G40" s="49" t="s">
        <v>454</v>
      </c>
      <c r="H40" s="49" t="s">
        <v>443</v>
      </c>
      <c r="I40" s="49" t="s">
        <v>1632</v>
      </c>
      <c r="J40" s="49"/>
      <c r="K40" s="49"/>
      <c r="L40" s="49" t="s">
        <v>442</v>
      </c>
      <c r="M40" s="49" t="s">
        <v>441</v>
      </c>
      <c r="N40" s="49" t="s">
        <v>440</v>
      </c>
      <c r="O40" s="649" t="s">
        <v>573</v>
      </c>
      <c r="P40" s="328">
        <v>0</v>
      </c>
      <c r="Q40" s="328">
        <v>50000</v>
      </c>
      <c r="R40" s="328">
        <v>0</v>
      </c>
      <c r="S40" s="648">
        <v>50000</v>
      </c>
      <c r="T40" s="328">
        <v>0</v>
      </c>
      <c r="U40" s="328">
        <v>50000</v>
      </c>
      <c r="V40" s="328">
        <v>0</v>
      </c>
      <c r="W40" s="328">
        <v>50000</v>
      </c>
      <c r="X40" s="646">
        <f t="shared" si="1"/>
        <v>0</v>
      </c>
      <c r="Y40" s="328">
        <v>50000</v>
      </c>
      <c r="Z40" s="328">
        <v>50000</v>
      </c>
      <c r="AA40" s="328">
        <v>50000</v>
      </c>
    </row>
    <row r="41" spans="1:27" ht="22.5" x14ac:dyDescent="0.25">
      <c r="A41" s="49" t="s">
        <v>1557</v>
      </c>
      <c r="B41" s="326" t="s">
        <v>1558</v>
      </c>
      <c r="C41" s="327" t="s">
        <v>1633</v>
      </c>
      <c r="D41" s="49" t="s">
        <v>460</v>
      </c>
      <c r="E41" s="49" t="s">
        <v>461</v>
      </c>
      <c r="F41" s="49" t="s">
        <v>463</v>
      </c>
      <c r="G41" s="49" t="s">
        <v>454</v>
      </c>
      <c r="H41" s="49" t="s">
        <v>454</v>
      </c>
      <c r="I41" s="49" t="s">
        <v>443</v>
      </c>
      <c r="J41" s="49"/>
      <c r="K41" s="49"/>
      <c r="L41" s="49" t="s">
        <v>442</v>
      </c>
      <c r="M41" s="49" t="s">
        <v>441</v>
      </c>
      <c r="N41" s="49" t="s">
        <v>440</v>
      </c>
      <c r="O41" s="649" t="s">
        <v>515</v>
      </c>
      <c r="P41" s="328">
        <v>37000000</v>
      </c>
      <c r="Q41" s="328">
        <v>0</v>
      </c>
      <c r="R41" s="328">
        <v>0</v>
      </c>
      <c r="S41" s="648">
        <v>37000000</v>
      </c>
      <c r="T41" s="328">
        <v>0</v>
      </c>
      <c r="U41" s="328">
        <v>37000000</v>
      </c>
      <c r="V41" s="328">
        <v>0</v>
      </c>
      <c r="W41" s="328">
        <v>37000000</v>
      </c>
      <c r="X41" s="646">
        <f t="shared" si="1"/>
        <v>0</v>
      </c>
      <c r="Y41" s="328">
        <v>15863901</v>
      </c>
      <c r="Z41" s="328">
        <v>15863901</v>
      </c>
      <c r="AA41" s="328">
        <v>15863901</v>
      </c>
    </row>
    <row r="42" spans="1:27" ht="22.5" x14ac:dyDescent="0.25">
      <c r="A42" s="49" t="s">
        <v>1557</v>
      </c>
      <c r="B42" s="326" t="s">
        <v>1558</v>
      </c>
      <c r="C42" s="327" t="s">
        <v>1634</v>
      </c>
      <c r="D42" s="49" t="s">
        <v>460</v>
      </c>
      <c r="E42" s="49" t="s">
        <v>461</v>
      </c>
      <c r="F42" s="49" t="s">
        <v>463</v>
      </c>
      <c r="G42" s="49" t="s">
        <v>454</v>
      </c>
      <c r="H42" s="49" t="s">
        <v>454</v>
      </c>
      <c r="I42" s="49" t="s">
        <v>461</v>
      </c>
      <c r="J42" s="49"/>
      <c r="K42" s="49"/>
      <c r="L42" s="49" t="s">
        <v>442</v>
      </c>
      <c r="M42" s="49" t="s">
        <v>441</v>
      </c>
      <c r="N42" s="49" t="s">
        <v>440</v>
      </c>
      <c r="O42" s="649" t="s">
        <v>1635</v>
      </c>
      <c r="P42" s="328">
        <v>16000000</v>
      </c>
      <c r="Q42" s="328">
        <v>5000000</v>
      </c>
      <c r="R42" s="328">
        <v>0</v>
      </c>
      <c r="S42" s="648">
        <v>21000000</v>
      </c>
      <c r="T42" s="328">
        <v>0</v>
      </c>
      <c r="U42" s="328">
        <v>16000000</v>
      </c>
      <c r="V42" s="328">
        <v>5000000</v>
      </c>
      <c r="W42" s="328">
        <v>12543465</v>
      </c>
      <c r="X42" s="646">
        <f t="shared" si="1"/>
        <v>8456535</v>
      </c>
      <c r="Y42" s="328">
        <v>0</v>
      </c>
      <c r="Z42" s="328">
        <v>0</v>
      </c>
      <c r="AA42" s="328">
        <v>0</v>
      </c>
    </row>
    <row r="43" spans="1:27" ht="22.5" x14ac:dyDescent="0.25">
      <c r="A43" s="49" t="s">
        <v>1557</v>
      </c>
      <c r="B43" s="326" t="s">
        <v>1558</v>
      </c>
      <c r="C43" s="327" t="s">
        <v>1636</v>
      </c>
      <c r="D43" s="49" t="s">
        <v>460</v>
      </c>
      <c r="E43" s="49" t="s">
        <v>461</v>
      </c>
      <c r="F43" s="49" t="s">
        <v>463</v>
      </c>
      <c r="G43" s="49" t="s">
        <v>454</v>
      </c>
      <c r="H43" s="49" t="s">
        <v>454</v>
      </c>
      <c r="I43" s="49" t="s">
        <v>459</v>
      </c>
      <c r="J43" s="49"/>
      <c r="K43" s="49"/>
      <c r="L43" s="49" t="s">
        <v>442</v>
      </c>
      <c r="M43" s="49" t="s">
        <v>441</v>
      </c>
      <c r="N43" s="49" t="s">
        <v>440</v>
      </c>
      <c r="O43" s="649" t="s">
        <v>517</v>
      </c>
      <c r="P43" s="328">
        <v>1000000</v>
      </c>
      <c r="Q43" s="328">
        <v>0</v>
      </c>
      <c r="R43" s="328">
        <v>0</v>
      </c>
      <c r="S43" s="648">
        <v>1000000</v>
      </c>
      <c r="T43" s="328">
        <v>0</v>
      </c>
      <c r="U43" s="328">
        <v>1000000</v>
      </c>
      <c r="V43" s="328">
        <v>0</v>
      </c>
      <c r="W43" s="328">
        <v>999400</v>
      </c>
      <c r="X43" s="646">
        <f t="shared" si="1"/>
        <v>600</v>
      </c>
      <c r="Y43" s="328">
        <v>999400</v>
      </c>
      <c r="Z43" s="328">
        <v>999400</v>
      </c>
      <c r="AA43" s="328">
        <v>999400</v>
      </c>
    </row>
    <row r="44" spans="1:27" ht="22.5" x14ac:dyDescent="0.25">
      <c r="A44" s="49" t="s">
        <v>1557</v>
      </c>
      <c r="B44" s="326" t="s">
        <v>1558</v>
      </c>
      <c r="C44" s="327" t="s">
        <v>1637</v>
      </c>
      <c r="D44" s="49" t="s">
        <v>460</v>
      </c>
      <c r="E44" s="49" t="s">
        <v>461</v>
      </c>
      <c r="F44" s="49" t="s">
        <v>463</v>
      </c>
      <c r="G44" s="49" t="s">
        <v>454</v>
      </c>
      <c r="H44" s="49" t="s">
        <v>454</v>
      </c>
      <c r="I44" s="49" t="s">
        <v>453</v>
      </c>
      <c r="J44" s="49"/>
      <c r="K44" s="49"/>
      <c r="L44" s="49" t="s">
        <v>442</v>
      </c>
      <c r="M44" s="49" t="s">
        <v>441</v>
      </c>
      <c r="N44" s="49" t="s">
        <v>440</v>
      </c>
      <c r="O44" s="649" t="s">
        <v>1638</v>
      </c>
      <c r="P44" s="328">
        <v>40000000</v>
      </c>
      <c r="Q44" s="328">
        <v>600000</v>
      </c>
      <c r="R44" s="328">
        <v>338800</v>
      </c>
      <c r="S44" s="648">
        <v>40261200</v>
      </c>
      <c r="T44" s="328">
        <v>0</v>
      </c>
      <c r="U44" s="328">
        <v>38560000</v>
      </c>
      <c r="V44" s="328">
        <v>1701200</v>
      </c>
      <c r="W44" s="328">
        <v>13465929.4</v>
      </c>
      <c r="X44" s="646">
        <f t="shared" si="1"/>
        <v>26795270.600000001</v>
      </c>
      <c r="Y44" s="328">
        <v>13465929.4</v>
      </c>
      <c r="Z44" s="328">
        <v>13465929.4</v>
      </c>
      <c r="AA44" s="328">
        <v>13212429.4</v>
      </c>
    </row>
    <row r="45" spans="1:27" ht="22.5" x14ac:dyDescent="0.25">
      <c r="A45" s="49" t="s">
        <v>1557</v>
      </c>
      <c r="B45" s="326" t="s">
        <v>1558</v>
      </c>
      <c r="C45" s="327" t="s">
        <v>1639</v>
      </c>
      <c r="D45" s="49" t="s">
        <v>460</v>
      </c>
      <c r="E45" s="49" t="s">
        <v>461</v>
      </c>
      <c r="F45" s="49" t="s">
        <v>463</v>
      </c>
      <c r="G45" s="49" t="s">
        <v>454</v>
      </c>
      <c r="H45" s="49" t="s">
        <v>454</v>
      </c>
      <c r="I45" s="49" t="s">
        <v>546</v>
      </c>
      <c r="J45" s="49"/>
      <c r="K45" s="49"/>
      <c r="L45" s="49" t="s">
        <v>442</v>
      </c>
      <c r="M45" s="49" t="s">
        <v>441</v>
      </c>
      <c r="N45" s="49" t="s">
        <v>440</v>
      </c>
      <c r="O45" s="649" t="s">
        <v>518</v>
      </c>
      <c r="P45" s="328">
        <v>6500000</v>
      </c>
      <c r="Q45" s="328">
        <v>450000</v>
      </c>
      <c r="R45" s="328">
        <v>2350000</v>
      </c>
      <c r="S45" s="648">
        <v>4600000</v>
      </c>
      <c r="T45" s="328">
        <v>0</v>
      </c>
      <c r="U45" s="328">
        <v>3433604</v>
      </c>
      <c r="V45" s="328">
        <v>1166396</v>
      </c>
      <c r="W45" s="328">
        <v>3433604</v>
      </c>
      <c r="X45" s="646">
        <f t="shared" si="1"/>
        <v>1166396</v>
      </c>
      <c r="Y45" s="328">
        <v>3433604</v>
      </c>
      <c r="Z45" s="328">
        <v>3433604</v>
      </c>
      <c r="AA45" s="328">
        <v>3400405</v>
      </c>
    </row>
    <row r="46" spans="1:27" ht="22.5" x14ac:dyDescent="0.25">
      <c r="A46" s="49" t="s">
        <v>1557</v>
      </c>
      <c r="B46" s="326" t="s">
        <v>1558</v>
      </c>
      <c r="C46" s="327" t="s">
        <v>1640</v>
      </c>
      <c r="D46" s="49" t="s">
        <v>460</v>
      </c>
      <c r="E46" s="49" t="s">
        <v>461</v>
      </c>
      <c r="F46" s="49" t="s">
        <v>463</v>
      </c>
      <c r="G46" s="49" t="s">
        <v>454</v>
      </c>
      <c r="H46" s="49" t="s">
        <v>454</v>
      </c>
      <c r="I46" s="49" t="s">
        <v>547</v>
      </c>
      <c r="J46" s="49"/>
      <c r="K46" s="49"/>
      <c r="L46" s="49" t="s">
        <v>442</v>
      </c>
      <c r="M46" s="49" t="s">
        <v>441</v>
      </c>
      <c r="N46" s="49" t="s">
        <v>440</v>
      </c>
      <c r="O46" s="649" t="s">
        <v>1641</v>
      </c>
      <c r="P46" s="328">
        <v>7000000</v>
      </c>
      <c r="Q46" s="328">
        <v>10350000</v>
      </c>
      <c r="R46" s="328">
        <v>0</v>
      </c>
      <c r="S46" s="648">
        <v>17350000</v>
      </c>
      <c r="T46" s="328">
        <v>0</v>
      </c>
      <c r="U46" s="328">
        <v>13871109</v>
      </c>
      <c r="V46" s="328">
        <v>3478891</v>
      </c>
      <c r="W46" s="328">
        <v>13871109</v>
      </c>
      <c r="X46" s="646">
        <f t="shared" si="1"/>
        <v>3478891</v>
      </c>
      <c r="Y46" s="328">
        <v>13871109</v>
      </c>
      <c r="Z46" s="328">
        <v>13871109</v>
      </c>
      <c r="AA46" s="328">
        <v>12690839</v>
      </c>
    </row>
    <row r="47" spans="1:27" ht="22.5" x14ac:dyDescent="0.25">
      <c r="A47" s="49" t="s">
        <v>1557</v>
      </c>
      <c r="B47" s="326" t="s">
        <v>1558</v>
      </c>
      <c r="C47" s="327" t="s">
        <v>1642</v>
      </c>
      <c r="D47" s="49" t="s">
        <v>460</v>
      </c>
      <c r="E47" s="49" t="s">
        <v>461</v>
      </c>
      <c r="F47" s="49" t="s">
        <v>463</v>
      </c>
      <c r="G47" s="49" t="s">
        <v>454</v>
      </c>
      <c r="H47" s="49" t="s">
        <v>454</v>
      </c>
      <c r="I47" s="49" t="s">
        <v>457</v>
      </c>
      <c r="J47" s="49"/>
      <c r="K47" s="49"/>
      <c r="L47" s="49" t="s">
        <v>442</v>
      </c>
      <c r="M47" s="49" t="s">
        <v>441</v>
      </c>
      <c r="N47" s="49" t="s">
        <v>440</v>
      </c>
      <c r="O47" s="649" t="s">
        <v>1643</v>
      </c>
      <c r="P47" s="328">
        <v>25562510</v>
      </c>
      <c r="Q47" s="328">
        <v>200000</v>
      </c>
      <c r="R47" s="328">
        <v>0</v>
      </c>
      <c r="S47" s="648">
        <v>25762510</v>
      </c>
      <c r="T47" s="328">
        <v>0</v>
      </c>
      <c r="U47" s="328">
        <v>20964209</v>
      </c>
      <c r="V47" s="328">
        <v>4798301</v>
      </c>
      <c r="W47" s="328">
        <v>20964209</v>
      </c>
      <c r="X47" s="646">
        <f t="shared" si="1"/>
        <v>4798301</v>
      </c>
      <c r="Y47" s="328">
        <v>14839871</v>
      </c>
      <c r="Z47" s="328">
        <v>14839871</v>
      </c>
      <c r="AA47" s="328">
        <v>14797171</v>
      </c>
    </row>
    <row r="48" spans="1:27" ht="22.5" x14ac:dyDescent="0.25">
      <c r="A48" s="49" t="s">
        <v>1557</v>
      </c>
      <c r="B48" s="326" t="s">
        <v>1558</v>
      </c>
      <c r="C48" s="327" t="s">
        <v>1644</v>
      </c>
      <c r="D48" s="49" t="s">
        <v>460</v>
      </c>
      <c r="E48" s="49" t="s">
        <v>461</v>
      </c>
      <c r="F48" s="49" t="s">
        <v>463</v>
      </c>
      <c r="G48" s="49" t="s">
        <v>454</v>
      </c>
      <c r="H48" s="49" t="s">
        <v>454</v>
      </c>
      <c r="I48" s="49" t="s">
        <v>552</v>
      </c>
      <c r="J48" s="49"/>
      <c r="K48" s="49"/>
      <c r="L48" s="49" t="s">
        <v>442</v>
      </c>
      <c r="M48" s="49" t="s">
        <v>441</v>
      </c>
      <c r="N48" s="49" t="s">
        <v>440</v>
      </c>
      <c r="O48" s="649" t="s">
        <v>1645</v>
      </c>
      <c r="P48" s="328">
        <v>0</v>
      </c>
      <c r="Q48" s="328">
        <v>200000</v>
      </c>
      <c r="R48" s="328">
        <v>0</v>
      </c>
      <c r="S48" s="648">
        <v>200000</v>
      </c>
      <c r="T48" s="328">
        <v>0</v>
      </c>
      <c r="U48" s="328">
        <v>105520</v>
      </c>
      <c r="V48" s="328">
        <v>94480</v>
      </c>
      <c r="W48" s="328">
        <v>105520</v>
      </c>
      <c r="X48" s="646">
        <f t="shared" si="1"/>
        <v>94480</v>
      </c>
      <c r="Y48" s="328">
        <v>105520</v>
      </c>
      <c r="Z48" s="328">
        <v>105520</v>
      </c>
      <c r="AA48" s="328">
        <v>105520</v>
      </c>
    </row>
    <row r="49" spans="1:27" ht="22.5" x14ac:dyDescent="0.25">
      <c r="A49" s="49" t="s">
        <v>1557</v>
      </c>
      <c r="B49" s="326" t="s">
        <v>1558</v>
      </c>
      <c r="C49" s="327" t="s">
        <v>1646</v>
      </c>
      <c r="D49" s="49" t="s">
        <v>460</v>
      </c>
      <c r="E49" s="49" t="s">
        <v>461</v>
      </c>
      <c r="F49" s="49" t="s">
        <v>463</v>
      </c>
      <c r="G49" s="49" t="s">
        <v>454</v>
      </c>
      <c r="H49" s="49" t="s">
        <v>454</v>
      </c>
      <c r="I49" s="49" t="s">
        <v>548</v>
      </c>
      <c r="J49" s="49"/>
      <c r="K49" s="49"/>
      <c r="L49" s="49" t="s">
        <v>442</v>
      </c>
      <c r="M49" s="49" t="s">
        <v>441</v>
      </c>
      <c r="N49" s="49" t="s">
        <v>440</v>
      </c>
      <c r="O49" s="649" t="s">
        <v>520</v>
      </c>
      <c r="P49" s="328">
        <v>20000000</v>
      </c>
      <c r="Q49" s="328">
        <v>0</v>
      </c>
      <c r="R49" s="328">
        <v>9450000</v>
      </c>
      <c r="S49" s="648">
        <v>10550000</v>
      </c>
      <c r="T49" s="328">
        <v>0</v>
      </c>
      <c r="U49" s="328">
        <v>7151731</v>
      </c>
      <c r="V49" s="328">
        <v>3398269</v>
      </c>
      <c r="W49" s="328">
        <v>6813682</v>
      </c>
      <c r="X49" s="646">
        <f t="shared" si="1"/>
        <v>3736318</v>
      </c>
      <c r="Y49" s="328">
        <v>6813682</v>
      </c>
      <c r="Z49" s="328">
        <v>6813682</v>
      </c>
      <c r="AA49" s="328">
        <v>6450732</v>
      </c>
    </row>
    <row r="50" spans="1:27" ht="22.5" x14ac:dyDescent="0.25">
      <c r="A50" s="49" t="s">
        <v>1557</v>
      </c>
      <c r="B50" s="326" t="s">
        <v>1558</v>
      </c>
      <c r="C50" s="327" t="s">
        <v>1647</v>
      </c>
      <c r="D50" s="49" t="s">
        <v>460</v>
      </c>
      <c r="E50" s="49" t="s">
        <v>461</v>
      </c>
      <c r="F50" s="49" t="s">
        <v>463</v>
      </c>
      <c r="G50" s="49" t="s">
        <v>454</v>
      </c>
      <c r="H50" s="49" t="s">
        <v>450</v>
      </c>
      <c r="I50" s="49" t="s">
        <v>443</v>
      </c>
      <c r="J50" s="49"/>
      <c r="K50" s="49"/>
      <c r="L50" s="49" t="s">
        <v>442</v>
      </c>
      <c r="M50" s="49" t="s">
        <v>441</v>
      </c>
      <c r="N50" s="49" t="s">
        <v>440</v>
      </c>
      <c r="O50" s="649" t="s">
        <v>1091</v>
      </c>
      <c r="P50" s="328">
        <v>13397880</v>
      </c>
      <c r="Q50" s="328">
        <v>165152294</v>
      </c>
      <c r="R50" s="328">
        <v>1500000</v>
      </c>
      <c r="S50" s="648">
        <v>177050174</v>
      </c>
      <c r="T50" s="328">
        <v>0</v>
      </c>
      <c r="U50" s="328">
        <v>155512248</v>
      </c>
      <c r="V50" s="328">
        <v>21537926</v>
      </c>
      <c r="W50" s="328">
        <v>14369927</v>
      </c>
      <c r="X50" s="646">
        <f t="shared" si="1"/>
        <v>162680247</v>
      </c>
      <c r="Y50" s="328">
        <v>6666585.4000000004</v>
      </c>
      <c r="Z50" s="328">
        <v>6666585.4000000004</v>
      </c>
      <c r="AA50" s="328">
        <v>6450885.4000000004</v>
      </c>
    </row>
    <row r="51" spans="1:27" ht="22.5" x14ac:dyDescent="0.25">
      <c r="A51" s="49" t="s">
        <v>1557</v>
      </c>
      <c r="B51" s="326" t="s">
        <v>1558</v>
      </c>
      <c r="C51" s="327" t="s">
        <v>1648</v>
      </c>
      <c r="D51" s="49" t="s">
        <v>460</v>
      </c>
      <c r="E51" s="49" t="s">
        <v>461</v>
      </c>
      <c r="F51" s="49" t="s">
        <v>463</v>
      </c>
      <c r="G51" s="49" t="s">
        <v>454</v>
      </c>
      <c r="H51" s="49" t="s">
        <v>450</v>
      </c>
      <c r="I51" s="49" t="s">
        <v>461</v>
      </c>
      <c r="J51" s="49"/>
      <c r="K51" s="49"/>
      <c r="L51" s="49" t="s">
        <v>442</v>
      </c>
      <c r="M51" s="49" t="s">
        <v>441</v>
      </c>
      <c r="N51" s="49" t="s">
        <v>440</v>
      </c>
      <c r="O51" s="649" t="s">
        <v>1649</v>
      </c>
      <c r="P51" s="328">
        <v>8580000</v>
      </c>
      <c r="Q51" s="328">
        <v>4220000</v>
      </c>
      <c r="R51" s="328">
        <v>200000</v>
      </c>
      <c r="S51" s="648">
        <v>12600000</v>
      </c>
      <c r="T51" s="328">
        <v>0</v>
      </c>
      <c r="U51" s="328">
        <v>11353180</v>
      </c>
      <c r="V51" s="328">
        <v>1246820</v>
      </c>
      <c r="W51" s="328">
        <v>10078643</v>
      </c>
      <c r="X51" s="646">
        <f t="shared" si="1"/>
        <v>2521357</v>
      </c>
      <c r="Y51" s="328">
        <v>2473180</v>
      </c>
      <c r="Z51" s="328">
        <v>2473180</v>
      </c>
      <c r="AA51" s="328">
        <v>2417500</v>
      </c>
    </row>
    <row r="52" spans="1:27" ht="33.75" x14ac:dyDescent="0.25">
      <c r="A52" s="49" t="s">
        <v>1557</v>
      </c>
      <c r="B52" s="326" t="s">
        <v>1558</v>
      </c>
      <c r="C52" s="327" t="s">
        <v>1650</v>
      </c>
      <c r="D52" s="49" t="s">
        <v>460</v>
      </c>
      <c r="E52" s="49" t="s">
        <v>461</v>
      </c>
      <c r="F52" s="49" t="s">
        <v>463</v>
      </c>
      <c r="G52" s="49" t="s">
        <v>454</v>
      </c>
      <c r="H52" s="49" t="s">
        <v>450</v>
      </c>
      <c r="I52" s="49" t="s">
        <v>450</v>
      </c>
      <c r="J52" s="49"/>
      <c r="K52" s="49"/>
      <c r="L52" s="49" t="s">
        <v>442</v>
      </c>
      <c r="M52" s="49" t="s">
        <v>441</v>
      </c>
      <c r="N52" s="49" t="s">
        <v>440</v>
      </c>
      <c r="O52" s="649" t="s">
        <v>1651</v>
      </c>
      <c r="P52" s="328">
        <v>121826026</v>
      </c>
      <c r="Q52" s="328">
        <v>279246446</v>
      </c>
      <c r="R52" s="328">
        <v>91440472</v>
      </c>
      <c r="S52" s="648">
        <v>309632000</v>
      </c>
      <c r="T52" s="328">
        <v>0</v>
      </c>
      <c r="U52" s="328">
        <v>271306127</v>
      </c>
      <c r="V52" s="328">
        <v>38325873</v>
      </c>
      <c r="W52" s="328">
        <v>271066127</v>
      </c>
      <c r="X52" s="646">
        <f t="shared" si="1"/>
        <v>38565873</v>
      </c>
      <c r="Y52" s="328">
        <v>25188280</v>
      </c>
      <c r="Z52" s="328">
        <v>25188280</v>
      </c>
      <c r="AA52" s="328">
        <v>25188280</v>
      </c>
    </row>
    <row r="53" spans="1:27" ht="22.5" x14ac:dyDescent="0.25">
      <c r="A53" s="49" t="s">
        <v>1557</v>
      </c>
      <c r="B53" s="326" t="s">
        <v>1558</v>
      </c>
      <c r="C53" s="327" t="s">
        <v>1652</v>
      </c>
      <c r="D53" s="49" t="s">
        <v>460</v>
      </c>
      <c r="E53" s="49" t="s">
        <v>461</v>
      </c>
      <c r="F53" s="49" t="s">
        <v>463</v>
      </c>
      <c r="G53" s="49" t="s">
        <v>454</v>
      </c>
      <c r="H53" s="49" t="s">
        <v>450</v>
      </c>
      <c r="I53" s="49" t="s">
        <v>459</v>
      </c>
      <c r="J53" s="49"/>
      <c r="K53" s="49"/>
      <c r="L53" s="49" t="s">
        <v>442</v>
      </c>
      <c r="M53" s="49" t="s">
        <v>441</v>
      </c>
      <c r="N53" s="49" t="s">
        <v>440</v>
      </c>
      <c r="O53" s="649" t="s">
        <v>1653</v>
      </c>
      <c r="P53" s="328">
        <v>15193282</v>
      </c>
      <c r="Q53" s="328">
        <v>0</v>
      </c>
      <c r="R53" s="328">
        <v>0</v>
      </c>
      <c r="S53" s="648">
        <v>15193282</v>
      </c>
      <c r="T53" s="328">
        <v>0</v>
      </c>
      <c r="U53" s="328">
        <v>15193282</v>
      </c>
      <c r="V53" s="328">
        <v>0</v>
      </c>
      <c r="W53" s="328">
        <v>15193282</v>
      </c>
      <c r="X53" s="646">
        <f t="shared" si="1"/>
        <v>0</v>
      </c>
      <c r="Y53" s="328">
        <v>8944324</v>
      </c>
      <c r="Z53" s="328">
        <v>8944324</v>
      </c>
      <c r="AA53" s="328">
        <v>8944324</v>
      </c>
    </row>
    <row r="54" spans="1:27" ht="22.5" x14ac:dyDescent="0.25">
      <c r="A54" s="49" t="s">
        <v>1557</v>
      </c>
      <c r="B54" s="326" t="s">
        <v>1558</v>
      </c>
      <c r="C54" s="327" t="s">
        <v>1654</v>
      </c>
      <c r="D54" s="49" t="s">
        <v>460</v>
      </c>
      <c r="E54" s="49" t="s">
        <v>461</v>
      </c>
      <c r="F54" s="49" t="s">
        <v>463</v>
      </c>
      <c r="G54" s="49" t="s">
        <v>454</v>
      </c>
      <c r="H54" s="49" t="s">
        <v>450</v>
      </c>
      <c r="I54" s="49" t="s">
        <v>544</v>
      </c>
      <c r="J54" s="49"/>
      <c r="K54" s="49"/>
      <c r="L54" s="49" t="s">
        <v>442</v>
      </c>
      <c r="M54" s="49" t="s">
        <v>441</v>
      </c>
      <c r="N54" s="49" t="s">
        <v>440</v>
      </c>
      <c r="O54" s="649" t="s">
        <v>523</v>
      </c>
      <c r="P54" s="328">
        <v>84311558.5</v>
      </c>
      <c r="Q54" s="328">
        <v>93900000</v>
      </c>
      <c r="R54" s="328">
        <v>0</v>
      </c>
      <c r="S54" s="648">
        <v>178211558.5</v>
      </c>
      <c r="T54" s="328">
        <v>0</v>
      </c>
      <c r="U54" s="328">
        <v>178168951.03</v>
      </c>
      <c r="V54" s="328">
        <v>42607.47</v>
      </c>
      <c r="W54" s="328">
        <v>81943741.030000001</v>
      </c>
      <c r="X54" s="646">
        <f t="shared" si="1"/>
        <v>96267817.469999999</v>
      </c>
      <c r="Y54" s="328">
        <v>58947439</v>
      </c>
      <c r="Z54" s="328">
        <v>47449288</v>
      </c>
      <c r="AA54" s="328">
        <v>47449288</v>
      </c>
    </row>
    <row r="55" spans="1:27" ht="22.5" x14ac:dyDescent="0.25">
      <c r="A55" s="49" t="s">
        <v>1557</v>
      </c>
      <c r="B55" s="326" t="s">
        <v>1558</v>
      </c>
      <c r="C55" s="327" t="s">
        <v>1655</v>
      </c>
      <c r="D55" s="49" t="s">
        <v>460</v>
      </c>
      <c r="E55" s="49" t="s">
        <v>461</v>
      </c>
      <c r="F55" s="49" t="s">
        <v>463</v>
      </c>
      <c r="G55" s="49" t="s">
        <v>454</v>
      </c>
      <c r="H55" s="49" t="s">
        <v>450</v>
      </c>
      <c r="I55" s="49" t="s">
        <v>441</v>
      </c>
      <c r="J55" s="49"/>
      <c r="K55" s="49"/>
      <c r="L55" s="49" t="s">
        <v>442</v>
      </c>
      <c r="M55" s="49" t="s">
        <v>441</v>
      </c>
      <c r="N55" s="49" t="s">
        <v>440</v>
      </c>
      <c r="O55" s="649" t="s">
        <v>492</v>
      </c>
      <c r="P55" s="328">
        <v>203120528.22999999</v>
      </c>
      <c r="Q55" s="328">
        <v>0</v>
      </c>
      <c r="R55" s="328">
        <v>0</v>
      </c>
      <c r="S55" s="648">
        <v>203120528.22999999</v>
      </c>
      <c r="T55" s="328">
        <v>0</v>
      </c>
      <c r="U55" s="328">
        <v>203120528.22999999</v>
      </c>
      <c r="V55" s="328">
        <v>0</v>
      </c>
      <c r="W55" s="328">
        <v>203120528.22999999</v>
      </c>
      <c r="X55" s="646">
        <f t="shared" si="1"/>
        <v>0</v>
      </c>
      <c r="Y55" s="328">
        <v>100835884</v>
      </c>
      <c r="Z55" s="328">
        <v>86256658</v>
      </c>
      <c r="AA55" s="328">
        <v>86256658</v>
      </c>
    </row>
    <row r="56" spans="1:27" ht="22.5" x14ac:dyDescent="0.25">
      <c r="A56" s="49" t="s">
        <v>1557</v>
      </c>
      <c r="B56" s="326" t="s">
        <v>1558</v>
      </c>
      <c r="C56" s="327" t="s">
        <v>1656</v>
      </c>
      <c r="D56" s="49" t="s">
        <v>460</v>
      </c>
      <c r="E56" s="49" t="s">
        <v>461</v>
      </c>
      <c r="F56" s="49" t="s">
        <v>463</v>
      </c>
      <c r="G56" s="49" t="s">
        <v>454</v>
      </c>
      <c r="H56" s="49" t="s">
        <v>450</v>
      </c>
      <c r="I56" s="49" t="s">
        <v>549</v>
      </c>
      <c r="J56" s="49"/>
      <c r="K56" s="49"/>
      <c r="L56" s="49" t="s">
        <v>442</v>
      </c>
      <c r="M56" s="49" t="s">
        <v>441</v>
      </c>
      <c r="N56" s="49" t="s">
        <v>440</v>
      </c>
      <c r="O56" s="649" t="s">
        <v>493</v>
      </c>
      <c r="P56" s="328">
        <v>4000000</v>
      </c>
      <c r="Q56" s="328">
        <v>300000</v>
      </c>
      <c r="R56" s="328">
        <v>2280000</v>
      </c>
      <c r="S56" s="648">
        <v>2020000</v>
      </c>
      <c r="T56" s="328">
        <v>0</v>
      </c>
      <c r="U56" s="328">
        <v>1851380</v>
      </c>
      <c r="V56" s="328">
        <v>168620</v>
      </c>
      <c r="W56" s="328">
        <v>1851380</v>
      </c>
      <c r="X56" s="646">
        <f t="shared" si="1"/>
        <v>168620</v>
      </c>
      <c r="Y56" s="328">
        <v>1851380</v>
      </c>
      <c r="Z56" s="328">
        <v>1851380</v>
      </c>
      <c r="AA56" s="328">
        <v>1801880</v>
      </c>
    </row>
    <row r="57" spans="1:27" ht="22.5" x14ac:dyDescent="0.25">
      <c r="A57" s="49" t="s">
        <v>1557</v>
      </c>
      <c r="B57" s="326" t="s">
        <v>1558</v>
      </c>
      <c r="C57" s="327" t="s">
        <v>1657</v>
      </c>
      <c r="D57" s="49" t="s">
        <v>460</v>
      </c>
      <c r="E57" s="49" t="s">
        <v>461</v>
      </c>
      <c r="F57" s="49" t="s">
        <v>463</v>
      </c>
      <c r="G57" s="49" t="s">
        <v>454</v>
      </c>
      <c r="H57" s="49" t="s">
        <v>459</v>
      </c>
      <c r="I57" s="49" t="s">
        <v>461</v>
      </c>
      <c r="J57" s="49"/>
      <c r="K57" s="49"/>
      <c r="L57" s="49" t="s">
        <v>442</v>
      </c>
      <c r="M57" s="49" t="s">
        <v>441</v>
      </c>
      <c r="N57" s="49" t="s">
        <v>440</v>
      </c>
      <c r="O57" s="649" t="s">
        <v>494</v>
      </c>
      <c r="P57" s="328">
        <v>109593030</v>
      </c>
      <c r="Q57" s="328">
        <v>8556970</v>
      </c>
      <c r="R57" s="328">
        <v>8150000</v>
      </c>
      <c r="S57" s="648">
        <v>110000000</v>
      </c>
      <c r="T57" s="328">
        <v>0</v>
      </c>
      <c r="U57" s="328">
        <v>80913644</v>
      </c>
      <c r="V57" s="328">
        <v>29086356</v>
      </c>
      <c r="W57" s="328">
        <v>80913644</v>
      </c>
      <c r="X57" s="646">
        <f t="shared" si="1"/>
        <v>29086356</v>
      </c>
      <c r="Y57" s="328">
        <v>42804079</v>
      </c>
      <c r="Z57" s="328">
        <v>33526906</v>
      </c>
      <c r="AA57" s="328">
        <v>33393906</v>
      </c>
    </row>
    <row r="58" spans="1:27" ht="22.5" x14ac:dyDescent="0.25">
      <c r="A58" s="49" t="s">
        <v>1557</v>
      </c>
      <c r="B58" s="326" t="s">
        <v>1558</v>
      </c>
      <c r="C58" s="327" t="s">
        <v>1658</v>
      </c>
      <c r="D58" s="49" t="s">
        <v>460</v>
      </c>
      <c r="E58" s="49" t="s">
        <v>461</v>
      </c>
      <c r="F58" s="49" t="s">
        <v>463</v>
      </c>
      <c r="G58" s="49" t="s">
        <v>454</v>
      </c>
      <c r="H58" s="49" t="s">
        <v>459</v>
      </c>
      <c r="I58" s="49" t="s">
        <v>450</v>
      </c>
      <c r="J58" s="49"/>
      <c r="K58" s="49"/>
      <c r="L58" s="49" t="s">
        <v>442</v>
      </c>
      <c r="M58" s="49" t="s">
        <v>441</v>
      </c>
      <c r="N58" s="49" t="s">
        <v>440</v>
      </c>
      <c r="O58" s="649" t="s">
        <v>495</v>
      </c>
      <c r="P58" s="328">
        <v>627802145.26999998</v>
      </c>
      <c r="Q58" s="328">
        <v>391320000</v>
      </c>
      <c r="R58" s="328">
        <v>0</v>
      </c>
      <c r="S58" s="648">
        <v>1019122145.27</v>
      </c>
      <c r="T58" s="328">
        <v>0</v>
      </c>
      <c r="U58" s="328">
        <v>628266144.33000004</v>
      </c>
      <c r="V58" s="328">
        <v>390856000.94</v>
      </c>
      <c r="W58" s="328">
        <v>625673528.33000004</v>
      </c>
      <c r="X58" s="646">
        <f t="shared" si="1"/>
        <v>393448616.93999994</v>
      </c>
      <c r="Y58" s="328">
        <v>182733518</v>
      </c>
      <c r="Z58" s="328">
        <v>112433856</v>
      </c>
      <c r="AA58" s="328">
        <v>112433856</v>
      </c>
    </row>
    <row r="59" spans="1:27" ht="22.5" x14ac:dyDescent="0.25">
      <c r="A59" s="49" t="s">
        <v>1557</v>
      </c>
      <c r="B59" s="326" t="s">
        <v>1558</v>
      </c>
      <c r="C59" s="327" t="s">
        <v>1659</v>
      </c>
      <c r="D59" s="49" t="s">
        <v>460</v>
      </c>
      <c r="E59" s="49" t="s">
        <v>461</v>
      </c>
      <c r="F59" s="49" t="s">
        <v>463</v>
      </c>
      <c r="G59" s="49" t="s">
        <v>454</v>
      </c>
      <c r="H59" s="49" t="s">
        <v>459</v>
      </c>
      <c r="I59" s="49" t="s">
        <v>550</v>
      </c>
      <c r="J59" s="49"/>
      <c r="K59" s="49"/>
      <c r="L59" s="49" t="s">
        <v>442</v>
      </c>
      <c r="M59" s="49" t="s">
        <v>441</v>
      </c>
      <c r="N59" s="49" t="s">
        <v>440</v>
      </c>
      <c r="O59" s="649" t="s">
        <v>496</v>
      </c>
      <c r="P59" s="328">
        <v>0</v>
      </c>
      <c r="Q59" s="328">
        <v>2400000</v>
      </c>
      <c r="R59" s="328">
        <v>0</v>
      </c>
      <c r="S59" s="648">
        <v>2400000</v>
      </c>
      <c r="T59" s="328">
        <v>0</v>
      </c>
      <c r="U59" s="328">
        <v>1671400</v>
      </c>
      <c r="V59" s="328">
        <v>728600</v>
      </c>
      <c r="W59" s="328">
        <v>1671400</v>
      </c>
      <c r="X59" s="646">
        <f t="shared" si="1"/>
        <v>728600</v>
      </c>
      <c r="Y59" s="328">
        <v>1671400</v>
      </c>
      <c r="Z59" s="328">
        <v>1671400</v>
      </c>
      <c r="AA59" s="328">
        <v>1533000</v>
      </c>
    </row>
    <row r="60" spans="1:27" ht="22.5" x14ac:dyDescent="0.25">
      <c r="A60" s="49" t="s">
        <v>1557</v>
      </c>
      <c r="B60" s="326" t="s">
        <v>1558</v>
      </c>
      <c r="C60" s="327" t="s">
        <v>1660</v>
      </c>
      <c r="D60" s="49" t="s">
        <v>460</v>
      </c>
      <c r="E60" s="49" t="s">
        <v>461</v>
      </c>
      <c r="F60" s="49" t="s">
        <v>463</v>
      </c>
      <c r="G60" s="49" t="s">
        <v>454</v>
      </c>
      <c r="H60" s="49" t="s">
        <v>459</v>
      </c>
      <c r="I60" s="49" t="s">
        <v>544</v>
      </c>
      <c r="J60" s="49"/>
      <c r="K60" s="49"/>
      <c r="L60" s="49" t="s">
        <v>442</v>
      </c>
      <c r="M60" s="49" t="s">
        <v>441</v>
      </c>
      <c r="N60" s="49" t="s">
        <v>440</v>
      </c>
      <c r="O60" s="649" t="s">
        <v>1661</v>
      </c>
      <c r="P60" s="328">
        <v>7800000</v>
      </c>
      <c r="Q60" s="328">
        <v>0</v>
      </c>
      <c r="R60" s="328">
        <v>2000000</v>
      </c>
      <c r="S60" s="648">
        <v>5800000</v>
      </c>
      <c r="T60" s="328">
        <v>0</v>
      </c>
      <c r="U60" s="328">
        <v>4555651</v>
      </c>
      <c r="V60" s="328">
        <v>1244349</v>
      </c>
      <c r="W60" s="328">
        <v>4100000</v>
      </c>
      <c r="X60" s="646">
        <f t="shared" si="1"/>
        <v>1700000</v>
      </c>
      <c r="Y60" s="328">
        <v>2540000</v>
      </c>
      <c r="Z60" s="328">
        <v>2540000</v>
      </c>
      <c r="AA60" s="328">
        <v>2540000</v>
      </c>
    </row>
    <row r="61" spans="1:27" ht="22.5" x14ac:dyDescent="0.25">
      <c r="A61" s="49" t="s">
        <v>1557</v>
      </c>
      <c r="B61" s="326" t="s">
        <v>1558</v>
      </c>
      <c r="C61" s="327" t="s">
        <v>1662</v>
      </c>
      <c r="D61" s="49" t="s">
        <v>460</v>
      </c>
      <c r="E61" s="49" t="s">
        <v>461</v>
      </c>
      <c r="F61" s="49" t="s">
        <v>463</v>
      </c>
      <c r="G61" s="49" t="s">
        <v>454</v>
      </c>
      <c r="H61" s="49" t="s">
        <v>550</v>
      </c>
      <c r="I61" s="49" t="s">
        <v>443</v>
      </c>
      <c r="J61" s="49"/>
      <c r="K61" s="49"/>
      <c r="L61" s="49" t="s">
        <v>442</v>
      </c>
      <c r="M61" s="49" t="s">
        <v>441</v>
      </c>
      <c r="N61" s="49" t="s">
        <v>440</v>
      </c>
      <c r="O61" s="649" t="s">
        <v>560</v>
      </c>
      <c r="P61" s="328">
        <v>0</v>
      </c>
      <c r="Q61" s="328">
        <v>1000</v>
      </c>
      <c r="R61" s="328">
        <v>0</v>
      </c>
      <c r="S61" s="648">
        <v>1000</v>
      </c>
      <c r="T61" s="328">
        <v>0</v>
      </c>
      <c r="U61" s="328">
        <v>0</v>
      </c>
      <c r="V61" s="328">
        <v>1000</v>
      </c>
      <c r="W61" s="328">
        <v>0</v>
      </c>
      <c r="X61" s="646">
        <f t="shared" si="1"/>
        <v>1000</v>
      </c>
      <c r="Y61" s="328">
        <v>0</v>
      </c>
      <c r="Z61" s="328">
        <v>0</v>
      </c>
      <c r="AA61" s="328">
        <v>0</v>
      </c>
    </row>
    <row r="62" spans="1:27" ht="33.75" x14ac:dyDescent="0.25">
      <c r="A62" s="49" t="s">
        <v>1557</v>
      </c>
      <c r="B62" s="326" t="s">
        <v>1558</v>
      </c>
      <c r="C62" s="327" t="s">
        <v>1663</v>
      </c>
      <c r="D62" s="49" t="s">
        <v>460</v>
      </c>
      <c r="E62" s="49" t="s">
        <v>461</v>
      </c>
      <c r="F62" s="49" t="s">
        <v>463</v>
      </c>
      <c r="G62" s="49" t="s">
        <v>454</v>
      </c>
      <c r="H62" s="49" t="s">
        <v>550</v>
      </c>
      <c r="I62" s="49" t="s">
        <v>458</v>
      </c>
      <c r="J62" s="49"/>
      <c r="K62" s="49"/>
      <c r="L62" s="49" t="s">
        <v>442</v>
      </c>
      <c r="M62" s="49" t="s">
        <v>441</v>
      </c>
      <c r="N62" s="49" t="s">
        <v>440</v>
      </c>
      <c r="O62" s="649" t="s">
        <v>559</v>
      </c>
      <c r="P62" s="328">
        <v>0</v>
      </c>
      <c r="Q62" s="328">
        <v>200000</v>
      </c>
      <c r="R62" s="328">
        <v>200000</v>
      </c>
      <c r="S62" s="648">
        <v>0</v>
      </c>
      <c r="T62" s="328">
        <v>0</v>
      </c>
      <c r="U62" s="328">
        <v>0</v>
      </c>
      <c r="V62" s="328">
        <v>0</v>
      </c>
      <c r="W62" s="328">
        <v>0</v>
      </c>
      <c r="X62" s="646">
        <f t="shared" si="1"/>
        <v>0</v>
      </c>
      <c r="Y62" s="328">
        <v>0</v>
      </c>
      <c r="Z62" s="328">
        <v>0</v>
      </c>
      <c r="AA62" s="328">
        <v>0</v>
      </c>
    </row>
    <row r="63" spans="1:27" ht="22.5" x14ac:dyDescent="0.25">
      <c r="A63" s="49" t="s">
        <v>1557</v>
      </c>
      <c r="B63" s="326" t="s">
        <v>1558</v>
      </c>
      <c r="C63" s="327" t="s">
        <v>1664</v>
      </c>
      <c r="D63" s="49" t="s">
        <v>460</v>
      </c>
      <c r="E63" s="49" t="s">
        <v>461</v>
      </c>
      <c r="F63" s="49" t="s">
        <v>463</v>
      </c>
      <c r="G63" s="49" t="s">
        <v>454</v>
      </c>
      <c r="H63" s="49" t="s">
        <v>550</v>
      </c>
      <c r="I63" s="49" t="s">
        <v>450</v>
      </c>
      <c r="J63" s="49"/>
      <c r="K63" s="49"/>
      <c r="L63" s="49" t="s">
        <v>442</v>
      </c>
      <c r="M63" s="49" t="s">
        <v>441</v>
      </c>
      <c r="N63" s="49" t="s">
        <v>440</v>
      </c>
      <c r="O63" s="649" t="s">
        <v>498</v>
      </c>
      <c r="P63" s="328">
        <v>5217150</v>
      </c>
      <c r="Q63" s="328">
        <v>0</v>
      </c>
      <c r="R63" s="328">
        <v>5217150</v>
      </c>
      <c r="S63" s="648">
        <v>0</v>
      </c>
      <c r="T63" s="328">
        <v>0</v>
      </c>
      <c r="U63" s="328">
        <v>0</v>
      </c>
      <c r="V63" s="328">
        <v>0</v>
      </c>
      <c r="W63" s="328">
        <v>0</v>
      </c>
      <c r="X63" s="646">
        <f t="shared" si="1"/>
        <v>0</v>
      </c>
      <c r="Y63" s="328">
        <v>0</v>
      </c>
      <c r="Z63" s="328">
        <v>0</v>
      </c>
      <c r="AA63" s="328">
        <v>0</v>
      </c>
    </row>
    <row r="64" spans="1:27" ht="22.5" x14ac:dyDescent="0.25">
      <c r="A64" s="49" t="s">
        <v>1557</v>
      </c>
      <c r="B64" s="326" t="s">
        <v>1558</v>
      </c>
      <c r="C64" s="327" t="s">
        <v>1665</v>
      </c>
      <c r="D64" s="49" t="s">
        <v>460</v>
      </c>
      <c r="E64" s="49" t="s">
        <v>461</v>
      </c>
      <c r="F64" s="49" t="s">
        <v>463</v>
      </c>
      <c r="G64" s="49" t="s">
        <v>454</v>
      </c>
      <c r="H64" s="49" t="s">
        <v>550</v>
      </c>
      <c r="I64" s="49" t="s">
        <v>459</v>
      </c>
      <c r="J64" s="49"/>
      <c r="K64" s="49"/>
      <c r="L64" s="49" t="s">
        <v>442</v>
      </c>
      <c r="M64" s="49" t="s">
        <v>441</v>
      </c>
      <c r="N64" s="49" t="s">
        <v>440</v>
      </c>
      <c r="O64" s="649" t="s">
        <v>1666</v>
      </c>
      <c r="P64" s="328">
        <v>3600000</v>
      </c>
      <c r="Q64" s="328">
        <v>5417150</v>
      </c>
      <c r="R64" s="328">
        <v>201000</v>
      </c>
      <c r="S64" s="648">
        <v>8816150</v>
      </c>
      <c r="T64" s="328">
        <v>0</v>
      </c>
      <c r="U64" s="328">
        <v>8470734</v>
      </c>
      <c r="V64" s="328">
        <v>345416</v>
      </c>
      <c r="W64" s="328">
        <v>3991268</v>
      </c>
      <c r="X64" s="646">
        <f t="shared" si="1"/>
        <v>4824882</v>
      </c>
      <c r="Y64" s="328">
        <v>2031268</v>
      </c>
      <c r="Z64" s="328">
        <v>2031268</v>
      </c>
      <c r="AA64" s="328">
        <v>1654967</v>
      </c>
    </row>
    <row r="65" spans="1:27" ht="22.5" x14ac:dyDescent="0.25">
      <c r="A65" s="49" t="s">
        <v>1557</v>
      </c>
      <c r="B65" s="326" t="s">
        <v>1558</v>
      </c>
      <c r="C65" s="327" t="s">
        <v>1667</v>
      </c>
      <c r="D65" s="49" t="s">
        <v>460</v>
      </c>
      <c r="E65" s="49" t="s">
        <v>461</v>
      </c>
      <c r="F65" s="49" t="s">
        <v>463</v>
      </c>
      <c r="G65" s="49" t="s">
        <v>454</v>
      </c>
      <c r="H65" s="49" t="s">
        <v>544</v>
      </c>
      <c r="I65" s="49" t="s">
        <v>443</v>
      </c>
      <c r="J65" s="49"/>
      <c r="K65" s="49"/>
      <c r="L65" s="49" t="s">
        <v>442</v>
      </c>
      <c r="M65" s="49" t="s">
        <v>441</v>
      </c>
      <c r="N65" s="49" t="s">
        <v>440</v>
      </c>
      <c r="O65" s="649" t="s">
        <v>500</v>
      </c>
      <c r="P65" s="328">
        <v>10200000</v>
      </c>
      <c r="Q65" s="328">
        <v>0</v>
      </c>
      <c r="R65" s="328">
        <v>0</v>
      </c>
      <c r="S65" s="648">
        <v>10200000</v>
      </c>
      <c r="T65" s="328">
        <v>0</v>
      </c>
      <c r="U65" s="328">
        <v>10200000</v>
      </c>
      <c r="V65" s="328">
        <v>0</v>
      </c>
      <c r="W65" s="328">
        <v>4226068</v>
      </c>
      <c r="X65" s="646">
        <f t="shared" si="1"/>
        <v>5973932</v>
      </c>
      <c r="Y65" s="328">
        <v>4226068</v>
      </c>
      <c r="Z65" s="328">
        <v>4226068</v>
      </c>
      <c r="AA65" s="328">
        <v>4226068</v>
      </c>
    </row>
    <row r="66" spans="1:27" ht="22.5" x14ac:dyDescent="0.25">
      <c r="A66" s="49" t="s">
        <v>1557</v>
      </c>
      <c r="B66" s="326" t="s">
        <v>1558</v>
      </c>
      <c r="C66" s="327" t="s">
        <v>1668</v>
      </c>
      <c r="D66" s="49" t="s">
        <v>460</v>
      </c>
      <c r="E66" s="49" t="s">
        <v>461</v>
      </c>
      <c r="F66" s="49" t="s">
        <v>463</v>
      </c>
      <c r="G66" s="49" t="s">
        <v>454</v>
      </c>
      <c r="H66" s="49" t="s">
        <v>544</v>
      </c>
      <c r="I66" s="49" t="s">
        <v>461</v>
      </c>
      <c r="J66" s="49"/>
      <c r="K66" s="49"/>
      <c r="L66" s="49" t="s">
        <v>442</v>
      </c>
      <c r="M66" s="49" t="s">
        <v>441</v>
      </c>
      <c r="N66" s="49" t="s">
        <v>440</v>
      </c>
      <c r="O66" s="649" t="s">
        <v>1669</v>
      </c>
      <c r="P66" s="328">
        <v>99000000</v>
      </c>
      <c r="Q66" s="328">
        <v>0</v>
      </c>
      <c r="R66" s="328">
        <v>0</v>
      </c>
      <c r="S66" s="648">
        <v>99000000</v>
      </c>
      <c r="T66" s="328">
        <v>0</v>
      </c>
      <c r="U66" s="328">
        <v>99000000</v>
      </c>
      <c r="V66" s="328">
        <v>0</v>
      </c>
      <c r="W66" s="328">
        <v>60933341</v>
      </c>
      <c r="X66" s="646">
        <f t="shared" si="1"/>
        <v>38066659</v>
      </c>
      <c r="Y66" s="328">
        <v>60933341</v>
      </c>
      <c r="Z66" s="328">
        <v>60933341</v>
      </c>
      <c r="AA66" s="328">
        <v>60933341</v>
      </c>
    </row>
    <row r="67" spans="1:27" ht="22.5" x14ac:dyDescent="0.25">
      <c r="A67" s="49" t="s">
        <v>1557</v>
      </c>
      <c r="B67" s="326" t="s">
        <v>1558</v>
      </c>
      <c r="C67" s="327" t="s">
        <v>1670</v>
      </c>
      <c r="D67" s="49" t="s">
        <v>460</v>
      </c>
      <c r="E67" s="49" t="s">
        <v>461</v>
      </c>
      <c r="F67" s="49" t="s">
        <v>463</v>
      </c>
      <c r="G67" s="49" t="s">
        <v>454</v>
      </c>
      <c r="H67" s="49" t="s">
        <v>544</v>
      </c>
      <c r="I67" s="49" t="s">
        <v>450</v>
      </c>
      <c r="J67" s="49"/>
      <c r="K67" s="49"/>
      <c r="L67" s="49" t="s">
        <v>442</v>
      </c>
      <c r="M67" s="49" t="s">
        <v>441</v>
      </c>
      <c r="N67" s="49" t="s">
        <v>440</v>
      </c>
      <c r="O67" s="649" t="s">
        <v>1671</v>
      </c>
      <c r="P67" s="328">
        <v>25200000</v>
      </c>
      <c r="Q67" s="328">
        <v>0</v>
      </c>
      <c r="R67" s="328">
        <v>0</v>
      </c>
      <c r="S67" s="648">
        <v>25200000</v>
      </c>
      <c r="T67" s="328">
        <v>0</v>
      </c>
      <c r="U67" s="328">
        <v>25200000</v>
      </c>
      <c r="V67" s="328">
        <v>0</v>
      </c>
      <c r="W67" s="328">
        <v>10412024</v>
      </c>
      <c r="X67" s="646">
        <f t="shared" si="1"/>
        <v>14787976</v>
      </c>
      <c r="Y67" s="328">
        <v>10412024</v>
      </c>
      <c r="Z67" s="328">
        <v>10412024</v>
      </c>
      <c r="AA67" s="328">
        <v>10412024</v>
      </c>
    </row>
    <row r="68" spans="1:27" ht="22.5" x14ac:dyDescent="0.25">
      <c r="A68" s="49" t="s">
        <v>1557</v>
      </c>
      <c r="B68" s="326" t="s">
        <v>1558</v>
      </c>
      <c r="C68" s="327" t="s">
        <v>1672</v>
      </c>
      <c r="D68" s="49" t="s">
        <v>460</v>
      </c>
      <c r="E68" s="49" t="s">
        <v>461</v>
      </c>
      <c r="F68" s="49" t="s">
        <v>463</v>
      </c>
      <c r="G68" s="49" t="s">
        <v>454</v>
      </c>
      <c r="H68" s="49" t="s">
        <v>544</v>
      </c>
      <c r="I68" s="49" t="s">
        <v>459</v>
      </c>
      <c r="J68" s="49"/>
      <c r="K68" s="49"/>
      <c r="L68" s="49" t="s">
        <v>442</v>
      </c>
      <c r="M68" s="49" t="s">
        <v>441</v>
      </c>
      <c r="N68" s="49" t="s">
        <v>440</v>
      </c>
      <c r="O68" s="649" t="s">
        <v>1673</v>
      </c>
      <c r="P68" s="328">
        <v>104500000</v>
      </c>
      <c r="Q68" s="328">
        <v>0</v>
      </c>
      <c r="R68" s="328">
        <v>0</v>
      </c>
      <c r="S68" s="648">
        <v>104500000</v>
      </c>
      <c r="T68" s="328">
        <v>0</v>
      </c>
      <c r="U68" s="328">
        <v>104500000</v>
      </c>
      <c r="V68" s="328">
        <v>0</v>
      </c>
      <c r="W68" s="328">
        <v>76472802</v>
      </c>
      <c r="X68" s="646">
        <f t="shared" si="1"/>
        <v>28027198</v>
      </c>
      <c r="Y68" s="328">
        <v>76472802</v>
      </c>
      <c r="Z68" s="328">
        <v>76472802</v>
      </c>
      <c r="AA68" s="328">
        <v>66529352</v>
      </c>
    </row>
    <row r="69" spans="1:27" ht="22.5" x14ac:dyDescent="0.25">
      <c r="A69" s="49" t="s">
        <v>1557</v>
      </c>
      <c r="B69" s="326" t="s">
        <v>1558</v>
      </c>
      <c r="C69" s="327" t="s">
        <v>1674</v>
      </c>
      <c r="D69" s="49" t="s">
        <v>460</v>
      </c>
      <c r="E69" s="49" t="s">
        <v>461</v>
      </c>
      <c r="F69" s="49" t="s">
        <v>463</v>
      </c>
      <c r="G69" s="49" t="s">
        <v>454</v>
      </c>
      <c r="H69" s="49" t="s">
        <v>464</v>
      </c>
      <c r="I69" s="49" t="s">
        <v>454</v>
      </c>
      <c r="J69" s="49"/>
      <c r="K69" s="49"/>
      <c r="L69" s="49" t="s">
        <v>442</v>
      </c>
      <c r="M69" s="49" t="s">
        <v>441</v>
      </c>
      <c r="N69" s="49" t="s">
        <v>440</v>
      </c>
      <c r="O69" s="649" t="s">
        <v>1675</v>
      </c>
      <c r="P69" s="328">
        <v>9500000</v>
      </c>
      <c r="Q69" s="328">
        <v>1000000</v>
      </c>
      <c r="R69" s="328">
        <v>0</v>
      </c>
      <c r="S69" s="648">
        <v>10500000</v>
      </c>
      <c r="T69" s="328">
        <v>0</v>
      </c>
      <c r="U69" s="328">
        <v>4258305</v>
      </c>
      <c r="V69" s="328">
        <v>6241695</v>
      </c>
      <c r="W69" s="328">
        <v>4258305</v>
      </c>
      <c r="X69" s="646">
        <f t="shared" ref="X69:X100" si="2">SUM(S69-T69-W69)</f>
        <v>6241695</v>
      </c>
      <c r="Y69" s="328">
        <v>4258305</v>
      </c>
      <c r="Z69" s="328">
        <v>4258305</v>
      </c>
      <c r="AA69" s="328">
        <v>4258305</v>
      </c>
    </row>
    <row r="70" spans="1:27" ht="22.5" x14ac:dyDescent="0.25">
      <c r="A70" s="49" t="s">
        <v>1557</v>
      </c>
      <c r="B70" s="326" t="s">
        <v>1558</v>
      </c>
      <c r="C70" s="327" t="s">
        <v>1676</v>
      </c>
      <c r="D70" s="49" t="s">
        <v>460</v>
      </c>
      <c r="E70" s="49" t="s">
        <v>461</v>
      </c>
      <c r="F70" s="49" t="s">
        <v>463</v>
      </c>
      <c r="G70" s="49" t="s">
        <v>454</v>
      </c>
      <c r="H70" s="49" t="s">
        <v>464</v>
      </c>
      <c r="I70" s="49" t="s">
        <v>550</v>
      </c>
      <c r="J70" s="49"/>
      <c r="K70" s="49"/>
      <c r="L70" s="49" t="s">
        <v>442</v>
      </c>
      <c r="M70" s="49" t="s">
        <v>441</v>
      </c>
      <c r="N70" s="49" t="s">
        <v>440</v>
      </c>
      <c r="O70" s="649" t="s">
        <v>1677</v>
      </c>
      <c r="P70" s="328">
        <v>9500000</v>
      </c>
      <c r="Q70" s="328">
        <v>1200000</v>
      </c>
      <c r="R70" s="328">
        <v>0</v>
      </c>
      <c r="S70" s="648">
        <v>10700000</v>
      </c>
      <c r="T70" s="328">
        <v>0</v>
      </c>
      <c r="U70" s="328">
        <v>3856578</v>
      </c>
      <c r="V70" s="328">
        <v>6843422</v>
      </c>
      <c r="W70" s="328">
        <v>3856578</v>
      </c>
      <c r="X70" s="646">
        <f t="shared" si="2"/>
        <v>6843422</v>
      </c>
      <c r="Y70" s="328">
        <v>3856578</v>
      </c>
      <c r="Z70" s="328">
        <v>3856578</v>
      </c>
      <c r="AA70" s="328">
        <v>3856578</v>
      </c>
    </row>
    <row r="71" spans="1:27" ht="22.5" x14ac:dyDescent="0.25">
      <c r="A71" s="49" t="s">
        <v>1557</v>
      </c>
      <c r="B71" s="326" t="s">
        <v>1558</v>
      </c>
      <c r="C71" s="327" t="s">
        <v>1678</v>
      </c>
      <c r="D71" s="49" t="s">
        <v>460</v>
      </c>
      <c r="E71" s="49" t="s">
        <v>461</v>
      </c>
      <c r="F71" s="49" t="s">
        <v>463</v>
      </c>
      <c r="G71" s="49" t="s">
        <v>454</v>
      </c>
      <c r="H71" s="49" t="s">
        <v>464</v>
      </c>
      <c r="I71" s="49" t="s">
        <v>544</v>
      </c>
      <c r="J71" s="49"/>
      <c r="K71" s="49"/>
      <c r="L71" s="49" t="s">
        <v>442</v>
      </c>
      <c r="M71" s="49" t="s">
        <v>441</v>
      </c>
      <c r="N71" s="49" t="s">
        <v>440</v>
      </c>
      <c r="O71" s="649" t="s">
        <v>1679</v>
      </c>
      <c r="P71" s="328">
        <v>38500000</v>
      </c>
      <c r="Q71" s="328">
        <v>4500000</v>
      </c>
      <c r="R71" s="328">
        <v>0</v>
      </c>
      <c r="S71" s="648">
        <v>43000000</v>
      </c>
      <c r="T71" s="328">
        <v>0</v>
      </c>
      <c r="U71" s="328">
        <v>17622708</v>
      </c>
      <c r="V71" s="328">
        <v>25377292</v>
      </c>
      <c r="W71" s="328">
        <v>17622708</v>
      </c>
      <c r="X71" s="646">
        <f t="shared" si="2"/>
        <v>25377292</v>
      </c>
      <c r="Y71" s="328">
        <v>17622708</v>
      </c>
      <c r="Z71" s="328">
        <v>17622708</v>
      </c>
      <c r="AA71" s="328">
        <v>17622708</v>
      </c>
    </row>
    <row r="72" spans="1:27" ht="22.5" x14ac:dyDescent="0.25">
      <c r="A72" s="49" t="s">
        <v>1557</v>
      </c>
      <c r="B72" s="326" t="s">
        <v>1558</v>
      </c>
      <c r="C72" s="327" t="s">
        <v>1680</v>
      </c>
      <c r="D72" s="49" t="s">
        <v>460</v>
      </c>
      <c r="E72" s="49" t="s">
        <v>461</v>
      </c>
      <c r="F72" s="49" t="s">
        <v>463</v>
      </c>
      <c r="G72" s="49" t="s">
        <v>454</v>
      </c>
      <c r="H72" s="49" t="s">
        <v>464</v>
      </c>
      <c r="I72" s="49" t="s">
        <v>464</v>
      </c>
      <c r="J72" s="49"/>
      <c r="K72" s="49"/>
      <c r="L72" s="49" t="s">
        <v>442</v>
      </c>
      <c r="M72" s="49" t="s">
        <v>441</v>
      </c>
      <c r="N72" s="49" t="s">
        <v>440</v>
      </c>
      <c r="O72" s="649" t="s">
        <v>529</v>
      </c>
      <c r="P72" s="328">
        <v>9500000</v>
      </c>
      <c r="Q72" s="328">
        <v>1000000</v>
      </c>
      <c r="R72" s="328">
        <v>0</v>
      </c>
      <c r="S72" s="648">
        <v>10500000</v>
      </c>
      <c r="T72" s="328">
        <v>0</v>
      </c>
      <c r="U72" s="328">
        <v>4338650</v>
      </c>
      <c r="V72" s="328">
        <v>6161350</v>
      </c>
      <c r="W72" s="328">
        <v>4338650</v>
      </c>
      <c r="X72" s="646">
        <f t="shared" si="2"/>
        <v>6161350</v>
      </c>
      <c r="Y72" s="328">
        <v>4338650</v>
      </c>
      <c r="Z72" s="328">
        <v>4338650</v>
      </c>
      <c r="AA72" s="328">
        <v>4338650</v>
      </c>
    </row>
    <row r="73" spans="1:27" ht="22.5" x14ac:dyDescent="0.25">
      <c r="A73" s="49" t="s">
        <v>1557</v>
      </c>
      <c r="B73" s="326" t="s">
        <v>1558</v>
      </c>
      <c r="C73" s="327" t="s">
        <v>1681</v>
      </c>
      <c r="D73" s="49" t="s">
        <v>460</v>
      </c>
      <c r="E73" s="49" t="s">
        <v>461</v>
      </c>
      <c r="F73" s="49" t="s">
        <v>463</v>
      </c>
      <c r="G73" s="49" t="s">
        <v>454</v>
      </c>
      <c r="H73" s="49" t="s">
        <v>464</v>
      </c>
      <c r="I73" s="49" t="s">
        <v>551</v>
      </c>
      <c r="J73" s="49"/>
      <c r="K73" s="49"/>
      <c r="L73" s="49" t="s">
        <v>442</v>
      </c>
      <c r="M73" s="49" t="s">
        <v>441</v>
      </c>
      <c r="N73" s="49" t="s">
        <v>440</v>
      </c>
      <c r="O73" s="649" t="s">
        <v>506</v>
      </c>
      <c r="P73" s="328">
        <v>1000000</v>
      </c>
      <c r="Q73" s="328">
        <v>300000</v>
      </c>
      <c r="R73" s="328">
        <v>0</v>
      </c>
      <c r="S73" s="648">
        <v>1300000</v>
      </c>
      <c r="T73" s="328">
        <v>0</v>
      </c>
      <c r="U73" s="328">
        <v>401726</v>
      </c>
      <c r="V73" s="328">
        <v>898274</v>
      </c>
      <c r="W73" s="328">
        <v>401726</v>
      </c>
      <c r="X73" s="646">
        <f t="shared" si="2"/>
        <v>898274</v>
      </c>
      <c r="Y73" s="328">
        <v>401726</v>
      </c>
      <c r="Z73" s="328">
        <v>401726</v>
      </c>
      <c r="AA73" s="328">
        <v>401726</v>
      </c>
    </row>
    <row r="74" spans="1:27" ht="22.5" x14ac:dyDescent="0.25">
      <c r="A74" s="49" t="s">
        <v>1557</v>
      </c>
      <c r="B74" s="326" t="s">
        <v>1558</v>
      </c>
      <c r="C74" s="327" t="s">
        <v>1682</v>
      </c>
      <c r="D74" s="49" t="s">
        <v>460</v>
      </c>
      <c r="E74" s="49" t="s">
        <v>461</v>
      </c>
      <c r="F74" s="49" t="s">
        <v>463</v>
      </c>
      <c r="G74" s="49" t="s">
        <v>454</v>
      </c>
      <c r="H74" s="49" t="s">
        <v>441</v>
      </c>
      <c r="I74" s="49" t="s">
        <v>461</v>
      </c>
      <c r="J74" s="49"/>
      <c r="K74" s="49"/>
      <c r="L74" s="49" t="s">
        <v>442</v>
      </c>
      <c r="M74" s="49" t="s">
        <v>441</v>
      </c>
      <c r="N74" s="49" t="s">
        <v>440</v>
      </c>
      <c r="O74" s="649" t="s">
        <v>1683</v>
      </c>
      <c r="P74" s="328">
        <v>5900000</v>
      </c>
      <c r="Q74" s="328">
        <v>0</v>
      </c>
      <c r="R74" s="328">
        <v>0</v>
      </c>
      <c r="S74" s="648">
        <v>5900000</v>
      </c>
      <c r="T74" s="328">
        <v>0</v>
      </c>
      <c r="U74" s="328">
        <v>5900000</v>
      </c>
      <c r="V74" s="328">
        <v>0</v>
      </c>
      <c r="W74" s="328">
        <v>2949975</v>
      </c>
      <c r="X74" s="646">
        <f t="shared" si="2"/>
        <v>2950025</v>
      </c>
      <c r="Y74" s="328">
        <v>2949975</v>
      </c>
      <c r="Z74" s="328">
        <v>2949975</v>
      </c>
      <c r="AA74" s="328">
        <v>2949975</v>
      </c>
    </row>
    <row r="75" spans="1:27" ht="22.5" x14ac:dyDescent="0.25">
      <c r="A75" s="49" t="s">
        <v>1557</v>
      </c>
      <c r="B75" s="326" t="s">
        <v>1558</v>
      </c>
      <c r="C75" s="327" t="s">
        <v>1684</v>
      </c>
      <c r="D75" s="49" t="s">
        <v>460</v>
      </c>
      <c r="E75" s="49" t="s">
        <v>461</v>
      </c>
      <c r="F75" s="49" t="s">
        <v>463</v>
      </c>
      <c r="G75" s="49" t="s">
        <v>454</v>
      </c>
      <c r="H75" s="49" t="s">
        <v>448</v>
      </c>
      <c r="I75" s="49" t="s">
        <v>443</v>
      </c>
      <c r="J75" s="49"/>
      <c r="K75" s="49"/>
      <c r="L75" s="49" t="s">
        <v>442</v>
      </c>
      <c r="M75" s="49" t="s">
        <v>441</v>
      </c>
      <c r="N75" s="49" t="s">
        <v>440</v>
      </c>
      <c r="O75" s="649" t="s">
        <v>1685</v>
      </c>
      <c r="P75" s="328">
        <v>10000000</v>
      </c>
      <c r="Q75" s="328">
        <v>0</v>
      </c>
      <c r="R75" s="328">
        <v>0</v>
      </c>
      <c r="S75" s="648">
        <v>10000000</v>
      </c>
      <c r="T75" s="328">
        <v>0</v>
      </c>
      <c r="U75" s="328">
        <v>6000000</v>
      </c>
      <c r="V75" s="328">
        <v>4000000</v>
      </c>
      <c r="W75" s="328">
        <v>6000000</v>
      </c>
      <c r="X75" s="646">
        <f t="shared" si="2"/>
        <v>4000000</v>
      </c>
      <c r="Y75" s="328">
        <v>3086266</v>
      </c>
      <c r="Z75" s="328">
        <v>3086266</v>
      </c>
      <c r="AA75" s="328">
        <v>3086266</v>
      </c>
    </row>
    <row r="76" spans="1:27" ht="22.5" x14ac:dyDescent="0.25">
      <c r="A76" s="49" t="s">
        <v>1557</v>
      </c>
      <c r="B76" s="326" t="s">
        <v>1558</v>
      </c>
      <c r="C76" s="327" t="s">
        <v>1686</v>
      </c>
      <c r="D76" s="49" t="s">
        <v>460</v>
      </c>
      <c r="E76" s="49" t="s">
        <v>461</v>
      </c>
      <c r="F76" s="49" t="s">
        <v>463</v>
      </c>
      <c r="G76" s="49" t="s">
        <v>454</v>
      </c>
      <c r="H76" s="49" t="s">
        <v>448</v>
      </c>
      <c r="I76" s="49" t="s">
        <v>461</v>
      </c>
      <c r="J76" s="49"/>
      <c r="K76" s="49"/>
      <c r="L76" s="49" t="s">
        <v>442</v>
      </c>
      <c r="M76" s="49" t="s">
        <v>441</v>
      </c>
      <c r="N76" s="49" t="s">
        <v>440</v>
      </c>
      <c r="O76" s="649" t="s">
        <v>1687</v>
      </c>
      <c r="P76" s="328">
        <v>24800000</v>
      </c>
      <c r="Q76" s="328">
        <v>0</v>
      </c>
      <c r="R76" s="328">
        <v>0</v>
      </c>
      <c r="S76" s="648">
        <v>24800000</v>
      </c>
      <c r="T76" s="328">
        <v>0</v>
      </c>
      <c r="U76" s="328">
        <v>23390848</v>
      </c>
      <c r="V76" s="328">
        <v>1409152</v>
      </c>
      <c r="W76" s="328">
        <v>17990848</v>
      </c>
      <c r="X76" s="646">
        <f t="shared" si="2"/>
        <v>6809152</v>
      </c>
      <c r="Y76" s="328">
        <v>10222880</v>
      </c>
      <c r="Z76" s="328">
        <v>10222880</v>
      </c>
      <c r="AA76" s="328">
        <v>8971368</v>
      </c>
    </row>
    <row r="77" spans="1:27" ht="22.5" x14ac:dyDescent="0.25">
      <c r="A77" s="49" t="s">
        <v>1557</v>
      </c>
      <c r="B77" s="326" t="s">
        <v>1558</v>
      </c>
      <c r="C77" s="327" t="s">
        <v>1688</v>
      </c>
      <c r="D77" s="49" t="s">
        <v>460</v>
      </c>
      <c r="E77" s="49" t="s">
        <v>461</v>
      </c>
      <c r="F77" s="49" t="s">
        <v>463</v>
      </c>
      <c r="G77" s="49" t="s">
        <v>454</v>
      </c>
      <c r="H77" s="49" t="s">
        <v>552</v>
      </c>
      <c r="I77" s="49" t="s">
        <v>454</v>
      </c>
      <c r="J77" s="49"/>
      <c r="K77" s="49"/>
      <c r="L77" s="49" t="s">
        <v>442</v>
      </c>
      <c r="M77" s="49" t="s">
        <v>441</v>
      </c>
      <c r="N77" s="49" t="s">
        <v>440</v>
      </c>
      <c r="O77" s="649" t="s">
        <v>510</v>
      </c>
      <c r="P77" s="328">
        <v>14000000</v>
      </c>
      <c r="Q77" s="328">
        <v>0</v>
      </c>
      <c r="R77" s="328">
        <v>0</v>
      </c>
      <c r="S77" s="648">
        <v>14000000</v>
      </c>
      <c r="T77" s="328">
        <v>0</v>
      </c>
      <c r="U77" s="328">
        <v>5000000</v>
      </c>
      <c r="V77" s="328">
        <v>9000000</v>
      </c>
      <c r="W77" s="328">
        <v>4000000</v>
      </c>
      <c r="X77" s="646">
        <f t="shared" si="2"/>
        <v>10000000</v>
      </c>
      <c r="Y77" s="328">
        <v>670000</v>
      </c>
      <c r="Z77" s="328">
        <v>670000</v>
      </c>
      <c r="AA77" s="328">
        <v>670000</v>
      </c>
    </row>
    <row r="78" spans="1:27" ht="22.5" x14ac:dyDescent="0.25">
      <c r="A78" s="49" t="s">
        <v>1557</v>
      </c>
      <c r="B78" s="326" t="s">
        <v>1558</v>
      </c>
      <c r="C78" s="327" t="s">
        <v>1689</v>
      </c>
      <c r="D78" s="49" t="s">
        <v>460</v>
      </c>
      <c r="E78" s="49" t="s">
        <v>461</v>
      </c>
      <c r="F78" s="49" t="s">
        <v>463</v>
      </c>
      <c r="G78" s="49" t="s">
        <v>454</v>
      </c>
      <c r="H78" s="49" t="s">
        <v>552</v>
      </c>
      <c r="I78" s="49" t="s">
        <v>544</v>
      </c>
      <c r="J78" s="49"/>
      <c r="K78" s="49"/>
      <c r="L78" s="49" t="s">
        <v>442</v>
      </c>
      <c r="M78" s="49" t="s">
        <v>441</v>
      </c>
      <c r="N78" s="49" t="s">
        <v>440</v>
      </c>
      <c r="O78" s="649" t="s">
        <v>511</v>
      </c>
      <c r="P78" s="328">
        <v>10000000</v>
      </c>
      <c r="Q78" s="328">
        <v>0</v>
      </c>
      <c r="R78" s="328">
        <v>0</v>
      </c>
      <c r="S78" s="648">
        <v>10000000</v>
      </c>
      <c r="T78" s="328">
        <v>0</v>
      </c>
      <c r="U78" s="328">
        <v>0</v>
      </c>
      <c r="V78" s="328">
        <v>10000000</v>
      </c>
      <c r="W78" s="328">
        <v>0</v>
      </c>
      <c r="X78" s="646">
        <f t="shared" si="2"/>
        <v>10000000</v>
      </c>
      <c r="Y78" s="328">
        <v>0</v>
      </c>
      <c r="Z78" s="328">
        <v>0</v>
      </c>
      <c r="AA78" s="328">
        <v>0</v>
      </c>
    </row>
    <row r="79" spans="1:27" ht="22.5" x14ac:dyDescent="0.25">
      <c r="A79" s="49" t="s">
        <v>1557</v>
      </c>
      <c r="B79" s="326" t="s">
        <v>1558</v>
      </c>
      <c r="C79" s="327" t="s">
        <v>1690</v>
      </c>
      <c r="D79" s="49" t="s">
        <v>460</v>
      </c>
      <c r="E79" s="49" t="s">
        <v>461</v>
      </c>
      <c r="F79" s="49" t="s">
        <v>463</v>
      </c>
      <c r="G79" s="49" t="s">
        <v>454</v>
      </c>
      <c r="H79" s="49" t="s">
        <v>1691</v>
      </c>
      <c r="I79" s="49" t="s">
        <v>551</v>
      </c>
      <c r="J79" s="49"/>
      <c r="K79" s="49"/>
      <c r="L79" s="49" t="s">
        <v>442</v>
      </c>
      <c r="M79" s="49" t="s">
        <v>441</v>
      </c>
      <c r="N79" s="49" t="s">
        <v>440</v>
      </c>
      <c r="O79" s="649" t="s">
        <v>1692</v>
      </c>
      <c r="P79" s="328">
        <v>0</v>
      </c>
      <c r="Q79" s="328">
        <v>338800</v>
      </c>
      <c r="R79" s="328">
        <v>0</v>
      </c>
      <c r="S79" s="648">
        <v>338800</v>
      </c>
      <c r="T79" s="328">
        <v>0</v>
      </c>
      <c r="U79" s="328">
        <v>338800</v>
      </c>
      <c r="V79" s="328">
        <v>0</v>
      </c>
      <c r="W79" s="328">
        <v>338800</v>
      </c>
      <c r="X79" s="646">
        <f t="shared" si="2"/>
        <v>0</v>
      </c>
      <c r="Y79" s="328">
        <v>338800</v>
      </c>
      <c r="Z79" s="328">
        <v>338800</v>
      </c>
      <c r="AA79" s="328">
        <v>338800</v>
      </c>
    </row>
    <row r="80" spans="1:27" ht="22.5" x14ac:dyDescent="0.25">
      <c r="A80" s="49" t="s">
        <v>1557</v>
      </c>
      <c r="B80" s="326" t="s">
        <v>1558</v>
      </c>
      <c r="C80" s="327" t="s">
        <v>1693</v>
      </c>
      <c r="D80" s="49" t="s">
        <v>460</v>
      </c>
      <c r="E80" s="49" t="s">
        <v>458</v>
      </c>
      <c r="F80" s="49" t="s">
        <v>450</v>
      </c>
      <c r="G80" s="49" t="s">
        <v>443</v>
      </c>
      <c r="H80" s="49" t="s">
        <v>443</v>
      </c>
      <c r="I80" s="49" t="s">
        <v>463</v>
      </c>
      <c r="J80" s="49" t="s">
        <v>461</v>
      </c>
      <c r="K80" s="49"/>
      <c r="L80" s="49" t="s">
        <v>442</v>
      </c>
      <c r="M80" s="49" t="s">
        <v>441</v>
      </c>
      <c r="N80" s="49" t="s">
        <v>440</v>
      </c>
      <c r="O80" s="326" t="s">
        <v>1694</v>
      </c>
      <c r="P80" s="328">
        <v>196560000</v>
      </c>
      <c r="Q80" s="328">
        <v>0</v>
      </c>
      <c r="R80" s="328">
        <v>1965600</v>
      </c>
      <c r="S80" s="648">
        <v>194594400</v>
      </c>
      <c r="T80" s="328">
        <v>0</v>
      </c>
      <c r="U80" s="328">
        <v>194594400</v>
      </c>
      <c r="V80" s="328">
        <v>0</v>
      </c>
      <c r="W80" s="328">
        <v>102406505</v>
      </c>
      <c r="X80" s="646">
        <f t="shared" si="2"/>
        <v>92187895</v>
      </c>
      <c r="Y80" s="328">
        <v>102406505</v>
      </c>
      <c r="Z80" s="328">
        <v>102406505</v>
      </c>
      <c r="AA80" s="328">
        <v>90206550</v>
      </c>
    </row>
    <row r="81" spans="1:27" ht="22.5" x14ac:dyDescent="0.25">
      <c r="A81" s="49" t="s">
        <v>1557</v>
      </c>
      <c r="B81" s="326" t="s">
        <v>1558</v>
      </c>
      <c r="C81" s="327" t="s">
        <v>1695</v>
      </c>
      <c r="D81" s="49" t="s">
        <v>460</v>
      </c>
      <c r="E81" s="49" t="s">
        <v>458</v>
      </c>
      <c r="F81" s="49" t="s">
        <v>459</v>
      </c>
      <c r="G81" s="49" t="s">
        <v>443</v>
      </c>
      <c r="H81" s="49" t="s">
        <v>443</v>
      </c>
      <c r="I81" s="49" t="s">
        <v>461</v>
      </c>
      <c r="J81" s="49"/>
      <c r="K81" s="49"/>
      <c r="L81" s="49" t="s">
        <v>442</v>
      </c>
      <c r="M81" s="49" t="s">
        <v>441</v>
      </c>
      <c r="N81" s="49" t="s">
        <v>440</v>
      </c>
      <c r="O81" s="326" t="s">
        <v>1696</v>
      </c>
      <c r="P81" s="328">
        <v>375485760</v>
      </c>
      <c r="Q81" s="328">
        <v>3754858</v>
      </c>
      <c r="R81" s="328">
        <v>7509716</v>
      </c>
      <c r="S81" s="648">
        <v>371730902</v>
      </c>
      <c r="T81" s="328">
        <v>0</v>
      </c>
      <c r="U81" s="328">
        <v>0</v>
      </c>
      <c r="V81" s="328">
        <v>371730902</v>
      </c>
      <c r="W81" s="328">
        <v>0</v>
      </c>
      <c r="X81" s="646">
        <f t="shared" si="2"/>
        <v>371730902</v>
      </c>
      <c r="Y81" s="328">
        <v>0</v>
      </c>
      <c r="Z81" s="328">
        <v>0</v>
      </c>
      <c r="AA81" s="328">
        <v>0</v>
      </c>
    </row>
    <row r="82" spans="1:27" ht="22.5" hidden="1" x14ac:dyDescent="0.25">
      <c r="A82" s="49" t="s">
        <v>1557</v>
      </c>
      <c r="B82" s="326" t="s">
        <v>1558</v>
      </c>
      <c r="C82" s="327" t="s">
        <v>1737</v>
      </c>
      <c r="D82" s="49" t="s">
        <v>446</v>
      </c>
      <c r="E82" s="49" t="s">
        <v>451</v>
      </c>
      <c r="F82" s="49" t="s">
        <v>449</v>
      </c>
      <c r="G82" s="49" t="s">
        <v>454</v>
      </c>
      <c r="H82" s="49" t="s">
        <v>463</v>
      </c>
      <c r="I82" s="49" t="s">
        <v>1738</v>
      </c>
      <c r="J82" s="49" t="s">
        <v>438</v>
      </c>
      <c r="K82" s="49" t="s">
        <v>438</v>
      </c>
      <c r="L82" s="49" t="s">
        <v>442</v>
      </c>
      <c r="M82" s="49" t="s">
        <v>441</v>
      </c>
      <c r="N82" s="49" t="s">
        <v>440</v>
      </c>
      <c r="O82" s="326" t="s">
        <v>1621</v>
      </c>
      <c r="P82" s="328">
        <v>8758434</v>
      </c>
      <c r="Q82" s="328">
        <v>0</v>
      </c>
      <c r="R82" s="328">
        <v>0</v>
      </c>
      <c r="S82" s="648">
        <v>8758434</v>
      </c>
      <c r="T82" s="328">
        <v>0</v>
      </c>
      <c r="U82" s="328">
        <v>8758434</v>
      </c>
      <c r="V82" s="328">
        <v>0</v>
      </c>
      <c r="W82" s="328">
        <v>3579500</v>
      </c>
      <c r="X82" s="646">
        <f t="shared" si="2"/>
        <v>5178934</v>
      </c>
      <c r="Y82" s="328">
        <v>3579500</v>
      </c>
      <c r="Z82" s="328">
        <v>3579500</v>
      </c>
      <c r="AA82" s="328">
        <v>3579500</v>
      </c>
    </row>
    <row r="83" spans="1:27" ht="22.5" hidden="1" x14ac:dyDescent="0.25">
      <c r="A83" s="49" t="s">
        <v>1557</v>
      </c>
      <c r="B83" s="326" t="s">
        <v>1558</v>
      </c>
      <c r="C83" s="327" t="s">
        <v>1719</v>
      </c>
      <c r="D83" s="49" t="s">
        <v>446</v>
      </c>
      <c r="E83" s="49" t="s">
        <v>451</v>
      </c>
      <c r="F83" s="49" t="s">
        <v>449</v>
      </c>
      <c r="G83" s="49" t="s">
        <v>454</v>
      </c>
      <c r="H83" s="49" t="s">
        <v>463</v>
      </c>
      <c r="I83" s="49" t="s">
        <v>1720</v>
      </c>
      <c r="J83" s="49" t="s">
        <v>438</v>
      </c>
      <c r="K83" s="49" t="s">
        <v>438</v>
      </c>
      <c r="L83" s="49" t="s">
        <v>442</v>
      </c>
      <c r="M83" s="49" t="s">
        <v>441</v>
      </c>
      <c r="N83" s="49" t="s">
        <v>440</v>
      </c>
      <c r="O83" s="326" t="s">
        <v>1585</v>
      </c>
      <c r="P83" s="328">
        <v>145978901</v>
      </c>
      <c r="Q83" s="328">
        <v>0</v>
      </c>
      <c r="R83" s="328">
        <v>0</v>
      </c>
      <c r="S83" s="648">
        <v>145978901</v>
      </c>
      <c r="T83" s="328">
        <v>0</v>
      </c>
      <c r="U83" s="328">
        <v>145978901</v>
      </c>
      <c r="V83" s="328">
        <v>0</v>
      </c>
      <c r="W83" s="328">
        <v>2679187</v>
      </c>
      <c r="X83" s="646">
        <f t="shared" si="2"/>
        <v>143299714</v>
      </c>
      <c r="Y83" s="328">
        <v>2679187</v>
      </c>
      <c r="Z83" s="328">
        <v>2679187</v>
      </c>
      <c r="AA83" s="328">
        <v>2679187</v>
      </c>
    </row>
    <row r="84" spans="1:27" ht="33.75" hidden="1" x14ac:dyDescent="0.25">
      <c r="A84" s="49" t="s">
        <v>1557</v>
      </c>
      <c r="B84" s="326" t="s">
        <v>1558</v>
      </c>
      <c r="C84" s="327" t="s">
        <v>1710</v>
      </c>
      <c r="D84" s="49" t="s">
        <v>446</v>
      </c>
      <c r="E84" s="49" t="s">
        <v>451</v>
      </c>
      <c r="F84" s="49" t="s">
        <v>449</v>
      </c>
      <c r="G84" s="49" t="s">
        <v>454</v>
      </c>
      <c r="H84" s="49" t="s">
        <v>463</v>
      </c>
      <c r="I84" s="49" t="s">
        <v>1711</v>
      </c>
      <c r="J84" s="49" t="s">
        <v>438</v>
      </c>
      <c r="K84" s="49" t="s">
        <v>438</v>
      </c>
      <c r="L84" s="49" t="s">
        <v>442</v>
      </c>
      <c r="M84" s="49" t="s">
        <v>441</v>
      </c>
      <c r="N84" s="49" t="s">
        <v>440</v>
      </c>
      <c r="O84" s="326" t="s">
        <v>1623</v>
      </c>
      <c r="P84" s="328">
        <v>17517468</v>
      </c>
      <c r="Q84" s="328">
        <v>0</v>
      </c>
      <c r="R84" s="328">
        <v>0</v>
      </c>
      <c r="S84" s="648">
        <v>17517468</v>
      </c>
      <c r="T84" s="328">
        <v>0</v>
      </c>
      <c r="U84" s="328">
        <v>17517468</v>
      </c>
      <c r="V84" s="328">
        <v>0</v>
      </c>
      <c r="W84" s="328">
        <v>7150300</v>
      </c>
      <c r="X84" s="646">
        <f t="shared" si="2"/>
        <v>10367168</v>
      </c>
      <c r="Y84" s="328">
        <v>7150300</v>
      </c>
      <c r="Z84" s="328">
        <v>7150300</v>
      </c>
      <c r="AA84" s="328">
        <v>7150300</v>
      </c>
    </row>
    <row r="85" spans="1:27" ht="22.5" hidden="1" x14ac:dyDescent="0.25">
      <c r="A85" s="49" t="s">
        <v>1557</v>
      </c>
      <c r="B85" s="326" t="s">
        <v>1558</v>
      </c>
      <c r="C85" s="327" t="s">
        <v>1721</v>
      </c>
      <c r="D85" s="49" t="s">
        <v>446</v>
      </c>
      <c r="E85" s="49" t="s">
        <v>451</v>
      </c>
      <c r="F85" s="49" t="s">
        <v>449</v>
      </c>
      <c r="G85" s="49" t="s">
        <v>454</v>
      </c>
      <c r="H85" s="49" t="s">
        <v>463</v>
      </c>
      <c r="I85" s="49" t="s">
        <v>1722</v>
      </c>
      <c r="J85" s="49" t="s">
        <v>438</v>
      </c>
      <c r="K85" s="49" t="s">
        <v>438</v>
      </c>
      <c r="L85" s="49" t="s">
        <v>442</v>
      </c>
      <c r="M85" s="49" t="s">
        <v>441</v>
      </c>
      <c r="N85" s="49" t="s">
        <v>440</v>
      </c>
      <c r="O85" s="326" t="s">
        <v>1580</v>
      </c>
      <c r="P85" s="328">
        <v>94788818</v>
      </c>
      <c r="Q85" s="328">
        <v>0</v>
      </c>
      <c r="R85" s="328">
        <v>0</v>
      </c>
      <c r="S85" s="648">
        <v>94788818</v>
      </c>
      <c r="T85" s="328">
        <v>0</v>
      </c>
      <c r="U85" s="328">
        <v>94788818</v>
      </c>
      <c r="V85" s="328">
        <v>0</v>
      </c>
      <c r="W85" s="328">
        <v>54900287</v>
      </c>
      <c r="X85" s="646">
        <f t="shared" si="2"/>
        <v>39888531</v>
      </c>
      <c r="Y85" s="328">
        <v>54900287</v>
      </c>
      <c r="Z85" s="328">
        <v>54900287</v>
      </c>
      <c r="AA85" s="328">
        <v>54900287</v>
      </c>
    </row>
    <row r="86" spans="1:27" ht="22.5" hidden="1" x14ac:dyDescent="0.25">
      <c r="A86" s="49" t="s">
        <v>1557</v>
      </c>
      <c r="B86" s="326" t="s">
        <v>1558</v>
      </c>
      <c r="C86" s="327" t="s">
        <v>1723</v>
      </c>
      <c r="D86" s="49" t="s">
        <v>446</v>
      </c>
      <c r="E86" s="49" t="s">
        <v>451</v>
      </c>
      <c r="F86" s="49" t="s">
        <v>449</v>
      </c>
      <c r="G86" s="49" t="s">
        <v>454</v>
      </c>
      <c r="H86" s="49" t="s">
        <v>463</v>
      </c>
      <c r="I86" s="49" t="s">
        <v>1724</v>
      </c>
      <c r="J86" s="49" t="s">
        <v>438</v>
      </c>
      <c r="K86" s="49" t="s">
        <v>438</v>
      </c>
      <c r="L86" s="49" t="s">
        <v>442</v>
      </c>
      <c r="M86" s="49" t="s">
        <v>441</v>
      </c>
      <c r="N86" s="49" t="s">
        <v>440</v>
      </c>
      <c r="O86" s="326" t="s">
        <v>1582</v>
      </c>
      <c r="P86" s="328">
        <v>116035632</v>
      </c>
      <c r="Q86" s="328">
        <v>0</v>
      </c>
      <c r="R86" s="328">
        <v>0</v>
      </c>
      <c r="S86" s="648">
        <v>116035632</v>
      </c>
      <c r="T86" s="328">
        <v>0</v>
      </c>
      <c r="U86" s="328">
        <v>116035632</v>
      </c>
      <c r="V86" s="328">
        <v>0</v>
      </c>
      <c r="W86" s="328">
        <v>43138531</v>
      </c>
      <c r="X86" s="646">
        <f t="shared" si="2"/>
        <v>72897101</v>
      </c>
      <c r="Y86" s="328">
        <v>43138531</v>
      </c>
      <c r="Z86" s="328">
        <v>43138531</v>
      </c>
      <c r="AA86" s="328">
        <v>43138531</v>
      </c>
    </row>
    <row r="87" spans="1:27" ht="22.5" hidden="1" x14ac:dyDescent="0.25">
      <c r="A87" s="49" t="s">
        <v>1557</v>
      </c>
      <c r="B87" s="326" t="s">
        <v>1558</v>
      </c>
      <c r="C87" s="327" t="s">
        <v>1708</v>
      </c>
      <c r="D87" s="49" t="s">
        <v>446</v>
      </c>
      <c r="E87" s="49" t="s">
        <v>451</v>
      </c>
      <c r="F87" s="49" t="s">
        <v>449</v>
      </c>
      <c r="G87" s="49" t="s">
        <v>454</v>
      </c>
      <c r="H87" s="49" t="s">
        <v>463</v>
      </c>
      <c r="I87" s="49" t="s">
        <v>1709</v>
      </c>
      <c r="J87" s="49" t="s">
        <v>438</v>
      </c>
      <c r="K87" s="49" t="s">
        <v>438</v>
      </c>
      <c r="L87" s="49" t="s">
        <v>442</v>
      </c>
      <c r="M87" s="49" t="s">
        <v>441</v>
      </c>
      <c r="N87" s="49" t="s">
        <v>440</v>
      </c>
      <c r="O87" s="326" t="s">
        <v>1617</v>
      </c>
      <c r="P87" s="328">
        <v>52552405</v>
      </c>
      <c r="Q87" s="328">
        <v>0</v>
      </c>
      <c r="R87" s="328">
        <v>0</v>
      </c>
      <c r="S87" s="648">
        <v>52552405</v>
      </c>
      <c r="T87" s="328">
        <v>0</v>
      </c>
      <c r="U87" s="328">
        <v>52552405</v>
      </c>
      <c r="V87" s="328">
        <v>0</v>
      </c>
      <c r="W87" s="328">
        <v>21602990</v>
      </c>
      <c r="X87" s="646">
        <f t="shared" si="2"/>
        <v>30949415</v>
      </c>
      <c r="Y87" s="328">
        <v>21602990</v>
      </c>
      <c r="Z87" s="328">
        <v>21602990</v>
      </c>
      <c r="AA87" s="328">
        <v>21602990</v>
      </c>
    </row>
    <row r="88" spans="1:27" ht="22.5" hidden="1" x14ac:dyDescent="0.25">
      <c r="A88" s="49" t="s">
        <v>1557</v>
      </c>
      <c r="B88" s="326" t="s">
        <v>1558</v>
      </c>
      <c r="C88" s="327" t="s">
        <v>1702</v>
      </c>
      <c r="D88" s="49" t="s">
        <v>446</v>
      </c>
      <c r="E88" s="49" t="s">
        <v>451</v>
      </c>
      <c r="F88" s="49" t="s">
        <v>449</v>
      </c>
      <c r="G88" s="49" t="s">
        <v>454</v>
      </c>
      <c r="H88" s="49" t="s">
        <v>463</v>
      </c>
      <c r="I88" s="49" t="s">
        <v>1703</v>
      </c>
      <c r="J88" s="49" t="s">
        <v>438</v>
      </c>
      <c r="K88" s="49" t="s">
        <v>438</v>
      </c>
      <c r="L88" s="49" t="s">
        <v>442</v>
      </c>
      <c r="M88" s="49" t="s">
        <v>441</v>
      </c>
      <c r="N88" s="49" t="s">
        <v>440</v>
      </c>
      <c r="O88" s="326" t="s">
        <v>1598</v>
      </c>
      <c r="P88" s="328">
        <v>23000000</v>
      </c>
      <c r="Q88" s="328">
        <v>0</v>
      </c>
      <c r="R88" s="328">
        <v>0</v>
      </c>
      <c r="S88" s="648">
        <v>23000000</v>
      </c>
      <c r="T88" s="328">
        <v>0</v>
      </c>
      <c r="U88" s="328">
        <v>23000000</v>
      </c>
      <c r="V88" s="328">
        <v>0</v>
      </c>
      <c r="W88" s="328">
        <v>8784486</v>
      </c>
      <c r="X88" s="646">
        <f t="shared" si="2"/>
        <v>14215514</v>
      </c>
      <c r="Y88" s="328">
        <v>8784486</v>
      </c>
      <c r="Z88" s="328">
        <v>8784486</v>
      </c>
      <c r="AA88" s="328">
        <v>8784486</v>
      </c>
    </row>
    <row r="89" spans="1:27" ht="22.5" hidden="1" x14ac:dyDescent="0.25">
      <c r="A89" s="49" t="s">
        <v>1557</v>
      </c>
      <c r="B89" s="326" t="s">
        <v>1558</v>
      </c>
      <c r="C89" s="327" t="s">
        <v>1714</v>
      </c>
      <c r="D89" s="49" t="s">
        <v>446</v>
      </c>
      <c r="E89" s="49" t="s">
        <v>451</v>
      </c>
      <c r="F89" s="49" t="s">
        <v>449</v>
      </c>
      <c r="G89" s="49" t="s">
        <v>454</v>
      </c>
      <c r="H89" s="49" t="s">
        <v>463</v>
      </c>
      <c r="I89" s="49" t="s">
        <v>1715</v>
      </c>
      <c r="J89" s="49" t="s">
        <v>438</v>
      </c>
      <c r="K89" s="49" t="s">
        <v>438</v>
      </c>
      <c r="L89" s="49" t="s">
        <v>442</v>
      </c>
      <c r="M89" s="49" t="s">
        <v>441</v>
      </c>
      <c r="N89" s="49" t="s">
        <v>440</v>
      </c>
      <c r="O89" s="326" t="s">
        <v>1609</v>
      </c>
      <c r="P89" s="328">
        <v>158143810</v>
      </c>
      <c r="Q89" s="328">
        <v>0</v>
      </c>
      <c r="R89" s="328">
        <v>0</v>
      </c>
      <c r="S89" s="648">
        <v>158143810</v>
      </c>
      <c r="T89" s="328">
        <v>0</v>
      </c>
      <c r="U89" s="328">
        <v>158143810</v>
      </c>
      <c r="V89" s="328">
        <v>0</v>
      </c>
      <c r="W89" s="328">
        <v>48189975</v>
      </c>
      <c r="X89" s="646">
        <f t="shared" si="2"/>
        <v>109953835</v>
      </c>
      <c r="Y89" s="328">
        <v>48189975</v>
      </c>
      <c r="Z89" s="328">
        <v>48189975</v>
      </c>
      <c r="AA89" s="328">
        <v>48189975</v>
      </c>
    </row>
    <row r="90" spans="1:27" ht="22.5" hidden="1" x14ac:dyDescent="0.25">
      <c r="A90" s="49" t="s">
        <v>1557</v>
      </c>
      <c r="B90" s="326" t="s">
        <v>1558</v>
      </c>
      <c r="C90" s="327" t="s">
        <v>1731</v>
      </c>
      <c r="D90" s="49" t="s">
        <v>446</v>
      </c>
      <c r="E90" s="49" t="s">
        <v>451</v>
      </c>
      <c r="F90" s="49" t="s">
        <v>449</v>
      </c>
      <c r="G90" s="49" t="s">
        <v>454</v>
      </c>
      <c r="H90" s="49" t="s">
        <v>463</v>
      </c>
      <c r="I90" s="49" t="s">
        <v>1732</v>
      </c>
      <c r="J90" s="49" t="s">
        <v>438</v>
      </c>
      <c r="K90" s="49" t="s">
        <v>438</v>
      </c>
      <c r="L90" s="49" t="s">
        <v>442</v>
      </c>
      <c r="M90" s="49" t="s">
        <v>441</v>
      </c>
      <c r="N90" s="49" t="s">
        <v>440</v>
      </c>
      <c r="O90" s="326" t="s">
        <v>1607</v>
      </c>
      <c r="P90" s="328">
        <v>130978401</v>
      </c>
      <c r="Q90" s="328">
        <v>0</v>
      </c>
      <c r="R90" s="328">
        <v>0</v>
      </c>
      <c r="S90" s="648">
        <v>130978401</v>
      </c>
      <c r="T90" s="328">
        <v>0</v>
      </c>
      <c r="U90" s="328">
        <v>130978401</v>
      </c>
      <c r="V90" s="328">
        <v>0</v>
      </c>
      <c r="W90" s="328">
        <v>56214148</v>
      </c>
      <c r="X90" s="646">
        <f t="shared" si="2"/>
        <v>74764253</v>
      </c>
      <c r="Y90" s="328">
        <v>56214148</v>
      </c>
      <c r="Z90" s="328">
        <v>56214148</v>
      </c>
      <c r="AA90" s="328">
        <v>56214148</v>
      </c>
    </row>
    <row r="91" spans="1:27" ht="22.5" hidden="1" x14ac:dyDescent="0.25">
      <c r="A91" s="49" t="s">
        <v>1557</v>
      </c>
      <c r="B91" s="326" t="s">
        <v>1558</v>
      </c>
      <c r="C91" s="327" t="s">
        <v>1704</v>
      </c>
      <c r="D91" s="49" t="s">
        <v>446</v>
      </c>
      <c r="E91" s="49" t="s">
        <v>451</v>
      </c>
      <c r="F91" s="49" t="s">
        <v>449</v>
      </c>
      <c r="G91" s="49" t="s">
        <v>454</v>
      </c>
      <c r="H91" s="49" t="s">
        <v>463</v>
      </c>
      <c r="I91" s="49" t="s">
        <v>1705</v>
      </c>
      <c r="J91" s="49" t="s">
        <v>438</v>
      </c>
      <c r="K91" s="49" t="s">
        <v>438</v>
      </c>
      <c r="L91" s="49" t="s">
        <v>442</v>
      </c>
      <c r="M91" s="49" t="s">
        <v>441</v>
      </c>
      <c r="N91" s="49" t="s">
        <v>440</v>
      </c>
      <c r="O91" s="326" t="s">
        <v>1562</v>
      </c>
      <c r="P91" s="328">
        <v>80000000</v>
      </c>
      <c r="Q91" s="328">
        <v>0</v>
      </c>
      <c r="R91" s="328">
        <v>0</v>
      </c>
      <c r="S91" s="648">
        <v>80000000</v>
      </c>
      <c r="T91" s="328">
        <v>0</v>
      </c>
      <c r="U91" s="328">
        <v>80000000</v>
      </c>
      <c r="V91" s="328">
        <v>0</v>
      </c>
      <c r="W91" s="328">
        <v>55396478</v>
      </c>
      <c r="X91" s="646">
        <f t="shared" si="2"/>
        <v>24603522</v>
      </c>
      <c r="Y91" s="328">
        <v>55396478</v>
      </c>
      <c r="Z91" s="328">
        <v>55396478</v>
      </c>
      <c r="AA91" s="328">
        <v>55396478</v>
      </c>
    </row>
    <row r="92" spans="1:27" ht="22.5" hidden="1" x14ac:dyDescent="0.25">
      <c r="A92" s="49" t="s">
        <v>1557</v>
      </c>
      <c r="B92" s="326" t="s">
        <v>1558</v>
      </c>
      <c r="C92" s="327" t="s">
        <v>1699</v>
      </c>
      <c r="D92" s="49" t="s">
        <v>446</v>
      </c>
      <c r="E92" s="49" t="s">
        <v>451</v>
      </c>
      <c r="F92" s="49" t="s">
        <v>449</v>
      </c>
      <c r="G92" s="49" t="s">
        <v>454</v>
      </c>
      <c r="H92" s="49" t="s">
        <v>463</v>
      </c>
      <c r="I92" s="49" t="s">
        <v>1700</v>
      </c>
      <c r="J92" s="49" t="s">
        <v>438</v>
      </c>
      <c r="K92" s="49" t="s">
        <v>438</v>
      </c>
      <c r="L92" s="49" t="s">
        <v>442</v>
      </c>
      <c r="M92" s="49" t="s">
        <v>441</v>
      </c>
      <c r="N92" s="49" t="s">
        <v>440</v>
      </c>
      <c r="O92" s="326" t="s">
        <v>1701</v>
      </c>
      <c r="P92" s="328">
        <v>3500000</v>
      </c>
      <c r="Q92" s="328">
        <v>20000000</v>
      </c>
      <c r="R92" s="328">
        <v>0</v>
      </c>
      <c r="S92" s="648">
        <v>23500000</v>
      </c>
      <c r="T92" s="328">
        <v>0</v>
      </c>
      <c r="U92" s="328">
        <v>23500000</v>
      </c>
      <c r="V92" s="328">
        <v>0</v>
      </c>
      <c r="W92" s="328">
        <v>21807254</v>
      </c>
      <c r="X92" s="646">
        <f t="shared" si="2"/>
        <v>1692746</v>
      </c>
      <c r="Y92" s="328">
        <v>21741143</v>
      </c>
      <c r="Z92" s="328">
        <v>21741143</v>
      </c>
      <c r="AA92" s="328">
        <v>21741143</v>
      </c>
    </row>
    <row r="93" spans="1:27" ht="22.5" hidden="1" x14ac:dyDescent="0.25">
      <c r="A93" s="49" t="s">
        <v>1557</v>
      </c>
      <c r="B93" s="326" t="s">
        <v>1558</v>
      </c>
      <c r="C93" s="327" t="s">
        <v>1735</v>
      </c>
      <c r="D93" s="49" t="s">
        <v>446</v>
      </c>
      <c r="E93" s="49" t="s">
        <v>451</v>
      </c>
      <c r="F93" s="49" t="s">
        <v>449</v>
      </c>
      <c r="G93" s="49" t="s">
        <v>454</v>
      </c>
      <c r="H93" s="49" t="s">
        <v>463</v>
      </c>
      <c r="I93" s="49" t="s">
        <v>1736</v>
      </c>
      <c r="J93" s="49" t="s">
        <v>438</v>
      </c>
      <c r="K93" s="49" t="s">
        <v>438</v>
      </c>
      <c r="L93" s="49" t="s">
        <v>442</v>
      </c>
      <c r="M93" s="49" t="s">
        <v>441</v>
      </c>
      <c r="N93" s="49" t="s">
        <v>440</v>
      </c>
      <c r="O93" s="326" t="s">
        <v>1574</v>
      </c>
      <c r="P93" s="328">
        <v>13795858</v>
      </c>
      <c r="Q93" s="328">
        <v>0</v>
      </c>
      <c r="R93" s="328">
        <v>0</v>
      </c>
      <c r="S93" s="648">
        <v>13795858</v>
      </c>
      <c r="T93" s="328">
        <v>0</v>
      </c>
      <c r="U93" s="328">
        <v>13795858</v>
      </c>
      <c r="V93" s="328">
        <v>0</v>
      </c>
      <c r="W93" s="328">
        <v>5378428</v>
      </c>
      <c r="X93" s="646">
        <f t="shared" si="2"/>
        <v>8417430</v>
      </c>
      <c r="Y93" s="328">
        <v>5378428</v>
      </c>
      <c r="Z93" s="328">
        <v>5378428</v>
      </c>
      <c r="AA93" s="328">
        <v>5378428</v>
      </c>
    </row>
    <row r="94" spans="1:27" ht="56.25" x14ac:dyDescent="0.25">
      <c r="A94" s="49" t="s">
        <v>1557</v>
      </c>
      <c r="B94" s="326" t="s">
        <v>1558</v>
      </c>
      <c r="C94" s="327" t="s">
        <v>1716</v>
      </c>
      <c r="D94" s="49" t="s">
        <v>446</v>
      </c>
      <c r="E94" s="49" t="s">
        <v>451</v>
      </c>
      <c r="F94" s="49" t="s">
        <v>449</v>
      </c>
      <c r="G94" s="49" t="s">
        <v>454</v>
      </c>
      <c r="H94" s="49" t="s">
        <v>463</v>
      </c>
      <c r="I94" s="49" t="s">
        <v>1717</v>
      </c>
      <c r="J94" s="49" t="s">
        <v>438</v>
      </c>
      <c r="K94" s="49" t="s">
        <v>438</v>
      </c>
      <c r="L94" s="49" t="s">
        <v>442</v>
      </c>
      <c r="M94" s="49" t="s">
        <v>441</v>
      </c>
      <c r="N94" s="49" t="s">
        <v>440</v>
      </c>
      <c r="O94" s="649" t="s">
        <v>1718</v>
      </c>
      <c r="P94" s="328">
        <v>349431095</v>
      </c>
      <c r="Q94" s="328">
        <v>0</v>
      </c>
      <c r="R94" s="328">
        <v>0</v>
      </c>
      <c r="S94" s="648">
        <v>349431095</v>
      </c>
      <c r="T94" s="328">
        <v>0</v>
      </c>
      <c r="U94" s="328">
        <v>349400000</v>
      </c>
      <c r="V94" s="328">
        <v>31095</v>
      </c>
      <c r="W94" s="328">
        <v>349400000</v>
      </c>
      <c r="X94" s="646">
        <f t="shared" si="2"/>
        <v>31095</v>
      </c>
      <c r="Y94" s="328">
        <v>349400000</v>
      </c>
      <c r="Z94" s="328">
        <v>349400000</v>
      </c>
      <c r="AA94" s="328">
        <v>349400000</v>
      </c>
    </row>
    <row r="95" spans="1:27" ht="22.5" hidden="1" x14ac:dyDescent="0.25">
      <c r="A95" s="49" t="s">
        <v>1557</v>
      </c>
      <c r="B95" s="326" t="s">
        <v>1558</v>
      </c>
      <c r="C95" s="327" t="s">
        <v>1729</v>
      </c>
      <c r="D95" s="49" t="s">
        <v>446</v>
      </c>
      <c r="E95" s="49" t="s">
        <v>451</v>
      </c>
      <c r="F95" s="49" t="s">
        <v>449</v>
      </c>
      <c r="G95" s="49" t="s">
        <v>454</v>
      </c>
      <c r="H95" s="49" t="s">
        <v>463</v>
      </c>
      <c r="I95" s="49" t="s">
        <v>1730</v>
      </c>
      <c r="J95" s="49" t="s">
        <v>438</v>
      </c>
      <c r="K95" s="49" t="s">
        <v>438</v>
      </c>
      <c r="L95" s="49" t="s">
        <v>442</v>
      </c>
      <c r="M95" s="49" t="s">
        <v>441</v>
      </c>
      <c r="N95" s="49" t="s">
        <v>440</v>
      </c>
      <c r="O95" s="326" t="s">
        <v>1572</v>
      </c>
      <c r="P95" s="328">
        <v>78310705</v>
      </c>
      <c r="Q95" s="328">
        <v>0</v>
      </c>
      <c r="R95" s="328">
        <v>0</v>
      </c>
      <c r="S95" s="648">
        <v>78310705</v>
      </c>
      <c r="T95" s="328">
        <v>0</v>
      </c>
      <c r="U95" s="328">
        <v>78310705</v>
      </c>
      <c r="V95" s="328">
        <v>0</v>
      </c>
      <c r="W95" s="328">
        <v>31188001</v>
      </c>
      <c r="X95" s="646">
        <f t="shared" si="2"/>
        <v>47122704</v>
      </c>
      <c r="Y95" s="328">
        <v>31188001</v>
      </c>
      <c r="Z95" s="328">
        <v>31188001</v>
      </c>
      <c r="AA95" s="328">
        <v>31188001</v>
      </c>
    </row>
    <row r="96" spans="1:27" ht="22.5" hidden="1" x14ac:dyDescent="0.25">
      <c r="A96" s="49" t="s">
        <v>1557</v>
      </c>
      <c r="B96" s="326" t="s">
        <v>1558</v>
      </c>
      <c r="C96" s="327" t="s">
        <v>1725</v>
      </c>
      <c r="D96" s="49" t="s">
        <v>446</v>
      </c>
      <c r="E96" s="49" t="s">
        <v>451</v>
      </c>
      <c r="F96" s="49" t="s">
        <v>449</v>
      </c>
      <c r="G96" s="49" t="s">
        <v>454</v>
      </c>
      <c r="H96" s="49" t="s">
        <v>463</v>
      </c>
      <c r="I96" s="49" t="s">
        <v>1726</v>
      </c>
      <c r="J96" s="49" t="s">
        <v>438</v>
      </c>
      <c r="K96" s="49" t="s">
        <v>438</v>
      </c>
      <c r="L96" s="49" t="s">
        <v>442</v>
      </c>
      <c r="M96" s="49" t="s">
        <v>441</v>
      </c>
      <c r="N96" s="49" t="s">
        <v>440</v>
      </c>
      <c r="O96" s="326" t="s">
        <v>1603</v>
      </c>
      <c r="P96" s="328">
        <v>70069872</v>
      </c>
      <c r="Q96" s="328">
        <v>0</v>
      </c>
      <c r="R96" s="328">
        <v>0</v>
      </c>
      <c r="S96" s="648">
        <v>70069872</v>
      </c>
      <c r="T96" s="328">
        <v>0</v>
      </c>
      <c r="U96" s="328">
        <v>70069872</v>
      </c>
      <c r="V96" s="328">
        <v>0</v>
      </c>
      <c r="W96" s="328">
        <v>28675200</v>
      </c>
      <c r="X96" s="646">
        <f t="shared" si="2"/>
        <v>41394672</v>
      </c>
      <c r="Y96" s="328">
        <v>28675200</v>
      </c>
      <c r="Z96" s="328">
        <v>28675200</v>
      </c>
      <c r="AA96" s="328">
        <v>28675200</v>
      </c>
    </row>
    <row r="97" spans="1:27" ht="22.5" hidden="1" x14ac:dyDescent="0.25">
      <c r="A97" s="49" t="s">
        <v>1557</v>
      </c>
      <c r="B97" s="326" t="s">
        <v>1558</v>
      </c>
      <c r="C97" s="327" t="s">
        <v>1697</v>
      </c>
      <c r="D97" s="49" t="s">
        <v>446</v>
      </c>
      <c r="E97" s="49" t="s">
        <v>451</v>
      </c>
      <c r="F97" s="49" t="s">
        <v>449</v>
      </c>
      <c r="G97" s="49" t="s">
        <v>454</v>
      </c>
      <c r="H97" s="49" t="s">
        <v>463</v>
      </c>
      <c r="I97" s="49" t="s">
        <v>1698</v>
      </c>
      <c r="J97" s="49" t="s">
        <v>438</v>
      </c>
      <c r="K97" s="49" t="s">
        <v>438</v>
      </c>
      <c r="L97" s="49" t="s">
        <v>442</v>
      </c>
      <c r="M97" s="49" t="s">
        <v>441</v>
      </c>
      <c r="N97" s="49" t="s">
        <v>440</v>
      </c>
      <c r="O97" s="326" t="s">
        <v>1560</v>
      </c>
      <c r="P97" s="328">
        <v>1359578568</v>
      </c>
      <c r="Q97" s="328">
        <v>0</v>
      </c>
      <c r="R97" s="328">
        <v>20000000</v>
      </c>
      <c r="S97" s="648">
        <v>1339578568</v>
      </c>
      <c r="T97" s="328">
        <v>0</v>
      </c>
      <c r="U97" s="328">
        <v>1339578568</v>
      </c>
      <c r="V97" s="328">
        <v>0</v>
      </c>
      <c r="W97" s="328">
        <v>692372832</v>
      </c>
      <c r="X97" s="646">
        <f t="shared" si="2"/>
        <v>647205736</v>
      </c>
      <c r="Y97" s="328">
        <v>692372832</v>
      </c>
      <c r="Z97" s="328">
        <v>692372832</v>
      </c>
      <c r="AA97" s="328">
        <v>692372832</v>
      </c>
    </row>
    <row r="98" spans="1:27" ht="22.5" hidden="1" x14ac:dyDescent="0.25">
      <c r="A98" s="49" t="s">
        <v>1557</v>
      </c>
      <c r="B98" s="326" t="s">
        <v>1558</v>
      </c>
      <c r="C98" s="327" t="s">
        <v>1733</v>
      </c>
      <c r="D98" s="49" t="s">
        <v>446</v>
      </c>
      <c r="E98" s="49" t="s">
        <v>451</v>
      </c>
      <c r="F98" s="49" t="s">
        <v>449</v>
      </c>
      <c r="G98" s="49" t="s">
        <v>454</v>
      </c>
      <c r="H98" s="49" t="s">
        <v>463</v>
      </c>
      <c r="I98" s="49" t="s">
        <v>1734</v>
      </c>
      <c r="J98" s="49" t="s">
        <v>438</v>
      </c>
      <c r="K98" s="49" t="s">
        <v>438</v>
      </c>
      <c r="L98" s="49" t="s">
        <v>442</v>
      </c>
      <c r="M98" s="49" t="s">
        <v>441</v>
      </c>
      <c r="N98" s="49" t="s">
        <v>440</v>
      </c>
      <c r="O98" s="326" t="s">
        <v>1605</v>
      </c>
      <c r="P98" s="328">
        <v>135156905</v>
      </c>
      <c r="Q98" s="328">
        <v>0</v>
      </c>
      <c r="R98" s="328">
        <v>0</v>
      </c>
      <c r="S98" s="648">
        <v>135156905</v>
      </c>
      <c r="T98" s="328">
        <v>0</v>
      </c>
      <c r="U98" s="328">
        <v>135156905</v>
      </c>
      <c r="V98" s="328">
        <v>0</v>
      </c>
      <c r="W98" s="328">
        <v>51616100</v>
      </c>
      <c r="X98" s="646">
        <f t="shared" si="2"/>
        <v>83540805</v>
      </c>
      <c r="Y98" s="328">
        <v>51616100</v>
      </c>
      <c r="Z98" s="328">
        <v>51616100</v>
      </c>
      <c r="AA98" s="328">
        <v>51616100</v>
      </c>
    </row>
    <row r="99" spans="1:27" ht="45" hidden="1" x14ac:dyDescent="0.25">
      <c r="A99" s="49" t="s">
        <v>1557</v>
      </c>
      <c r="B99" s="326" t="s">
        <v>1558</v>
      </c>
      <c r="C99" s="327" t="s">
        <v>1706</v>
      </c>
      <c r="D99" s="49" t="s">
        <v>446</v>
      </c>
      <c r="E99" s="49" t="s">
        <v>451</v>
      </c>
      <c r="F99" s="49" t="s">
        <v>449</v>
      </c>
      <c r="G99" s="49" t="s">
        <v>454</v>
      </c>
      <c r="H99" s="49" t="s">
        <v>463</v>
      </c>
      <c r="I99" s="49" t="s">
        <v>1707</v>
      </c>
      <c r="J99" s="49" t="s">
        <v>438</v>
      </c>
      <c r="K99" s="49" t="s">
        <v>438</v>
      </c>
      <c r="L99" s="49" t="s">
        <v>442</v>
      </c>
      <c r="M99" s="49" t="s">
        <v>441</v>
      </c>
      <c r="N99" s="49" t="s">
        <v>440</v>
      </c>
      <c r="O99" s="326" t="s">
        <v>1615</v>
      </c>
      <c r="P99" s="328">
        <v>8043614</v>
      </c>
      <c r="Q99" s="328">
        <v>0</v>
      </c>
      <c r="R99" s="328">
        <v>0</v>
      </c>
      <c r="S99" s="648">
        <v>8043614</v>
      </c>
      <c r="T99" s="328">
        <v>0</v>
      </c>
      <c r="U99" s="328">
        <v>8043614</v>
      </c>
      <c r="V99" s="328">
        <v>0</v>
      </c>
      <c r="W99" s="328">
        <v>3246000</v>
      </c>
      <c r="X99" s="646">
        <f t="shared" si="2"/>
        <v>4797614</v>
      </c>
      <c r="Y99" s="328">
        <v>3246000</v>
      </c>
      <c r="Z99" s="328">
        <v>3246000</v>
      </c>
      <c r="AA99" s="328">
        <v>3246000</v>
      </c>
    </row>
    <row r="100" spans="1:27" ht="22.5" hidden="1" x14ac:dyDescent="0.25">
      <c r="A100" s="49" t="s">
        <v>1557</v>
      </c>
      <c r="B100" s="326" t="s">
        <v>1558</v>
      </c>
      <c r="C100" s="327" t="s">
        <v>1727</v>
      </c>
      <c r="D100" s="49" t="s">
        <v>446</v>
      </c>
      <c r="E100" s="49" t="s">
        <v>451</v>
      </c>
      <c r="F100" s="49" t="s">
        <v>449</v>
      </c>
      <c r="G100" s="49" t="s">
        <v>454</v>
      </c>
      <c r="H100" s="49" t="s">
        <v>463</v>
      </c>
      <c r="I100" s="49" t="s">
        <v>1728</v>
      </c>
      <c r="J100" s="49" t="s">
        <v>438</v>
      </c>
      <c r="K100" s="49" t="s">
        <v>438</v>
      </c>
      <c r="L100" s="49" t="s">
        <v>442</v>
      </c>
      <c r="M100" s="49" t="s">
        <v>441</v>
      </c>
      <c r="N100" s="49" t="s">
        <v>440</v>
      </c>
      <c r="O100" s="326" t="s">
        <v>1611</v>
      </c>
      <c r="P100" s="328">
        <v>49753780</v>
      </c>
      <c r="Q100" s="328">
        <v>0</v>
      </c>
      <c r="R100" s="328">
        <v>0</v>
      </c>
      <c r="S100" s="648">
        <v>49753780</v>
      </c>
      <c r="T100" s="328">
        <v>0</v>
      </c>
      <c r="U100" s="328">
        <v>49753780</v>
      </c>
      <c r="V100" s="328">
        <v>0</v>
      </c>
      <c r="W100" s="328">
        <v>27847648</v>
      </c>
      <c r="X100" s="646">
        <f t="shared" si="2"/>
        <v>21906132</v>
      </c>
      <c r="Y100" s="328">
        <v>27847648</v>
      </c>
      <c r="Z100" s="328">
        <v>27847648</v>
      </c>
      <c r="AA100" s="328">
        <v>27847648</v>
      </c>
    </row>
    <row r="101" spans="1:27" ht="22.5" hidden="1" x14ac:dyDescent="0.25">
      <c r="A101" s="49" t="s">
        <v>1557</v>
      </c>
      <c r="B101" s="326" t="s">
        <v>1558</v>
      </c>
      <c r="C101" s="327" t="s">
        <v>1712</v>
      </c>
      <c r="D101" s="49" t="s">
        <v>446</v>
      </c>
      <c r="E101" s="49" t="s">
        <v>451</v>
      </c>
      <c r="F101" s="49" t="s">
        <v>449</v>
      </c>
      <c r="G101" s="49" t="s">
        <v>454</v>
      </c>
      <c r="H101" s="49" t="s">
        <v>463</v>
      </c>
      <c r="I101" s="49" t="s">
        <v>1713</v>
      </c>
      <c r="J101" s="49" t="s">
        <v>438</v>
      </c>
      <c r="K101" s="49" t="s">
        <v>438</v>
      </c>
      <c r="L101" s="49" t="s">
        <v>442</v>
      </c>
      <c r="M101" s="49" t="s">
        <v>441</v>
      </c>
      <c r="N101" s="49" t="s">
        <v>440</v>
      </c>
      <c r="O101" s="326" t="s">
        <v>1619</v>
      </c>
      <c r="P101" s="328">
        <v>8758734</v>
      </c>
      <c r="Q101" s="328">
        <v>0</v>
      </c>
      <c r="R101" s="328">
        <v>0</v>
      </c>
      <c r="S101" s="648">
        <v>8758734</v>
      </c>
      <c r="T101" s="328">
        <v>0</v>
      </c>
      <c r="U101" s="328">
        <v>8758734</v>
      </c>
      <c r="V101" s="328">
        <v>0</v>
      </c>
      <c r="W101" s="328">
        <v>3579500</v>
      </c>
      <c r="X101" s="646">
        <f t="shared" ref="X101:X126" si="3">SUM(S101-T101-W101)</f>
        <v>5179234</v>
      </c>
      <c r="Y101" s="328">
        <v>3579500</v>
      </c>
      <c r="Z101" s="328">
        <v>3579500</v>
      </c>
      <c r="AA101" s="328">
        <v>3579500</v>
      </c>
    </row>
    <row r="102" spans="1:27" ht="56.25" x14ac:dyDescent="0.25">
      <c r="A102" s="49" t="s">
        <v>1557</v>
      </c>
      <c r="B102" s="326" t="s">
        <v>1558</v>
      </c>
      <c r="C102" s="327" t="s">
        <v>1716</v>
      </c>
      <c r="D102" s="49" t="s">
        <v>446</v>
      </c>
      <c r="E102" s="49" t="s">
        <v>451</v>
      </c>
      <c r="F102" s="49" t="s">
        <v>449</v>
      </c>
      <c r="G102" s="49" t="s">
        <v>454</v>
      </c>
      <c r="H102" s="49" t="s">
        <v>463</v>
      </c>
      <c r="I102" s="49" t="s">
        <v>1717</v>
      </c>
      <c r="J102" s="49" t="s">
        <v>438</v>
      </c>
      <c r="K102" s="49" t="s">
        <v>438</v>
      </c>
      <c r="L102" s="49" t="s">
        <v>442</v>
      </c>
      <c r="M102" s="49" t="s">
        <v>448</v>
      </c>
      <c r="N102" s="49" t="s">
        <v>188</v>
      </c>
      <c r="O102" s="649" t="s">
        <v>1718</v>
      </c>
      <c r="P102" s="328">
        <v>3000000000</v>
      </c>
      <c r="Q102" s="328">
        <v>0</v>
      </c>
      <c r="R102" s="328">
        <v>0</v>
      </c>
      <c r="S102" s="648">
        <v>3000000000</v>
      </c>
      <c r="T102" s="328">
        <v>0</v>
      </c>
      <c r="U102" s="328">
        <v>2627352000</v>
      </c>
      <c r="V102" s="328">
        <v>372648000</v>
      </c>
      <c r="W102" s="328">
        <v>2401788000</v>
      </c>
      <c r="X102" s="646">
        <f t="shared" si="3"/>
        <v>598212000</v>
      </c>
      <c r="Y102" s="328">
        <v>957900244</v>
      </c>
      <c r="Z102" s="328">
        <v>936359058</v>
      </c>
      <c r="AA102" s="328">
        <v>899304058</v>
      </c>
    </row>
    <row r="103" spans="1:27" ht="56.25" x14ac:dyDescent="0.25">
      <c r="A103" s="49" t="s">
        <v>1557</v>
      </c>
      <c r="B103" s="326" t="s">
        <v>1558</v>
      </c>
      <c r="C103" s="327" t="s">
        <v>1716</v>
      </c>
      <c r="D103" s="49" t="s">
        <v>446</v>
      </c>
      <c r="E103" s="49" t="s">
        <v>451</v>
      </c>
      <c r="F103" s="49" t="s">
        <v>449</v>
      </c>
      <c r="G103" s="49" t="s">
        <v>454</v>
      </c>
      <c r="H103" s="49" t="s">
        <v>463</v>
      </c>
      <c r="I103" s="49" t="s">
        <v>1717</v>
      </c>
      <c r="J103" s="49" t="s">
        <v>438</v>
      </c>
      <c r="K103" s="49" t="s">
        <v>438</v>
      </c>
      <c r="L103" s="49" t="s">
        <v>442</v>
      </c>
      <c r="M103" s="49" t="s">
        <v>453</v>
      </c>
      <c r="N103" s="49" t="s">
        <v>188</v>
      </c>
      <c r="O103" s="649" t="s">
        <v>1718</v>
      </c>
      <c r="P103" s="328">
        <v>288000000</v>
      </c>
      <c r="Q103" s="328">
        <v>0</v>
      </c>
      <c r="R103" s="328">
        <v>0</v>
      </c>
      <c r="S103" s="648">
        <v>288000000</v>
      </c>
      <c r="T103" s="328">
        <v>0</v>
      </c>
      <c r="U103" s="328">
        <v>200063654</v>
      </c>
      <c r="V103" s="328">
        <v>87936346</v>
      </c>
      <c r="W103" s="328">
        <v>195543169</v>
      </c>
      <c r="X103" s="646">
        <f t="shared" si="3"/>
        <v>92456831</v>
      </c>
      <c r="Y103" s="328">
        <v>54287540</v>
      </c>
      <c r="Z103" s="328">
        <v>54287540</v>
      </c>
      <c r="AA103" s="328">
        <v>54287540</v>
      </c>
    </row>
    <row r="104" spans="1:27" ht="33.75" hidden="1" x14ac:dyDescent="0.25">
      <c r="A104" s="49" t="s">
        <v>1557</v>
      </c>
      <c r="B104" s="326" t="s">
        <v>1558</v>
      </c>
      <c r="C104" s="327" t="s">
        <v>1740</v>
      </c>
      <c r="D104" s="49" t="s">
        <v>446</v>
      </c>
      <c r="E104" s="49" t="s">
        <v>445</v>
      </c>
      <c r="F104" s="49" t="s">
        <v>449</v>
      </c>
      <c r="G104" s="49" t="s">
        <v>441</v>
      </c>
      <c r="H104" s="49" t="s">
        <v>463</v>
      </c>
      <c r="I104" s="49" t="s">
        <v>1711</v>
      </c>
      <c r="J104" s="49" t="s">
        <v>438</v>
      </c>
      <c r="K104" s="49" t="s">
        <v>438</v>
      </c>
      <c r="L104" s="49" t="s">
        <v>442</v>
      </c>
      <c r="M104" s="49" t="s">
        <v>441</v>
      </c>
      <c r="N104" s="49" t="s">
        <v>440</v>
      </c>
      <c r="O104" s="326" t="s">
        <v>1623</v>
      </c>
      <c r="P104" s="328">
        <v>8392665</v>
      </c>
      <c r="Q104" s="328">
        <v>0</v>
      </c>
      <c r="R104" s="328">
        <v>0</v>
      </c>
      <c r="S104" s="648">
        <v>8392665</v>
      </c>
      <c r="T104" s="328">
        <v>0</v>
      </c>
      <c r="U104" s="328">
        <v>8392665</v>
      </c>
      <c r="V104" s="328">
        <v>0</v>
      </c>
      <c r="W104" s="328">
        <v>3281000</v>
      </c>
      <c r="X104" s="646">
        <f t="shared" si="3"/>
        <v>5111665</v>
      </c>
      <c r="Y104" s="328">
        <v>3281000</v>
      </c>
      <c r="Z104" s="328">
        <v>3281000</v>
      </c>
      <c r="AA104" s="328">
        <v>3281000</v>
      </c>
    </row>
    <row r="105" spans="1:27" ht="22.5" hidden="1" x14ac:dyDescent="0.25">
      <c r="A105" s="49" t="s">
        <v>1557</v>
      </c>
      <c r="B105" s="326" t="s">
        <v>1558</v>
      </c>
      <c r="C105" s="327" t="s">
        <v>1742</v>
      </c>
      <c r="D105" s="49" t="s">
        <v>446</v>
      </c>
      <c r="E105" s="49" t="s">
        <v>445</v>
      </c>
      <c r="F105" s="49" t="s">
        <v>449</v>
      </c>
      <c r="G105" s="49" t="s">
        <v>441</v>
      </c>
      <c r="H105" s="49" t="s">
        <v>463</v>
      </c>
      <c r="I105" s="49" t="s">
        <v>1698</v>
      </c>
      <c r="J105" s="49" t="s">
        <v>438</v>
      </c>
      <c r="K105" s="49" t="s">
        <v>438</v>
      </c>
      <c r="L105" s="49" t="s">
        <v>442</v>
      </c>
      <c r="M105" s="49" t="s">
        <v>441</v>
      </c>
      <c r="N105" s="49" t="s">
        <v>440</v>
      </c>
      <c r="O105" s="326" t="s">
        <v>1560</v>
      </c>
      <c r="P105" s="328">
        <v>671710735</v>
      </c>
      <c r="Q105" s="328">
        <v>0</v>
      </c>
      <c r="R105" s="328">
        <v>0</v>
      </c>
      <c r="S105" s="648">
        <v>671710735</v>
      </c>
      <c r="T105" s="328">
        <v>0</v>
      </c>
      <c r="U105" s="328">
        <v>671710735</v>
      </c>
      <c r="V105" s="328">
        <v>0</v>
      </c>
      <c r="W105" s="328">
        <v>320638327</v>
      </c>
      <c r="X105" s="646">
        <f t="shared" si="3"/>
        <v>351072408</v>
      </c>
      <c r="Y105" s="328">
        <v>320638327</v>
      </c>
      <c r="Z105" s="328">
        <v>320638327</v>
      </c>
      <c r="AA105" s="328">
        <v>320638327</v>
      </c>
    </row>
    <row r="106" spans="1:27" ht="22.5" hidden="1" x14ac:dyDescent="0.25">
      <c r="A106" s="49" t="s">
        <v>1557</v>
      </c>
      <c r="B106" s="326" t="s">
        <v>1558</v>
      </c>
      <c r="C106" s="327" t="s">
        <v>1755</v>
      </c>
      <c r="D106" s="49" t="s">
        <v>446</v>
      </c>
      <c r="E106" s="49" t="s">
        <v>445</v>
      </c>
      <c r="F106" s="49" t="s">
        <v>449</v>
      </c>
      <c r="G106" s="49" t="s">
        <v>441</v>
      </c>
      <c r="H106" s="49" t="s">
        <v>463</v>
      </c>
      <c r="I106" s="49" t="s">
        <v>1713</v>
      </c>
      <c r="J106" s="49" t="s">
        <v>438</v>
      </c>
      <c r="K106" s="49" t="s">
        <v>438</v>
      </c>
      <c r="L106" s="49" t="s">
        <v>442</v>
      </c>
      <c r="M106" s="49" t="s">
        <v>441</v>
      </c>
      <c r="N106" s="49" t="s">
        <v>440</v>
      </c>
      <c r="O106" s="326" t="s">
        <v>1619</v>
      </c>
      <c r="P106" s="328">
        <v>4196333</v>
      </c>
      <c r="Q106" s="328">
        <v>0</v>
      </c>
      <c r="R106" s="328">
        <v>0</v>
      </c>
      <c r="S106" s="648">
        <v>4196333</v>
      </c>
      <c r="T106" s="328">
        <v>0</v>
      </c>
      <c r="U106" s="328">
        <v>4196333</v>
      </c>
      <c r="V106" s="328">
        <v>0</v>
      </c>
      <c r="W106" s="328">
        <v>1640300</v>
      </c>
      <c r="X106" s="646">
        <f t="shared" si="3"/>
        <v>2556033</v>
      </c>
      <c r="Y106" s="328">
        <v>1640300</v>
      </c>
      <c r="Z106" s="328">
        <v>1640300</v>
      </c>
      <c r="AA106" s="328">
        <v>1640300</v>
      </c>
    </row>
    <row r="107" spans="1:27" ht="22.5" hidden="1" x14ac:dyDescent="0.25">
      <c r="A107" s="49" t="s">
        <v>1557</v>
      </c>
      <c r="B107" s="326" t="s">
        <v>1558</v>
      </c>
      <c r="C107" s="327" t="s">
        <v>1753</v>
      </c>
      <c r="D107" s="49" t="s">
        <v>446</v>
      </c>
      <c r="E107" s="49" t="s">
        <v>445</v>
      </c>
      <c r="F107" s="49" t="s">
        <v>449</v>
      </c>
      <c r="G107" s="49" t="s">
        <v>441</v>
      </c>
      <c r="H107" s="49" t="s">
        <v>463</v>
      </c>
      <c r="I107" s="49" t="s">
        <v>1709</v>
      </c>
      <c r="J107" s="49" t="s">
        <v>438</v>
      </c>
      <c r="K107" s="49" t="s">
        <v>438</v>
      </c>
      <c r="L107" s="49" t="s">
        <v>442</v>
      </c>
      <c r="M107" s="49" t="s">
        <v>441</v>
      </c>
      <c r="N107" s="49" t="s">
        <v>440</v>
      </c>
      <c r="O107" s="326" t="s">
        <v>1617</v>
      </c>
      <c r="P107" s="328">
        <v>25177996</v>
      </c>
      <c r="Q107" s="328">
        <v>0</v>
      </c>
      <c r="R107" s="328">
        <v>0</v>
      </c>
      <c r="S107" s="648">
        <v>25177996</v>
      </c>
      <c r="T107" s="328">
        <v>0</v>
      </c>
      <c r="U107" s="328">
        <v>25177996</v>
      </c>
      <c r="V107" s="328">
        <v>0</v>
      </c>
      <c r="W107" s="328">
        <v>9845400</v>
      </c>
      <c r="X107" s="646">
        <f t="shared" si="3"/>
        <v>15332596</v>
      </c>
      <c r="Y107" s="328">
        <v>9845400</v>
      </c>
      <c r="Z107" s="328">
        <v>9845400</v>
      </c>
      <c r="AA107" s="328">
        <v>9845400</v>
      </c>
    </row>
    <row r="108" spans="1:27" ht="22.5" hidden="1" x14ac:dyDescent="0.25">
      <c r="A108" s="49" t="s">
        <v>1557</v>
      </c>
      <c r="B108" s="326" t="s">
        <v>1558</v>
      </c>
      <c r="C108" s="327" t="s">
        <v>1754</v>
      </c>
      <c r="D108" s="49" t="s">
        <v>446</v>
      </c>
      <c r="E108" s="49" t="s">
        <v>445</v>
      </c>
      <c r="F108" s="49" t="s">
        <v>449</v>
      </c>
      <c r="G108" s="49" t="s">
        <v>441</v>
      </c>
      <c r="H108" s="49" t="s">
        <v>463</v>
      </c>
      <c r="I108" s="49" t="s">
        <v>1720</v>
      </c>
      <c r="J108" s="49" t="s">
        <v>438</v>
      </c>
      <c r="K108" s="49" t="s">
        <v>438</v>
      </c>
      <c r="L108" s="49" t="s">
        <v>442</v>
      </c>
      <c r="M108" s="49" t="s">
        <v>441</v>
      </c>
      <c r="N108" s="49" t="s">
        <v>440</v>
      </c>
      <c r="O108" s="326" t="s">
        <v>1585</v>
      </c>
      <c r="P108" s="328">
        <v>69938878</v>
      </c>
      <c r="Q108" s="328">
        <v>0</v>
      </c>
      <c r="R108" s="328">
        <v>0</v>
      </c>
      <c r="S108" s="648">
        <v>69938878</v>
      </c>
      <c r="T108" s="328">
        <v>0</v>
      </c>
      <c r="U108" s="328">
        <v>69938878</v>
      </c>
      <c r="V108" s="328">
        <v>0</v>
      </c>
      <c r="W108" s="328">
        <v>2703790</v>
      </c>
      <c r="X108" s="646">
        <f t="shared" si="3"/>
        <v>67235088</v>
      </c>
      <c r="Y108" s="328">
        <v>1116332</v>
      </c>
      <c r="Z108" s="328">
        <v>1116332</v>
      </c>
      <c r="AA108" s="328">
        <v>1116332</v>
      </c>
    </row>
    <row r="109" spans="1:27" ht="45" x14ac:dyDescent="0.25">
      <c r="A109" s="49" t="s">
        <v>1557</v>
      </c>
      <c r="B109" s="326" t="s">
        <v>1558</v>
      </c>
      <c r="C109" s="327" t="s">
        <v>1746</v>
      </c>
      <c r="D109" s="49" t="s">
        <v>446</v>
      </c>
      <c r="E109" s="49" t="s">
        <v>445</v>
      </c>
      <c r="F109" s="49" t="s">
        <v>449</v>
      </c>
      <c r="G109" s="49" t="s">
        <v>441</v>
      </c>
      <c r="H109" s="49" t="s">
        <v>463</v>
      </c>
      <c r="I109" s="49" t="s">
        <v>1717</v>
      </c>
      <c r="J109" s="49" t="s">
        <v>438</v>
      </c>
      <c r="K109" s="49" t="s">
        <v>438</v>
      </c>
      <c r="L109" s="49" t="s">
        <v>442</v>
      </c>
      <c r="M109" s="49" t="s">
        <v>441</v>
      </c>
      <c r="N109" s="49" t="s">
        <v>440</v>
      </c>
      <c r="O109" s="649" t="s">
        <v>350</v>
      </c>
      <c r="P109" s="328">
        <v>1738076367</v>
      </c>
      <c r="Q109" s="328">
        <v>30000000</v>
      </c>
      <c r="R109" s="328">
        <v>60000000</v>
      </c>
      <c r="S109" s="648">
        <v>1708076367</v>
      </c>
      <c r="T109" s="328">
        <v>0</v>
      </c>
      <c r="U109" s="328">
        <v>1424549117</v>
      </c>
      <c r="V109" s="328">
        <v>283527250</v>
      </c>
      <c r="W109" s="328">
        <v>1392862534.5</v>
      </c>
      <c r="X109" s="646">
        <f t="shared" si="3"/>
        <v>315213832.5</v>
      </c>
      <c r="Y109" s="328">
        <v>841252534.5</v>
      </c>
      <c r="Z109" s="328">
        <v>828852534.5</v>
      </c>
      <c r="AA109" s="328">
        <v>828852534.5</v>
      </c>
    </row>
    <row r="110" spans="1:27" ht="22.5" hidden="1" x14ac:dyDescent="0.25">
      <c r="A110" s="49" t="s">
        <v>1557</v>
      </c>
      <c r="B110" s="326" t="s">
        <v>1558</v>
      </c>
      <c r="C110" s="327" t="s">
        <v>1756</v>
      </c>
      <c r="D110" s="49" t="s">
        <v>446</v>
      </c>
      <c r="E110" s="49" t="s">
        <v>445</v>
      </c>
      <c r="F110" s="49" t="s">
        <v>449</v>
      </c>
      <c r="G110" s="49" t="s">
        <v>441</v>
      </c>
      <c r="H110" s="49" t="s">
        <v>463</v>
      </c>
      <c r="I110" s="49" t="s">
        <v>1715</v>
      </c>
      <c r="J110" s="49" t="s">
        <v>438</v>
      </c>
      <c r="K110" s="49" t="s">
        <v>438</v>
      </c>
      <c r="L110" s="49" t="s">
        <v>442</v>
      </c>
      <c r="M110" s="49" t="s">
        <v>441</v>
      </c>
      <c r="N110" s="49" t="s">
        <v>440</v>
      </c>
      <c r="O110" s="326" t="s">
        <v>1609</v>
      </c>
      <c r="P110" s="328">
        <v>75767118</v>
      </c>
      <c r="Q110" s="328">
        <v>0</v>
      </c>
      <c r="R110" s="328">
        <v>0</v>
      </c>
      <c r="S110" s="648">
        <v>75767118</v>
      </c>
      <c r="T110" s="328">
        <v>0</v>
      </c>
      <c r="U110" s="328">
        <v>75767118</v>
      </c>
      <c r="V110" s="328">
        <v>0</v>
      </c>
      <c r="W110" s="328">
        <v>26530508</v>
      </c>
      <c r="X110" s="646">
        <f t="shared" si="3"/>
        <v>49236610</v>
      </c>
      <c r="Y110" s="328">
        <v>26530508</v>
      </c>
      <c r="Z110" s="328">
        <v>26530508</v>
      </c>
      <c r="AA110" s="328">
        <v>26530508</v>
      </c>
    </row>
    <row r="111" spans="1:27" ht="22.5" hidden="1" x14ac:dyDescent="0.25">
      <c r="A111" s="49" t="s">
        <v>1557</v>
      </c>
      <c r="B111" s="326" t="s">
        <v>1558</v>
      </c>
      <c r="C111" s="327" t="s">
        <v>1757</v>
      </c>
      <c r="D111" s="49" t="s">
        <v>446</v>
      </c>
      <c r="E111" s="49" t="s">
        <v>445</v>
      </c>
      <c r="F111" s="49" t="s">
        <v>449</v>
      </c>
      <c r="G111" s="49" t="s">
        <v>441</v>
      </c>
      <c r="H111" s="49" t="s">
        <v>463</v>
      </c>
      <c r="I111" s="49" t="s">
        <v>1728</v>
      </c>
      <c r="J111" s="49" t="s">
        <v>438</v>
      </c>
      <c r="K111" s="49" t="s">
        <v>438</v>
      </c>
      <c r="L111" s="49" t="s">
        <v>442</v>
      </c>
      <c r="M111" s="49" t="s">
        <v>441</v>
      </c>
      <c r="N111" s="49" t="s">
        <v>440</v>
      </c>
      <c r="O111" s="326" t="s">
        <v>1611</v>
      </c>
      <c r="P111" s="328">
        <v>9000000</v>
      </c>
      <c r="Q111" s="328">
        <v>0</v>
      </c>
      <c r="R111" s="328">
        <v>0</v>
      </c>
      <c r="S111" s="648">
        <v>9000000</v>
      </c>
      <c r="T111" s="328">
        <v>0</v>
      </c>
      <c r="U111" s="328">
        <v>9000000</v>
      </c>
      <c r="V111" s="328">
        <v>0</v>
      </c>
      <c r="W111" s="328">
        <v>3967500</v>
      </c>
      <c r="X111" s="646">
        <f t="shared" si="3"/>
        <v>5032500</v>
      </c>
      <c r="Y111" s="328">
        <v>3967500</v>
      </c>
      <c r="Z111" s="328">
        <v>3967500</v>
      </c>
      <c r="AA111" s="328">
        <v>3967500</v>
      </c>
    </row>
    <row r="112" spans="1:27" ht="22.5" hidden="1" x14ac:dyDescent="0.25">
      <c r="A112" s="49" t="s">
        <v>1557</v>
      </c>
      <c r="B112" s="326" t="s">
        <v>1558</v>
      </c>
      <c r="C112" s="327" t="s">
        <v>1744</v>
      </c>
      <c r="D112" s="49" t="s">
        <v>446</v>
      </c>
      <c r="E112" s="49" t="s">
        <v>445</v>
      </c>
      <c r="F112" s="49" t="s">
        <v>449</v>
      </c>
      <c r="G112" s="49" t="s">
        <v>441</v>
      </c>
      <c r="H112" s="49" t="s">
        <v>463</v>
      </c>
      <c r="I112" s="49" t="s">
        <v>1734</v>
      </c>
      <c r="J112" s="49" t="s">
        <v>438</v>
      </c>
      <c r="K112" s="49" t="s">
        <v>438</v>
      </c>
      <c r="L112" s="49" t="s">
        <v>442</v>
      </c>
      <c r="M112" s="49" t="s">
        <v>441</v>
      </c>
      <c r="N112" s="49" t="s">
        <v>440</v>
      </c>
      <c r="O112" s="326" t="s">
        <v>1605</v>
      </c>
      <c r="P112" s="328">
        <v>81153337</v>
      </c>
      <c r="Q112" s="328">
        <v>0</v>
      </c>
      <c r="R112" s="328">
        <v>0</v>
      </c>
      <c r="S112" s="648">
        <v>81153337</v>
      </c>
      <c r="T112" s="328">
        <v>0</v>
      </c>
      <c r="U112" s="328">
        <v>81153337</v>
      </c>
      <c r="V112" s="328">
        <v>0</v>
      </c>
      <c r="W112" s="328">
        <v>32132300</v>
      </c>
      <c r="X112" s="646">
        <f t="shared" si="3"/>
        <v>49021037</v>
      </c>
      <c r="Y112" s="328">
        <v>32132300</v>
      </c>
      <c r="Z112" s="328">
        <v>32132300</v>
      </c>
      <c r="AA112" s="328">
        <v>32132300</v>
      </c>
    </row>
    <row r="113" spans="1:27" ht="22.5" hidden="1" x14ac:dyDescent="0.25">
      <c r="A113" s="49" t="s">
        <v>1557</v>
      </c>
      <c r="B113" s="326" t="s">
        <v>1558</v>
      </c>
      <c r="C113" s="327" t="s">
        <v>1745</v>
      </c>
      <c r="D113" s="49" t="s">
        <v>446</v>
      </c>
      <c r="E113" s="49" t="s">
        <v>445</v>
      </c>
      <c r="F113" s="49" t="s">
        <v>449</v>
      </c>
      <c r="G113" s="49" t="s">
        <v>441</v>
      </c>
      <c r="H113" s="49" t="s">
        <v>463</v>
      </c>
      <c r="I113" s="49" t="s">
        <v>1730</v>
      </c>
      <c r="J113" s="49" t="s">
        <v>438</v>
      </c>
      <c r="K113" s="49" t="s">
        <v>438</v>
      </c>
      <c r="L113" s="49" t="s">
        <v>442</v>
      </c>
      <c r="M113" s="49" t="s">
        <v>441</v>
      </c>
      <c r="N113" s="49" t="s">
        <v>440</v>
      </c>
      <c r="O113" s="326" t="s">
        <v>1572</v>
      </c>
      <c r="P113" s="328">
        <v>31134624</v>
      </c>
      <c r="Q113" s="328">
        <v>0</v>
      </c>
      <c r="R113" s="328">
        <v>0</v>
      </c>
      <c r="S113" s="648">
        <v>31134624</v>
      </c>
      <c r="T113" s="328">
        <v>0</v>
      </c>
      <c r="U113" s="328">
        <v>31134624</v>
      </c>
      <c r="V113" s="328">
        <v>0</v>
      </c>
      <c r="W113" s="328">
        <v>11810664</v>
      </c>
      <c r="X113" s="646">
        <f t="shared" si="3"/>
        <v>19323960</v>
      </c>
      <c r="Y113" s="328">
        <v>11396127</v>
      </c>
      <c r="Z113" s="328">
        <v>11396127</v>
      </c>
      <c r="AA113" s="328">
        <v>11396127</v>
      </c>
    </row>
    <row r="114" spans="1:27" ht="22.5" hidden="1" x14ac:dyDescent="0.25">
      <c r="A114" s="49" t="s">
        <v>1557</v>
      </c>
      <c r="B114" s="326" t="s">
        <v>1558</v>
      </c>
      <c r="C114" s="327" t="s">
        <v>1739</v>
      </c>
      <c r="D114" s="49" t="s">
        <v>446</v>
      </c>
      <c r="E114" s="49" t="s">
        <v>445</v>
      </c>
      <c r="F114" s="49" t="s">
        <v>449</v>
      </c>
      <c r="G114" s="49" t="s">
        <v>441</v>
      </c>
      <c r="H114" s="49" t="s">
        <v>463</v>
      </c>
      <c r="I114" s="49" t="s">
        <v>1705</v>
      </c>
      <c r="J114" s="49" t="s">
        <v>438</v>
      </c>
      <c r="K114" s="49" t="s">
        <v>438</v>
      </c>
      <c r="L114" s="49" t="s">
        <v>442</v>
      </c>
      <c r="M114" s="49" t="s">
        <v>441</v>
      </c>
      <c r="N114" s="49" t="s">
        <v>440</v>
      </c>
      <c r="O114" s="326" t="s">
        <v>1562</v>
      </c>
      <c r="P114" s="328">
        <v>25000000</v>
      </c>
      <c r="Q114" s="328">
        <v>0</v>
      </c>
      <c r="R114" s="328">
        <v>0</v>
      </c>
      <c r="S114" s="648">
        <v>25000000</v>
      </c>
      <c r="T114" s="328">
        <v>0</v>
      </c>
      <c r="U114" s="328">
        <v>25000000</v>
      </c>
      <c r="V114" s="328">
        <v>0</v>
      </c>
      <c r="W114" s="328">
        <v>23716652</v>
      </c>
      <c r="X114" s="646">
        <f t="shared" si="3"/>
        <v>1283348</v>
      </c>
      <c r="Y114" s="328">
        <v>23716652</v>
      </c>
      <c r="Z114" s="328">
        <v>23716652</v>
      </c>
      <c r="AA114" s="328">
        <v>23716652</v>
      </c>
    </row>
    <row r="115" spans="1:27" ht="22.5" hidden="1" x14ac:dyDescent="0.25">
      <c r="A115" s="49" t="s">
        <v>1557</v>
      </c>
      <c r="B115" s="326" t="s">
        <v>1558</v>
      </c>
      <c r="C115" s="327" t="s">
        <v>1747</v>
      </c>
      <c r="D115" s="49" t="s">
        <v>446</v>
      </c>
      <c r="E115" s="49" t="s">
        <v>445</v>
      </c>
      <c r="F115" s="49" t="s">
        <v>449</v>
      </c>
      <c r="G115" s="49" t="s">
        <v>441</v>
      </c>
      <c r="H115" s="49" t="s">
        <v>463</v>
      </c>
      <c r="I115" s="49" t="s">
        <v>1738</v>
      </c>
      <c r="J115" s="49" t="s">
        <v>438</v>
      </c>
      <c r="K115" s="49" t="s">
        <v>438</v>
      </c>
      <c r="L115" s="49" t="s">
        <v>442</v>
      </c>
      <c r="M115" s="49" t="s">
        <v>441</v>
      </c>
      <c r="N115" s="49" t="s">
        <v>440</v>
      </c>
      <c r="O115" s="326" t="s">
        <v>1621</v>
      </c>
      <c r="P115" s="328">
        <v>4196333</v>
      </c>
      <c r="Q115" s="328">
        <v>0</v>
      </c>
      <c r="R115" s="328">
        <v>0</v>
      </c>
      <c r="S115" s="648">
        <v>4196333</v>
      </c>
      <c r="T115" s="328">
        <v>0</v>
      </c>
      <c r="U115" s="328">
        <v>4196333</v>
      </c>
      <c r="V115" s="328">
        <v>0</v>
      </c>
      <c r="W115" s="328">
        <v>1640300</v>
      </c>
      <c r="X115" s="646">
        <f t="shared" si="3"/>
        <v>2556033</v>
      </c>
      <c r="Y115" s="328">
        <v>1640300</v>
      </c>
      <c r="Z115" s="328">
        <v>1640300</v>
      </c>
      <c r="AA115" s="328">
        <v>1640300</v>
      </c>
    </row>
    <row r="116" spans="1:27" ht="22.5" hidden="1" x14ac:dyDescent="0.25">
      <c r="A116" s="49" t="s">
        <v>1557</v>
      </c>
      <c r="B116" s="326" t="s">
        <v>1558</v>
      </c>
      <c r="C116" s="327" t="s">
        <v>1749</v>
      </c>
      <c r="D116" s="49" t="s">
        <v>446</v>
      </c>
      <c r="E116" s="49" t="s">
        <v>445</v>
      </c>
      <c r="F116" s="49" t="s">
        <v>449</v>
      </c>
      <c r="G116" s="49" t="s">
        <v>441</v>
      </c>
      <c r="H116" s="49" t="s">
        <v>463</v>
      </c>
      <c r="I116" s="49" t="s">
        <v>1703</v>
      </c>
      <c r="J116" s="49" t="s">
        <v>438</v>
      </c>
      <c r="K116" s="49" t="s">
        <v>438</v>
      </c>
      <c r="L116" s="49" t="s">
        <v>442</v>
      </c>
      <c r="M116" s="49" t="s">
        <v>441</v>
      </c>
      <c r="N116" s="49" t="s">
        <v>440</v>
      </c>
      <c r="O116" s="326" t="s">
        <v>1598</v>
      </c>
      <c r="P116" s="328">
        <v>33000000</v>
      </c>
      <c r="Q116" s="328">
        <v>0</v>
      </c>
      <c r="R116" s="328">
        <v>0</v>
      </c>
      <c r="S116" s="648">
        <v>33000000</v>
      </c>
      <c r="T116" s="328">
        <v>0</v>
      </c>
      <c r="U116" s="328">
        <v>33000000</v>
      </c>
      <c r="V116" s="328">
        <v>0</v>
      </c>
      <c r="W116" s="328">
        <v>1015627</v>
      </c>
      <c r="X116" s="646">
        <f t="shared" si="3"/>
        <v>31984373</v>
      </c>
      <c r="Y116" s="328">
        <v>147797</v>
      </c>
      <c r="Z116" s="328">
        <v>147797</v>
      </c>
      <c r="AA116" s="328">
        <v>147797</v>
      </c>
    </row>
    <row r="117" spans="1:27" ht="22.5" hidden="1" x14ac:dyDescent="0.25">
      <c r="A117" s="49" t="s">
        <v>1557</v>
      </c>
      <c r="B117" s="326" t="s">
        <v>1558</v>
      </c>
      <c r="C117" s="327" t="s">
        <v>1759</v>
      </c>
      <c r="D117" s="49" t="s">
        <v>446</v>
      </c>
      <c r="E117" s="49" t="s">
        <v>445</v>
      </c>
      <c r="F117" s="49" t="s">
        <v>449</v>
      </c>
      <c r="G117" s="49" t="s">
        <v>441</v>
      </c>
      <c r="H117" s="49" t="s">
        <v>463</v>
      </c>
      <c r="I117" s="49" t="s">
        <v>1724</v>
      </c>
      <c r="J117" s="49" t="s">
        <v>438</v>
      </c>
      <c r="K117" s="49" t="s">
        <v>438</v>
      </c>
      <c r="L117" s="49" t="s">
        <v>442</v>
      </c>
      <c r="M117" s="49" t="s">
        <v>441</v>
      </c>
      <c r="N117" s="49" t="s">
        <v>440</v>
      </c>
      <c r="O117" s="326" t="s">
        <v>1582</v>
      </c>
      <c r="P117" s="328">
        <v>47422274</v>
      </c>
      <c r="Q117" s="328">
        <v>0</v>
      </c>
      <c r="R117" s="328">
        <v>0</v>
      </c>
      <c r="S117" s="648">
        <v>47422274</v>
      </c>
      <c r="T117" s="328">
        <v>0</v>
      </c>
      <c r="U117" s="328">
        <v>47422274</v>
      </c>
      <c r="V117" s="328">
        <v>0</v>
      </c>
      <c r="W117" s="328">
        <v>17789977</v>
      </c>
      <c r="X117" s="646">
        <f t="shared" si="3"/>
        <v>29632297</v>
      </c>
      <c r="Y117" s="328">
        <v>17152340</v>
      </c>
      <c r="Z117" s="328">
        <v>17152340</v>
      </c>
      <c r="AA117" s="328">
        <v>17152340</v>
      </c>
    </row>
    <row r="118" spans="1:27" ht="45" hidden="1" x14ac:dyDescent="0.25">
      <c r="A118" s="49" t="s">
        <v>1557</v>
      </c>
      <c r="B118" s="326" t="s">
        <v>1558</v>
      </c>
      <c r="C118" s="327" t="s">
        <v>1748</v>
      </c>
      <c r="D118" s="49" t="s">
        <v>446</v>
      </c>
      <c r="E118" s="49" t="s">
        <v>445</v>
      </c>
      <c r="F118" s="49" t="s">
        <v>449</v>
      </c>
      <c r="G118" s="49" t="s">
        <v>441</v>
      </c>
      <c r="H118" s="49" t="s">
        <v>463</v>
      </c>
      <c r="I118" s="49" t="s">
        <v>1707</v>
      </c>
      <c r="J118" s="49" t="s">
        <v>438</v>
      </c>
      <c r="K118" s="49" t="s">
        <v>438</v>
      </c>
      <c r="L118" s="49" t="s">
        <v>442</v>
      </c>
      <c r="M118" s="49" t="s">
        <v>441</v>
      </c>
      <c r="N118" s="49" t="s">
        <v>440</v>
      </c>
      <c r="O118" s="326" t="s">
        <v>1615</v>
      </c>
      <c r="P118" s="328">
        <v>3921670</v>
      </c>
      <c r="Q118" s="328">
        <v>0</v>
      </c>
      <c r="R118" s="328">
        <v>0</v>
      </c>
      <c r="S118" s="648">
        <v>3921670</v>
      </c>
      <c r="T118" s="328">
        <v>0</v>
      </c>
      <c r="U118" s="328">
        <v>3921670</v>
      </c>
      <c r="V118" s="328">
        <v>0</v>
      </c>
      <c r="W118" s="328">
        <v>1491500</v>
      </c>
      <c r="X118" s="646">
        <f t="shared" si="3"/>
        <v>2430170</v>
      </c>
      <c r="Y118" s="328">
        <v>1491500</v>
      </c>
      <c r="Z118" s="328">
        <v>1491500</v>
      </c>
      <c r="AA118" s="328">
        <v>1491500</v>
      </c>
    </row>
    <row r="119" spans="1:27" ht="22.5" hidden="1" x14ac:dyDescent="0.25">
      <c r="A119" s="49" t="s">
        <v>1557</v>
      </c>
      <c r="B119" s="326" t="s">
        <v>1558</v>
      </c>
      <c r="C119" s="327" t="s">
        <v>1743</v>
      </c>
      <c r="D119" s="49" t="s">
        <v>446</v>
      </c>
      <c r="E119" s="49" t="s">
        <v>445</v>
      </c>
      <c r="F119" s="49" t="s">
        <v>449</v>
      </c>
      <c r="G119" s="49" t="s">
        <v>441</v>
      </c>
      <c r="H119" s="49" t="s">
        <v>463</v>
      </c>
      <c r="I119" s="49" t="s">
        <v>1736</v>
      </c>
      <c r="J119" s="49" t="s">
        <v>438</v>
      </c>
      <c r="K119" s="49" t="s">
        <v>438</v>
      </c>
      <c r="L119" s="49" t="s">
        <v>442</v>
      </c>
      <c r="M119" s="49" t="s">
        <v>441</v>
      </c>
      <c r="N119" s="49" t="s">
        <v>440</v>
      </c>
      <c r="O119" s="326" t="s">
        <v>1574</v>
      </c>
      <c r="P119" s="328">
        <v>5732117</v>
      </c>
      <c r="Q119" s="328">
        <v>0</v>
      </c>
      <c r="R119" s="328">
        <v>0</v>
      </c>
      <c r="S119" s="648">
        <v>5732117</v>
      </c>
      <c r="T119" s="328">
        <v>0</v>
      </c>
      <c r="U119" s="328">
        <v>5732117</v>
      </c>
      <c r="V119" s="328">
        <v>0</v>
      </c>
      <c r="W119" s="328">
        <v>2244558</v>
      </c>
      <c r="X119" s="646">
        <f t="shared" si="3"/>
        <v>3487559</v>
      </c>
      <c r="Y119" s="328">
        <v>2165480</v>
      </c>
      <c r="Z119" s="328">
        <v>2165480</v>
      </c>
      <c r="AA119" s="328">
        <v>2165480</v>
      </c>
    </row>
    <row r="120" spans="1:27" ht="22.5" hidden="1" x14ac:dyDescent="0.25">
      <c r="A120" s="49" t="s">
        <v>1557</v>
      </c>
      <c r="B120" s="326" t="s">
        <v>1558</v>
      </c>
      <c r="C120" s="327" t="s">
        <v>1760</v>
      </c>
      <c r="D120" s="49" t="s">
        <v>446</v>
      </c>
      <c r="E120" s="49" t="s">
        <v>445</v>
      </c>
      <c r="F120" s="49" t="s">
        <v>449</v>
      </c>
      <c r="G120" s="49" t="s">
        <v>441</v>
      </c>
      <c r="H120" s="49" t="s">
        <v>463</v>
      </c>
      <c r="I120" s="49" t="s">
        <v>1732</v>
      </c>
      <c r="J120" s="49" t="s">
        <v>438</v>
      </c>
      <c r="K120" s="49" t="s">
        <v>438</v>
      </c>
      <c r="L120" s="49" t="s">
        <v>442</v>
      </c>
      <c r="M120" s="49" t="s">
        <v>441</v>
      </c>
      <c r="N120" s="49" t="s">
        <v>440</v>
      </c>
      <c r="O120" s="326" t="s">
        <v>1607</v>
      </c>
      <c r="P120" s="328">
        <v>63858613</v>
      </c>
      <c r="Q120" s="328">
        <v>0</v>
      </c>
      <c r="R120" s="328">
        <v>0</v>
      </c>
      <c r="S120" s="648">
        <v>63858613</v>
      </c>
      <c r="T120" s="328">
        <v>0</v>
      </c>
      <c r="U120" s="328">
        <v>63858613</v>
      </c>
      <c r="V120" s="328">
        <v>0</v>
      </c>
      <c r="W120" s="328">
        <v>25585600</v>
      </c>
      <c r="X120" s="646">
        <f t="shared" si="3"/>
        <v>38273013</v>
      </c>
      <c r="Y120" s="328">
        <v>25585600</v>
      </c>
      <c r="Z120" s="328">
        <v>25585600</v>
      </c>
      <c r="AA120" s="328">
        <v>25585600</v>
      </c>
    </row>
    <row r="121" spans="1:27" ht="22.5" hidden="1" x14ac:dyDescent="0.25">
      <c r="A121" s="49" t="s">
        <v>1557</v>
      </c>
      <c r="B121" s="326" t="s">
        <v>1558</v>
      </c>
      <c r="C121" s="327" t="s">
        <v>1758</v>
      </c>
      <c r="D121" s="49" t="s">
        <v>446</v>
      </c>
      <c r="E121" s="49" t="s">
        <v>445</v>
      </c>
      <c r="F121" s="49" t="s">
        <v>449</v>
      </c>
      <c r="G121" s="49" t="s">
        <v>441</v>
      </c>
      <c r="H121" s="49" t="s">
        <v>463</v>
      </c>
      <c r="I121" s="49" t="s">
        <v>1700</v>
      </c>
      <c r="J121" s="49" t="s">
        <v>438</v>
      </c>
      <c r="K121" s="49" t="s">
        <v>438</v>
      </c>
      <c r="L121" s="49" t="s">
        <v>442</v>
      </c>
      <c r="M121" s="49" t="s">
        <v>441</v>
      </c>
      <c r="N121" s="49" t="s">
        <v>440</v>
      </c>
      <c r="O121" s="326" t="s">
        <v>1701</v>
      </c>
      <c r="P121" s="328">
        <v>3200000</v>
      </c>
      <c r="Q121" s="328">
        <v>0</v>
      </c>
      <c r="R121" s="328">
        <v>0</v>
      </c>
      <c r="S121" s="648">
        <v>3200000</v>
      </c>
      <c r="T121" s="328">
        <v>0</v>
      </c>
      <c r="U121" s="328">
        <v>3200000</v>
      </c>
      <c r="V121" s="328">
        <v>0</v>
      </c>
      <c r="W121" s="328">
        <v>712304</v>
      </c>
      <c r="X121" s="646">
        <f t="shared" si="3"/>
        <v>2487696</v>
      </c>
      <c r="Y121" s="328">
        <v>712304</v>
      </c>
      <c r="Z121" s="328">
        <v>712304</v>
      </c>
      <c r="AA121" s="328">
        <v>712304</v>
      </c>
    </row>
    <row r="122" spans="1:27" ht="22.5" hidden="1" x14ac:dyDescent="0.25">
      <c r="A122" s="49" t="s">
        <v>1557</v>
      </c>
      <c r="B122" s="326" t="s">
        <v>1558</v>
      </c>
      <c r="C122" s="327" t="s">
        <v>1751</v>
      </c>
      <c r="D122" s="49" t="s">
        <v>446</v>
      </c>
      <c r="E122" s="49" t="s">
        <v>445</v>
      </c>
      <c r="F122" s="49" t="s">
        <v>449</v>
      </c>
      <c r="G122" s="49" t="s">
        <v>441</v>
      </c>
      <c r="H122" s="49" t="s">
        <v>463</v>
      </c>
      <c r="I122" s="49" t="s">
        <v>1752</v>
      </c>
      <c r="J122" s="49" t="s">
        <v>438</v>
      </c>
      <c r="K122" s="49" t="s">
        <v>438</v>
      </c>
      <c r="L122" s="49" t="s">
        <v>442</v>
      </c>
      <c r="M122" s="49" t="s">
        <v>441</v>
      </c>
      <c r="N122" s="49" t="s">
        <v>440</v>
      </c>
      <c r="O122" s="326" t="s">
        <v>1591</v>
      </c>
      <c r="P122" s="328">
        <v>24983819</v>
      </c>
      <c r="Q122" s="328">
        <v>0</v>
      </c>
      <c r="R122" s="328">
        <v>0</v>
      </c>
      <c r="S122" s="648">
        <v>24983819</v>
      </c>
      <c r="T122" s="328">
        <v>0</v>
      </c>
      <c r="U122" s="328">
        <v>24983819</v>
      </c>
      <c r="V122" s="328">
        <v>0</v>
      </c>
      <c r="W122" s="328">
        <v>13996760</v>
      </c>
      <c r="X122" s="646">
        <f t="shared" si="3"/>
        <v>10987059</v>
      </c>
      <c r="Y122" s="328">
        <v>13996760</v>
      </c>
      <c r="Z122" s="328">
        <v>13996760</v>
      </c>
      <c r="AA122" s="328">
        <v>13996760</v>
      </c>
    </row>
    <row r="123" spans="1:27" ht="22.5" hidden="1" x14ac:dyDescent="0.25">
      <c r="A123" s="49" t="s">
        <v>1557</v>
      </c>
      <c r="B123" s="326" t="s">
        <v>1558</v>
      </c>
      <c r="C123" s="327" t="s">
        <v>1750</v>
      </c>
      <c r="D123" s="49" t="s">
        <v>446</v>
      </c>
      <c r="E123" s="49" t="s">
        <v>445</v>
      </c>
      <c r="F123" s="49" t="s">
        <v>449</v>
      </c>
      <c r="G123" s="49" t="s">
        <v>441</v>
      </c>
      <c r="H123" s="49" t="s">
        <v>463</v>
      </c>
      <c r="I123" s="49" t="s">
        <v>1726</v>
      </c>
      <c r="J123" s="49" t="s">
        <v>438</v>
      </c>
      <c r="K123" s="49" t="s">
        <v>438</v>
      </c>
      <c r="L123" s="49" t="s">
        <v>442</v>
      </c>
      <c r="M123" s="49" t="s">
        <v>441</v>
      </c>
      <c r="N123" s="49" t="s">
        <v>440</v>
      </c>
      <c r="O123" s="326" t="s">
        <v>1603</v>
      </c>
      <c r="P123" s="328">
        <v>33570661</v>
      </c>
      <c r="Q123" s="328">
        <v>0</v>
      </c>
      <c r="R123" s="328">
        <v>0</v>
      </c>
      <c r="S123" s="648">
        <v>33570661</v>
      </c>
      <c r="T123" s="328">
        <v>0</v>
      </c>
      <c r="U123" s="328">
        <v>33570661</v>
      </c>
      <c r="V123" s="328">
        <v>0</v>
      </c>
      <c r="W123" s="328">
        <v>13126700</v>
      </c>
      <c r="X123" s="646">
        <f t="shared" si="3"/>
        <v>20443961</v>
      </c>
      <c r="Y123" s="328">
        <v>13126700</v>
      </c>
      <c r="Z123" s="328">
        <v>13126700</v>
      </c>
      <c r="AA123" s="328">
        <v>13126700</v>
      </c>
    </row>
    <row r="124" spans="1:27" ht="22.5" hidden="1" x14ac:dyDescent="0.25">
      <c r="A124" s="49" t="s">
        <v>1557</v>
      </c>
      <c r="B124" s="326" t="s">
        <v>1558</v>
      </c>
      <c r="C124" s="327" t="s">
        <v>1741</v>
      </c>
      <c r="D124" s="49" t="s">
        <v>446</v>
      </c>
      <c r="E124" s="49" t="s">
        <v>445</v>
      </c>
      <c r="F124" s="49" t="s">
        <v>449</v>
      </c>
      <c r="G124" s="49" t="s">
        <v>441</v>
      </c>
      <c r="H124" s="49" t="s">
        <v>463</v>
      </c>
      <c r="I124" s="49" t="s">
        <v>1722</v>
      </c>
      <c r="J124" s="49" t="s">
        <v>438</v>
      </c>
      <c r="K124" s="49" t="s">
        <v>438</v>
      </c>
      <c r="L124" s="49" t="s">
        <v>442</v>
      </c>
      <c r="M124" s="49" t="s">
        <v>441</v>
      </c>
      <c r="N124" s="49" t="s">
        <v>440</v>
      </c>
      <c r="O124" s="326" t="s">
        <v>1580</v>
      </c>
      <c r="P124" s="328">
        <v>40566460</v>
      </c>
      <c r="Q124" s="328">
        <v>0</v>
      </c>
      <c r="R124" s="328">
        <v>0</v>
      </c>
      <c r="S124" s="648">
        <v>40566460</v>
      </c>
      <c r="T124" s="328">
        <v>0</v>
      </c>
      <c r="U124" s="328">
        <v>40566460</v>
      </c>
      <c r="V124" s="328">
        <v>0</v>
      </c>
      <c r="W124" s="328">
        <v>25080520</v>
      </c>
      <c r="X124" s="646">
        <f t="shared" si="3"/>
        <v>15485940</v>
      </c>
      <c r="Y124" s="328">
        <v>23498403</v>
      </c>
      <c r="Z124" s="328">
        <v>23498403</v>
      </c>
      <c r="AA124" s="328">
        <v>23498403</v>
      </c>
    </row>
    <row r="125" spans="1:27" ht="45" x14ac:dyDescent="0.25">
      <c r="A125" s="49" t="s">
        <v>1557</v>
      </c>
      <c r="B125" s="326" t="s">
        <v>1558</v>
      </c>
      <c r="C125" s="327" t="s">
        <v>1746</v>
      </c>
      <c r="D125" s="49" t="s">
        <v>446</v>
      </c>
      <c r="E125" s="49" t="s">
        <v>445</v>
      </c>
      <c r="F125" s="49" t="s">
        <v>449</v>
      </c>
      <c r="G125" s="49" t="s">
        <v>441</v>
      </c>
      <c r="H125" s="49" t="s">
        <v>463</v>
      </c>
      <c r="I125" s="49" t="s">
        <v>1717</v>
      </c>
      <c r="J125" s="49" t="s">
        <v>438</v>
      </c>
      <c r="K125" s="49" t="s">
        <v>438</v>
      </c>
      <c r="L125" s="49" t="s">
        <v>442</v>
      </c>
      <c r="M125" s="49" t="s">
        <v>448</v>
      </c>
      <c r="N125" s="49" t="s">
        <v>188</v>
      </c>
      <c r="O125" s="649" t="s">
        <v>350</v>
      </c>
      <c r="P125" s="328">
        <v>3000000000</v>
      </c>
      <c r="Q125" s="328">
        <v>0</v>
      </c>
      <c r="R125" s="328">
        <v>0</v>
      </c>
      <c r="S125" s="648">
        <v>3000000000</v>
      </c>
      <c r="T125" s="328">
        <v>0</v>
      </c>
      <c r="U125" s="328">
        <v>1348560845</v>
      </c>
      <c r="V125" s="328">
        <v>1651439155</v>
      </c>
      <c r="W125" s="328">
        <v>201594671.13999999</v>
      </c>
      <c r="X125" s="646">
        <f t="shared" si="3"/>
        <v>2798405328.8600001</v>
      </c>
      <c r="Y125" s="328">
        <v>97194671.140000001</v>
      </c>
      <c r="Z125" s="328">
        <v>97194671.140000001</v>
      </c>
      <c r="AA125" s="328">
        <v>97194671.140000001</v>
      </c>
    </row>
    <row r="126" spans="1:27" x14ac:dyDescent="0.25">
      <c r="A126" s="49" t="s">
        <v>438</v>
      </c>
      <c r="B126" s="326" t="s">
        <v>438</v>
      </c>
      <c r="C126" s="327" t="s">
        <v>438</v>
      </c>
      <c r="D126" s="49" t="s">
        <v>438</v>
      </c>
      <c r="E126" s="49" t="s">
        <v>438</v>
      </c>
      <c r="F126" s="49" t="s">
        <v>438</v>
      </c>
      <c r="G126" s="49" t="s">
        <v>438</v>
      </c>
      <c r="H126" s="49" t="s">
        <v>438</v>
      </c>
      <c r="I126" s="49" t="s">
        <v>438</v>
      </c>
      <c r="J126" s="49" t="s">
        <v>438</v>
      </c>
      <c r="K126" s="49" t="s">
        <v>438</v>
      </c>
      <c r="L126" s="49" t="s">
        <v>438</v>
      </c>
      <c r="M126" s="49" t="s">
        <v>438</v>
      </c>
      <c r="N126" s="49" t="s">
        <v>438</v>
      </c>
      <c r="O126" s="326" t="s">
        <v>438</v>
      </c>
      <c r="P126" s="328">
        <v>28199281170</v>
      </c>
      <c r="Q126" s="328">
        <v>1377161021</v>
      </c>
      <c r="R126" s="328">
        <v>496470406</v>
      </c>
      <c r="S126" s="648">
        <v>29079971785</v>
      </c>
      <c r="T126" s="328">
        <v>0</v>
      </c>
      <c r="U126" s="328">
        <v>25671245706.59</v>
      </c>
      <c r="V126" s="328">
        <v>3408726078.4099998</v>
      </c>
      <c r="W126" s="328">
        <v>15532849583.629999</v>
      </c>
      <c r="X126" s="646">
        <f t="shared" si="3"/>
        <v>13547122201.370001</v>
      </c>
      <c r="Y126" s="328">
        <v>12275055956.440001</v>
      </c>
      <c r="Z126" s="328">
        <v>12135460558.440001</v>
      </c>
      <c r="AA126" s="328">
        <v>11356468916.440001</v>
      </c>
    </row>
    <row r="127" spans="1:27" ht="0" hidden="1" customHeight="1" x14ac:dyDescent="0.25"/>
    <row r="128" spans="1:27" ht="13.5" customHeigh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32"/>
  <sheetViews>
    <sheetView showGridLines="0" zoomScale="66" zoomScaleNormal="66" workbookViewId="0">
      <pane xSplit="13" ySplit="5" topLeftCell="X99" activePane="bottomRight" state="frozen"/>
      <selection pane="topRight" activeCell="N1" sqref="N1"/>
      <selection pane="bottomLeft" activeCell="A6" sqref="A6"/>
      <selection pane="bottomRight" activeCell="AF101" sqref="AF101"/>
    </sheetView>
  </sheetViews>
  <sheetFormatPr baseColWidth="10" defaultColWidth="11.42578125" defaultRowHeight="23.25" x14ac:dyDescent="0.25"/>
  <cols>
    <col min="1" max="2" width="3.85546875" style="46" customWidth="1"/>
    <col min="3" max="3" width="5.5703125" style="46" customWidth="1"/>
    <col min="4" max="9" width="3.85546875" style="46" customWidth="1"/>
    <col min="10" max="10" width="34.140625" style="46" customWidth="1"/>
    <col min="11" max="11" width="17.7109375" style="46" hidden="1" customWidth="1"/>
    <col min="12" max="12" width="18.7109375" style="46" hidden="1" customWidth="1"/>
    <col min="13" max="13" width="19.28515625" style="46" hidden="1" customWidth="1"/>
    <col min="14" max="14" width="27.5703125" style="46" customWidth="1"/>
    <col min="15" max="15" width="25.85546875" style="46" customWidth="1"/>
    <col min="16" max="16" width="24.7109375" style="46" customWidth="1"/>
    <col min="17" max="17" width="25.140625" style="46" customWidth="1"/>
    <col min="18" max="18" width="20.5703125" style="46" customWidth="1"/>
    <col min="19" max="19" width="18.42578125" style="46" customWidth="1"/>
    <col min="20" max="20" width="23" style="46" customWidth="1"/>
    <col min="21" max="21" width="19" style="46" customWidth="1"/>
    <col min="22" max="22" width="26.42578125" style="46" customWidth="1"/>
    <col min="23" max="25" width="23.7109375" style="46" customWidth="1"/>
    <col min="26" max="26" width="27.5703125" style="46" customWidth="1"/>
    <col min="27" max="27" width="24" style="46" customWidth="1"/>
    <col min="28" max="28" width="23.7109375" style="46" customWidth="1"/>
    <col min="29" max="29" width="20" style="46" hidden="1" customWidth="1"/>
    <col min="30" max="30" width="23" style="46" customWidth="1"/>
    <col min="31" max="31" width="23.7109375" style="46" customWidth="1"/>
    <col min="32" max="32" width="22.42578125" style="46" customWidth="1"/>
    <col min="33" max="33" width="3.5703125" style="55" customWidth="1"/>
    <col min="34" max="34" width="22.7109375" style="396" customWidth="1"/>
    <col min="35" max="35" width="24.5703125" style="46" hidden="1" customWidth="1"/>
    <col min="36" max="36" width="97.5703125" style="78" hidden="1" customWidth="1"/>
    <col min="37" max="37" width="8" style="46" hidden="1" customWidth="1"/>
    <col min="38" max="38" width="24.85546875" style="396" customWidth="1"/>
    <col min="39" max="39" width="27.5703125" style="720" customWidth="1"/>
    <col min="40" max="40" width="31.42578125" style="46" customWidth="1"/>
    <col min="41" max="41" width="25.7109375" style="46" customWidth="1"/>
    <col min="42" max="42" width="21.5703125" style="650" customWidth="1"/>
    <col min="43" max="43" width="21.28515625" style="650" customWidth="1"/>
    <col min="44" max="44" width="24" style="46" customWidth="1"/>
    <col min="45" max="45" width="0" style="46" hidden="1" customWidth="1"/>
    <col min="46" max="46" width="11.42578125" style="46"/>
    <col min="47" max="47" width="23.7109375" style="46" customWidth="1"/>
    <col min="48" max="16384" width="11.42578125" style="46"/>
  </cols>
  <sheetData>
    <row r="1" spans="1:44" ht="18" customHeight="1" x14ac:dyDescent="0.25">
      <c r="A1" s="877" t="s">
        <v>478</v>
      </c>
      <c r="B1" s="877"/>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717"/>
      <c r="AC1" s="717"/>
    </row>
    <row r="2" spans="1:44" ht="25.5" customHeight="1" x14ac:dyDescent="0.35">
      <c r="A2" s="878" t="s">
        <v>481</v>
      </c>
      <c r="B2" s="878"/>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717"/>
      <c r="AC2" s="717"/>
    </row>
    <row r="3" spans="1:44" ht="14.25" customHeight="1" x14ac:dyDescent="0.25">
      <c r="A3" s="177"/>
      <c r="B3" s="177"/>
      <c r="C3" s="177"/>
      <c r="D3" s="177"/>
      <c r="E3" s="177"/>
      <c r="F3" s="177"/>
      <c r="G3" s="177"/>
      <c r="H3" s="177"/>
      <c r="I3" s="177"/>
      <c r="J3" s="177"/>
      <c r="K3" s="177"/>
      <c r="L3" s="177"/>
      <c r="M3" s="177"/>
      <c r="N3" s="178">
        <f>SUM(N27:N35)</f>
        <v>153062510</v>
      </c>
      <c r="O3" s="177"/>
      <c r="P3" s="177"/>
      <c r="Q3" s="177"/>
      <c r="R3" s="177"/>
      <c r="S3" s="177"/>
      <c r="T3" s="177"/>
      <c r="U3" s="177"/>
      <c r="V3" s="177"/>
      <c r="W3" s="177"/>
      <c r="X3" s="177"/>
      <c r="Y3" s="177"/>
      <c r="Z3" s="177"/>
      <c r="AA3" s="177"/>
      <c r="AB3" s="107"/>
      <c r="AC3" s="107"/>
    </row>
    <row r="4" spans="1:44" ht="27.75" customHeight="1" x14ac:dyDescent="0.35">
      <c r="A4" s="329" t="s">
        <v>438</v>
      </c>
      <c r="B4" s="344" t="s">
        <v>438</v>
      </c>
      <c r="C4" s="344" t="s">
        <v>438</v>
      </c>
      <c r="D4" s="344" t="s">
        <v>438</v>
      </c>
      <c r="E4" s="344" t="s">
        <v>438</v>
      </c>
      <c r="F4" s="344" t="s">
        <v>438</v>
      </c>
      <c r="G4" s="344" t="s">
        <v>438</v>
      </c>
      <c r="H4" s="344" t="s">
        <v>438</v>
      </c>
      <c r="I4" s="344" t="s">
        <v>438</v>
      </c>
      <c r="J4" s="721" t="s">
        <v>438</v>
      </c>
      <c r="K4" s="879" t="s">
        <v>561</v>
      </c>
      <c r="L4" s="879" t="s">
        <v>562</v>
      </c>
      <c r="M4" s="879" t="s">
        <v>563</v>
      </c>
      <c r="N4" s="413"/>
      <c r="O4" s="413" t="s">
        <v>438</v>
      </c>
      <c r="P4" s="413" t="s">
        <v>438</v>
      </c>
      <c r="Q4" s="722" t="s">
        <v>564</v>
      </c>
      <c r="R4" s="722"/>
      <c r="S4" s="722"/>
      <c r="T4" s="722"/>
      <c r="U4" s="722"/>
      <c r="V4" s="722"/>
      <c r="W4" s="722"/>
      <c r="X4" s="723"/>
      <c r="Y4" s="723"/>
      <c r="Z4" s="724"/>
      <c r="AA4" s="881" t="s">
        <v>0</v>
      </c>
      <c r="AB4" s="882"/>
      <c r="AC4" s="882"/>
      <c r="AD4" s="882"/>
      <c r="AE4" s="882"/>
      <c r="AF4" s="725"/>
      <c r="AG4" s="104"/>
      <c r="AH4" s="726"/>
      <c r="AL4" s="883" t="s">
        <v>1765</v>
      </c>
      <c r="AP4" s="727">
        <f>SUM(AP6:AP89)</f>
        <v>70290453</v>
      </c>
      <c r="AQ4" s="727">
        <f>SUM(AQ6:AQ89)</f>
        <v>56690705</v>
      </c>
      <c r="AR4" s="728">
        <f>SUM(AQ4-AP4)</f>
        <v>-13599748</v>
      </c>
    </row>
    <row r="5" spans="1:44" ht="72.75" customHeight="1" x14ac:dyDescent="0.25">
      <c r="A5" s="330" t="s">
        <v>477</v>
      </c>
      <c r="B5" s="718" t="s">
        <v>476</v>
      </c>
      <c r="C5" s="718" t="s">
        <v>475</v>
      </c>
      <c r="D5" s="718" t="s">
        <v>474</v>
      </c>
      <c r="E5" s="718" t="s">
        <v>473</v>
      </c>
      <c r="F5" s="718" t="s">
        <v>472</v>
      </c>
      <c r="G5" s="718" t="s">
        <v>471</v>
      </c>
      <c r="H5" s="718" t="s">
        <v>470</v>
      </c>
      <c r="I5" s="718" t="s">
        <v>469</v>
      </c>
      <c r="J5" s="414" t="s">
        <v>468</v>
      </c>
      <c r="K5" s="880"/>
      <c r="L5" s="880"/>
      <c r="M5" s="880"/>
      <c r="N5" s="414" t="s">
        <v>467</v>
      </c>
      <c r="O5" s="414" t="s">
        <v>466</v>
      </c>
      <c r="P5" s="431" t="s">
        <v>807</v>
      </c>
      <c r="Q5" s="414" t="s">
        <v>465</v>
      </c>
      <c r="R5" s="432" t="s">
        <v>1420</v>
      </c>
      <c r="S5" s="432" t="s">
        <v>1423</v>
      </c>
      <c r="T5" s="432" t="s">
        <v>1002</v>
      </c>
      <c r="U5" s="432" t="s">
        <v>1001</v>
      </c>
      <c r="V5" s="414" t="s">
        <v>558</v>
      </c>
      <c r="W5" s="414" t="s">
        <v>1764</v>
      </c>
      <c r="X5" s="729" t="s">
        <v>1421</v>
      </c>
      <c r="Y5" s="729" t="s">
        <v>1424</v>
      </c>
      <c r="Z5" s="414" t="s">
        <v>804</v>
      </c>
      <c r="AA5" s="414" t="s">
        <v>836</v>
      </c>
      <c r="AB5" s="431" t="s">
        <v>833</v>
      </c>
      <c r="AC5" s="431" t="s">
        <v>829</v>
      </c>
      <c r="AD5" s="347" t="s">
        <v>1527</v>
      </c>
      <c r="AE5" s="347" t="s">
        <v>1785</v>
      </c>
      <c r="AF5" s="347" t="s">
        <v>1531</v>
      </c>
      <c r="AG5" s="345"/>
      <c r="AH5" s="433" t="s">
        <v>1528</v>
      </c>
      <c r="AI5" s="332" t="s">
        <v>1525</v>
      </c>
      <c r="AJ5" s="730" t="s">
        <v>828</v>
      </c>
      <c r="AK5" s="333" t="s">
        <v>1422</v>
      </c>
      <c r="AL5" s="884"/>
      <c r="AM5" s="731"/>
      <c r="AN5" s="732" t="s">
        <v>1766</v>
      </c>
      <c r="AO5" s="732" t="s">
        <v>2895</v>
      </c>
      <c r="AP5" s="885" t="s">
        <v>2903</v>
      </c>
      <c r="AQ5" s="885"/>
    </row>
    <row r="6" spans="1:44" ht="29.25" customHeight="1" x14ac:dyDescent="0.25">
      <c r="A6" s="337" t="s">
        <v>460</v>
      </c>
      <c r="B6" s="639">
        <v>1</v>
      </c>
      <c r="C6" s="639">
        <v>0</v>
      </c>
      <c r="D6" s="639">
        <v>2</v>
      </c>
      <c r="E6" s="639">
        <v>12</v>
      </c>
      <c r="F6" s="639"/>
      <c r="G6" s="639"/>
      <c r="H6" s="639">
        <v>10</v>
      </c>
      <c r="I6" s="331"/>
      <c r="J6" s="791" t="s">
        <v>428</v>
      </c>
      <c r="K6" s="716"/>
      <c r="L6" s="716"/>
      <c r="M6" s="716"/>
      <c r="N6" s="434">
        <v>132850300</v>
      </c>
      <c r="O6" s="434">
        <v>1338503</v>
      </c>
      <c r="P6" s="434">
        <v>8031018</v>
      </c>
      <c r="Q6" s="434">
        <f>SUM(N6+O6-P6)</f>
        <v>126157785</v>
      </c>
      <c r="R6" s="435"/>
      <c r="S6" s="436"/>
      <c r="T6" s="437"/>
      <c r="U6" s="437"/>
      <c r="V6" s="434"/>
      <c r="W6" s="438"/>
      <c r="X6" s="439">
        <f>SUM(U6)</f>
        <v>0</v>
      </c>
      <c r="Y6" s="439"/>
      <c r="Z6" s="434">
        <f>SUM(Q6-R6-T6-V6-W6-X6-Y6)</f>
        <v>126157785</v>
      </c>
      <c r="AA6" s="434">
        <v>134930005</v>
      </c>
      <c r="AB6" s="434">
        <v>118200004</v>
      </c>
      <c r="AC6" s="438">
        <f t="shared" ref="AC6:AC57" si="0">SUM(AA6-AB6)</f>
        <v>16730001</v>
      </c>
      <c r="AD6" s="545">
        <f>SUM(Z6-AB6)</f>
        <v>7957781</v>
      </c>
      <c r="AE6" s="439">
        <v>4467890</v>
      </c>
      <c r="AF6" s="439">
        <f>SUM(AD6-AE6)</f>
        <v>3489891</v>
      </c>
      <c r="AG6" s="439"/>
      <c r="AH6" s="666">
        <f>AB6/(AB6+AE6+AF6)</f>
        <v>0.93692199811529664</v>
      </c>
      <c r="AI6" s="667"/>
      <c r="AJ6" s="668"/>
      <c r="AK6" s="669" t="e">
        <f>SUM(AD6-AE6-#REF!-#REF!)</f>
        <v>#REF!</v>
      </c>
      <c r="AL6" s="670">
        <f t="shared" ref="AL6:AL13" si="1">SUM(Q6-(AD6+X6))/Q6</f>
        <v>0.93692199811529664</v>
      </c>
      <c r="AM6" s="733"/>
      <c r="AN6" s="52"/>
      <c r="AO6" s="664"/>
      <c r="AP6" s="665"/>
      <c r="AQ6" s="665">
        <v>3489891</v>
      </c>
    </row>
    <row r="7" spans="1:44" s="374" customFormat="1" ht="29.25" customHeight="1" x14ac:dyDescent="0.2">
      <c r="A7" s="373"/>
      <c r="B7" s="639">
        <v>1</v>
      </c>
      <c r="C7" s="639">
        <v>0</v>
      </c>
      <c r="D7" s="639">
        <v>2</v>
      </c>
      <c r="E7" s="639">
        <v>100</v>
      </c>
      <c r="F7" s="639"/>
      <c r="G7" s="639"/>
      <c r="H7" s="639"/>
      <c r="I7" s="639"/>
      <c r="J7" s="422" t="s">
        <v>484</v>
      </c>
      <c r="K7" s="716"/>
      <c r="L7" s="716"/>
      <c r="M7" s="716"/>
      <c r="N7" s="434">
        <v>1000000</v>
      </c>
      <c r="O7" s="434"/>
      <c r="P7" s="434"/>
      <c r="Q7" s="434">
        <f>SUM(N7+O7-P7)</f>
        <v>1000000</v>
      </c>
      <c r="R7" s="435"/>
      <c r="S7" s="436"/>
      <c r="T7" s="435"/>
      <c r="U7" s="435"/>
      <c r="V7" s="434">
        <v>1000000</v>
      </c>
      <c r="W7" s="434"/>
      <c r="X7" s="439">
        <f>SUM(U7)</f>
        <v>0</v>
      </c>
      <c r="Y7" s="439"/>
      <c r="Z7" s="434">
        <f>SUM(Q7-R7-T7-V7-W7-X7-Y7)</f>
        <v>0</v>
      </c>
      <c r="AA7" s="434"/>
      <c r="AB7" s="434"/>
      <c r="AC7" s="434">
        <f t="shared" si="0"/>
        <v>0</v>
      </c>
      <c r="AD7" s="545">
        <f>SUM(Z7-AB7)</f>
        <v>0</v>
      </c>
      <c r="AE7" s="439"/>
      <c r="AF7" s="439">
        <f>SUM(AD7-AE7)</f>
        <v>0</v>
      </c>
      <c r="AG7" s="439"/>
      <c r="AH7" s="734" t="s">
        <v>56</v>
      </c>
      <c r="AI7" s="667"/>
      <c r="AJ7" s="668"/>
      <c r="AK7" s="669" t="e">
        <f>SUM(AD7-AE7-#REF!-#REF!)</f>
        <v>#REF!</v>
      </c>
      <c r="AL7" s="670">
        <f t="shared" si="1"/>
        <v>1</v>
      </c>
      <c r="AM7" s="735"/>
      <c r="AN7" s="736">
        <v>766000</v>
      </c>
      <c r="AO7" s="631"/>
      <c r="AP7" s="792"/>
      <c r="AQ7" s="792"/>
    </row>
    <row r="8" spans="1:44" s="376" customFormat="1" ht="42" customHeight="1" x14ac:dyDescent="0.2">
      <c r="A8" s="375"/>
      <c r="B8" s="407"/>
      <c r="C8" s="407"/>
      <c r="D8" s="407"/>
      <c r="E8" s="407"/>
      <c r="F8" s="407"/>
      <c r="G8" s="407"/>
      <c r="H8" s="407"/>
      <c r="I8" s="407"/>
      <c r="J8" s="417" t="s">
        <v>534</v>
      </c>
      <c r="K8" s="408"/>
      <c r="L8" s="408"/>
      <c r="M8" s="408"/>
      <c r="N8" s="440">
        <f>SUM(N6:N7)</f>
        <v>133850300</v>
      </c>
      <c r="O8" s="440">
        <f>SUM(O6:O7)</f>
        <v>1338503</v>
      </c>
      <c r="P8" s="440">
        <f>SUM(P6:P7)</f>
        <v>8031018</v>
      </c>
      <c r="Q8" s="440">
        <f>SUM(Q6:Q7)</f>
        <v>127157785</v>
      </c>
      <c r="R8" s="440"/>
      <c r="S8" s="441"/>
      <c r="T8" s="440">
        <f t="shared" ref="T8:AF8" si="2">SUM(T6:T7)</f>
        <v>0</v>
      </c>
      <c r="U8" s="440">
        <f t="shared" si="2"/>
        <v>0</v>
      </c>
      <c r="V8" s="440">
        <f t="shared" si="2"/>
        <v>1000000</v>
      </c>
      <c r="W8" s="440">
        <f t="shared" si="2"/>
        <v>0</v>
      </c>
      <c r="X8" s="773">
        <f t="shared" si="2"/>
        <v>0</v>
      </c>
      <c r="Y8" s="440">
        <f t="shared" si="2"/>
        <v>0</v>
      </c>
      <c r="Z8" s="440">
        <f t="shared" si="2"/>
        <v>126157785</v>
      </c>
      <c r="AA8" s="440">
        <f t="shared" si="2"/>
        <v>134930005</v>
      </c>
      <c r="AB8" s="440">
        <f t="shared" si="2"/>
        <v>118200004</v>
      </c>
      <c r="AC8" s="440">
        <f t="shared" si="2"/>
        <v>16730001</v>
      </c>
      <c r="AD8" s="546">
        <f t="shared" si="2"/>
        <v>7957781</v>
      </c>
      <c r="AE8" s="440">
        <f t="shared" si="2"/>
        <v>4467890</v>
      </c>
      <c r="AF8" s="440">
        <f t="shared" si="2"/>
        <v>3489891</v>
      </c>
      <c r="AG8" s="440"/>
      <c r="AH8" s="671">
        <f>AB8/(AB8+AE8+AF8)</f>
        <v>0.93692199811529664</v>
      </c>
      <c r="AI8" s="672"/>
      <c r="AJ8" s="673"/>
      <c r="AK8" s="674" t="e">
        <f>SUM(AD8-AE8-#REF!-#REF!)</f>
        <v>#REF!</v>
      </c>
      <c r="AL8" s="675">
        <f t="shared" si="1"/>
        <v>0.93741805898868091</v>
      </c>
      <c r="AM8" s="737"/>
      <c r="AN8" s="738"/>
      <c r="AO8" s="631"/>
      <c r="AP8" s="651"/>
      <c r="AQ8" s="651"/>
    </row>
    <row r="9" spans="1:44" s="374" customFormat="1" ht="63" customHeight="1" x14ac:dyDescent="0.2">
      <c r="A9" s="377"/>
      <c r="B9" s="410"/>
      <c r="C9" s="410"/>
      <c r="D9" s="410"/>
      <c r="E9" s="410"/>
      <c r="F9" s="410"/>
      <c r="G9" s="410"/>
      <c r="H9" s="410"/>
      <c r="I9" s="410"/>
      <c r="J9" s="417" t="s">
        <v>480</v>
      </c>
      <c r="K9" s="409"/>
      <c r="L9" s="409"/>
      <c r="M9" s="409"/>
      <c r="N9" s="440">
        <v>0</v>
      </c>
      <c r="O9" s="440">
        <f>SUM(O8)</f>
        <v>1338503</v>
      </c>
      <c r="P9" s="440">
        <f>SUM(P8)</f>
        <v>8031018</v>
      </c>
      <c r="Q9" s="440">
        <f>SUM(Q8)</f>
        <v>127157785</v>
      </c>
      <c r="R9" s="440"/>
      <c r="S9" s="441"/>
      <c r="T9" s="440">
        <f>SUM(T8)</f>
        <v>0</v>
      </c>
      <c r="U9" s="440"/>
      <c r="V9" s="440">
        <f>SUM(V8)</f>
        <v>1000000</v>
      </c>
      <c r="W9" s="440">
        <f t="shared" ref="W9:AF9" si="3">SUM(W8)</f>
        <v>0</v>
      </c>
      <c r="X9" s="774">
        <f t="shared" si="3"/>
        <v>0</v>
      </c>
      <c r="Y9" s="442">
        <f t="shared" si="3"/>
        <v>0</v>
      </c>
      <c r="Z9" s="440">
        <f t="shared" si="3"/>
        <v>126157785</v>
      </c>
      <c r="AA9" s="440">
        <f t="shared" si="3"/>
        <v>134930005</v>
      </c>
      <c r="AB9" s="440">
        <f t="shared" si="3"/>
        <v>118200004</v>
      </c>
      <c r="AC9" s="440">
        <f t="shared" si="3"/>
        <v>16730001</v>
      </c>
      <c r="AD9" s="547">
        <f t="shared" si="3"/>
        <v>7957781</v>
      </c>
      <c r="AE9" s="442">
        <f t="shared" si="3"/>
        <v>4467890</v>
      </c>
      <c r="AF9" s="442">
        <f t="shared" si="3"/>
        <v>3489891</v>
      </c>
      <c r="AG9" s="442"/>
      <c r="AH9" s="671">
        <f>AB9/(AB9+AE9+AF9)</f>
        <v>0.93692199811529664</v>
      </c>
      <c r="AI9" s="672"/>
      <c r="AJ9" s="673"/>
      <c r="AK9" s="674" t="e">
        <f>SUM(AD9-AE9-#REF!-#REF!)</f>
        <v>#REF!</v>
      </c>
      <c r="AL9" s="675">
        <f t="shared" si="1"/>
        <v>0.93741805898868091</v>
      </c>
      <c r="AM9" s="739"/>
      <c r="AN9" s="740"/>
      <c r="AO9" s="631"/>
      <c r="AP9" s="652"/>
      <c r="AQ9" s="652"/>
    </row>
    <row r="10" spans="1:44" s="376" customFormat="1" ht="37.5" customHeight="1" x14ac:dyDescent="0.2">
      <c r="A10" s="378" t="s">
        <v>460</v>
      </c>
      <c r="B10" s="379" t="s">
        <v>461</v>
      </c>
      <c r="C10" s="379" t="s">
        <v>463</v>
      </c>
      <c r="D10" s="379" t="s">
        <v>458</v>
      </c>
      <c r="E10" s="379">
        <v>50</v>
      </c>
      <c r="F10" s="379">
        <v>3</v>
      </c>
      <c r="G10" s="379"/>
      <c r="H10" s="379"/>
      <c r="I10" s="379"/>
      <c r="J10" s="422" t="s">
        <v>803</v>
      </c>
      <c r="K10" s="351"/>
      <c r="L10" s="351">
        <v>21561938</v>
      </c>
      <c r="M10" s="351"/>
      <c r="N10" s="443">
        <v>28100000</v>
      </c>
      <c r="O10" s="443">
        <v>7672000</v>
      </c>
      <c r="P10" s="443">
        <f>580000+853000</f>
        <v>1433000</v>
      </c>
      <c r="Q10" s="443">
        <f>SUM(N10+O10-P10)</f>
        <v>34339000</v>
      </c>
      <c r="R10" s="434"/>
      <c r="S10" s="444"/>
      <c r="T10" s="434"/>
      <c r="U10" s="434"/>
      <c r="V10" s="434">
        <v>34339000</v>
      </c>
      <c r="W10" s="434"/>
      <c r="X10" s="439">
        <f>SUM(U10)</f>
        <v>0</v>
      </c>
      <c r="Y10" s="439"/>
      <c r="Z10" s="434">
        <f>SUM(Q10-R10-T10-V10-W10-X10-Y10)</f>
        <v>0</v>
      </c>
      <c r="AA10" s="445"/>
      <c r="AB10" s="445"/>
      <c r="AC10" s="434"/>
      <c r="AD10" s="545">
        <f>SUM(Z10-AB10)</f>
        <v>0</v>
      </c>
      <c r="AE10" s="439"/>
      <c r="AF10" s="439">
        <f>SUM(AD10-AE10)</f>
        <v>0</v>
      </c>
      <c r="AG10" s="439"/>
      <c r="AH10" s="666" t="s">
        <v>56</v>
      </c>
      <c r="AI10" s="667"/>
      <c r="AJ10" s="668"/>
      <c r="AK10" s="669" t="e">
        <f>SUM(AD10-AE10-#REF!-#REF!)</f>
        <v>#REF!</v>
      </c>
      <c r="AL10" s="670">
        <f t="shared" si="1"/>
        <v>1</v>
      </c>
      <c r="AM10" s="733"/>
      <c r="AN10" s="736">
        <v>0</v>
      </c>
      <c r="AO10" s="621"/>
      <c r="AP10" s="651"/>
      <c r="AQ10" s="651"/>
    </row>
    <row r="11" spans="1:44" s="376" customFormat="1" ht="35.25" customHeight="1" x14ac:dyDescent="0.2">
      <c r="A11" s="378" t="s">
        <v>460</v>
      </c>
      <c r="B11" s="379" t="s">
        <v>461</v>
      </c>
      <c r="C11" s="379" t="s">
        <v>463</v>
      </c>
      <c r="D11" s="379" t="s">
        <v>458</v>
      </c>
      <c r="E11" s="379">
        <v>50</v>
      </c>
      <c r="F11" s="379">
        <v>2</v>
      </c>
      <c r="G11" s="379">
        <v>0</v>
      </c>
      <c r="H11" s="379">
        <v>0</v>
      </c>
      <c r="I11" s="379"/>
      <c r="J11" s="422" t="s">
        <v>805</v>
      </c>
      <c r="K11" s="351"/>
      <c r="L11" s="351"/>
      <c r="M11" s="351"/>
      <c r="N11" s="443">
        <v>900000</v>
      </c>
      <c r="O11" s="443"/>
      <c r="P11" s="443"/>
      <c r="Q11" s="443">
        <f>SUM(N11+O11-P11)</f>
        <v>900000</v>
      </c>
      <c r="R11" s="434"/>
      <c r="S11" s="444"/>
      <c r="T11" s="434"/>
      <c r="U11" s="434"/>
      <c r="V11" s="434">
        <v>900000</v>
      </c>
      <c r="W11" s="434"/>
      <c r="X11" s="439">
        <f>SUM(U11)</f>
        <v>0</v>
      </c>
      <c r="Y11" s="439"/>
      <c r="Z11" s="434">
        <f>SUM(Q11-R11-T11-V11-W11-X11-Y11)</f>
        <v>0</v>
      </c>
      <c r="AA11" s="445"/>
      <c r="AB11" s="445"/>
      <c r="AC11" s="434"/>
      <c r="AD11" s="545">
        <f>SUM(Z11-AB11)</f>
        <v>0</v>
      </c>
      <c r="AE11" s="439"/>
      <c r="AF11" s="439">
        <f>SUM(AD11-AE11)</f>
        <v>0</v>
      </c>
      <c r="AG11" s="439"/>
      <c r="AH11" s="666" t="s">
        <v>56</v>
      </c>
      <c r="AI11" s="667"/>
      <c r="AJ11" s="668"/>
      <c r="AK11" s="669" t="e">
        <f>SUM(AD11-AE11-#REF!-#REF!)</f>
        <v>#REF!</v>
      </c>
      <c r="AL11" s="670">
        <f t="shared" si="1"/>
        <v>1</v>
      </c>
      <c r="AM11" s="735"/>
      <c r="AN11" s="736">
        <v>100900</v>
      </c>
      <c r="AO11" s="631"/>
      <c r="AP11" s="651"/>
      <c r="AQ11" s="651">
        <v>100900</v>
      </c>
    </row>
    <row r="12" spans="1:44" s="376" customFormat="1" ht="50.25" customHeight="1" x14ac:dyDescent="0.2">
      <c r="A12" s="378"/>
      <c r="B12" s="379">
        <v>2</v>
      </c>
      <c r="C12" s="379">
        <v>0</v>
      </c>
      <c r="D12" s="379">
        <v>3</v>
      </c>
      <c r="E12" s="379">
        <v>51</v>
      </c>
      <c r="F12" s="379">
        <v>1</v>
      </c>
      <c r="G12" s="379">
        <v>0</v>
      </c>
      <c r="H12" s="379">
        <v>10</v>
      </c>
      <c r="I12" s="379"/>
      <c r="J12" s="657" t="s">
        <v>2629</v>
      </c>
      <c r="K12" s="351"/>
      <c r="L12" s="351"/>
      <c r="M12" s="351"/>
      <c r="N12" s="443"/>
      <c r="O12" s="443">
        <v>853000</v>
      </c>
      <c r="P12" s="443"/>
      <c r="Q12" s="443">
        <f>SUM(N12+O12-P12)</f>
        <v>853000</v>
      </c>
      <c r="R12" s="434"/>
      <c r="S12" s="444"/>
      <c r="T12" s="434"/>
      <c r="U12" s="434"/>
      <c r="V12" s="434">
        <v>555000</v>
      </c>
      <c r="W12" s="434"/>
      <c r="X12" s="439">
        <f>SUM(U12)</f>
        <v>0</v>
      </c>
      <c r="Y12" s="439"/>
      <c r="Z12" s="434">
        <v>0</v>
      </c>
      <c r="AA12" s="445"/>
      <c r="AB12" s="445"/>
      <c r="AC12" s="434"/>
      <c r="AD12" s="545">
        <v>0</v>
      </c>
      <c r="AE12" s="439"/>
      <c r="AF12" s="439">
        <v>0</v>
      </c>
      <c r="AG12" s="439"/>
      <c r="AH12" s="666" t="s">
        <v>56</v>
      </c>
      <c r="AI12" s="667"/>
      <c r="AJ12" s="668"/>
      <c r="AK12" s="669" t="e">
        <f>SUM(AD12-AE12-#REF!-#REF!)</f>
        <v>#REF!</v>
      </c>
      <c r="AL12" s="670">
        <f t="shared" si="1"/>
        <v>1</v>
      </c>
      <c r="AM12" s="735"/>
      <c r="AN12" s="736">
        <v>298000</v>
      </c>
      <c r="AO12" s="621" t="s">
        <v>2964</v>
      </c>
      <c r="AP12" s="651"/>
      <c r="AQ12" s="651"/>
    </row>
    <row r="13" spans="1:44" s="374" customFormat="1" ht="44.25" customHeight="1" x14ac:dyDescent="0.2">
      <c r="A13" s="373" t="s">
        <v>460</v>
      </c>
      <c r="B13" s="407" t="s">
        <v>461</v>
      </c>
      <c r="C13" s="407" t="s">
        <v>463</v>
      </c>
      <c r="D13" s="407" t="s">
        <v>458</v>
      </c>
      <c r="E13" s="407"/>
      <c r="F13" s="407"/>
      <c r="G13" s="407"/>
      <c r="H13" s="407"/>
      <c r="I13" s="407"/>
      <c r="J13" s="417" t="s">
        <v>806</v>
      </c>
      <c r="K13" s="409"/>
      <c r="L13" s="409"/>
      <c r="M13" s="409"/>
      <c r="N13" s="440">
        <f>SUM(N10:N12)</f>
        <v>29000000</v>
      </c>
      <c r="O13" s="440">
        <f t="shared" ref="O13:Z13" si="4">SUM(O10:O12)</f>
        <v>8525000</v>
      </c>
      <c r="P13" s="440">
        <f t="shared" si="4"/>
        <v>1433000</v>
      </c>
      <c r="Q13" s="440">
        <f t="shared" si="4"/>
        <v>36092000</v>
      </c>
      <c r="R13" s="440">
        <f t="shared" si="4"/>
        <v>0</v>
      </c>
      <c r="S13" s="440">
        <f t="shared" si="4"/>
        <v>0</v>
      </c>
      <c r="T13" s="440">
        <f t="shared" si="4"/>
        <v>0</v>
      </c>
      <c r="U13" s="440">
        <f t="shared" si="4"/>
        <v>0</v>
      </c>
      <c r="V13" s="440">
        <f t="shared" si="4"/>
        <v>35794000</v>
      </c>
      <c r="W13" s="440">
        <f t="shared" si="4"/>
        <v>0</v>
      </c>
      <c r="X13" s="773">
        <f t="shared" si="4"/>
        <v>0</v>
      </c>
      <c r="Y13" s="440">
        <f t="shared" si="4"/>
        <v>0</v>
      </c>
      <c r="Z13" s="440">
        <f t="shared" si="4"/>
        <v>0</v>
      </c>
      <c r="AA13" s="447"/>
      <c r="AB13" s="447"/>
      <c r="AC13" s="447">
        <f t="shared" si="0"/>
        <v>0</v>
      </c>
      <c r="AD13" s="547">
        <f>SUM(AD10:AD11)</f>
        <v>0</v>
      </c>
      <c r="AE13" s="442"/>
      <c r="AF13" s="442">
        <f>SUM(AF10:AF11)</f>
        <v>0</v>
      </c>
      <c r="AG13" s="442"/>
      <c r="AH13" s="678" t="s">
        <v>56</v>
      </c>
      <c r="AI13" s="679"/>
      <c r="AJ13" s="680"/>
      <c r="AK13" s="681" t="e">
        <f>SUM(AD13-AE13-#REF!+#REF!)</f>
        <v>#REF!</v>
      </c>
      <c r="AL13" s="675">
        <f t="shared" si="1"/>
        <v>1</v>
      </c>
      <c r="AM13" s="739"/>
      <c r="AN13" s="740"/>
      <c r="AO13" s="632"/>
      <c r="AP13" s="652"/>
      <c r="AQ13" s="652"/>
    </row>
    <row r="14" spans="1:44" s="376" customFormat="1" ht="28.5" x14ac:dyDescent="0.2">
      <c r="A14" s="378" t="s">
        <v>460</v>
      </c>
      <c r="B14" s="379" t="s">
        <v>461</v>
      </c>
      <c r="C14" s="379" t="s">
        <v>463</v>
      </c>
      <c r="D14" s="379" t="s">
        <v>454</v>
      </c>
      <c r="E14" s="379"/>
      <c r="F14" s="379"/>
      <c r="G14" s="379"/>
      <c r="H14" s="379"/>
      <c r="I14" s="379"/>
      <c r="J14" s="418" t="s">
        <v>462</v>
      </c>
      <c r="K14" s="351"/>
      <c r="L14" s="351"/>
      <c r="M14" s="351"/>
      <c r="N14" s="443">
        <v>1767304110</v>
      </c>
      <c r="O14" s="443"/>
      <c r="P14" s="443"/>
      <c r="Q14" s="443"/>
      <c r="R14" s="434"/>
      <c r="S14" s="444"/>
      <c r="T14" s="434"/>
      <c r="U14" s="434"/>
      <c r="V14" s="434"/>
      <c r="W14" s="434"/>
      <c r="X14" s="439">
        <f>SUM(U14)</f>
        <v>0</v>
      </c>
      <c r="Y14" s="439"/>
      <c r="Z14" s="434"/>
      <c r="AA14" s="434"/>
      <c r="AB14" s="434"/>
      <c r="AC14" s="434">
        <f t="shared" si="0"/>
        <v>0</v>
      </c>
      <c r="AD14" s="545"/>
      <c r="AE14" s="439"/>
      <c r="AF14" s="439"/>
      <c r="AG14" s="439"/>
      <c r="AH14" s="682"/>
      <c r="AI14" s="683"/>
      <c r="AJ14" s="676"/>
      <c r="AK14" s="677" t="e">
        <f>SUM(AD14-AE14-#REF!+#REF!)</f>
        <v>#REF!</v>
      </c>
      <c r="AL14" s="684"/>
      <c r="AM14" s="741"/>
      <c r="AN14" s="738"/>
      <c r="AO14" s="633"/>
      <c r="AP14" s="651"/>
      <c r="AQ14" s="651"/>
    </row>
    <row r="15" spans="1:44" ht="8.25" customHeight="1" x14ac:dyDescent="0.25">
      <c r="A15" s="335"/>
      <c r="B15" s="348"/>
      <c r="C15" s="348"/>
      <c r="D15" s="348"/>
      <c r="E15" s="348"/>
      <c r="F15" s="348"/>
      <c r="G15" s="348"/>
      <c r="H15" s="348"/>
      <c r="I15" s="348"/>
      <c r="J15" s="419"/>
      <c r="K15" s="349"/>
      <c r="L15" s="349"/>
      <c r="M15" s="350"/>
      <c r="N15" s="448"/>
      <c r="O15" s="448"/>
      <c r="P15" s="448"/>
      <c r="Q15" s="449"/>
      <c r="R15" s="449"/>
      <c r="S15" s="449"/>
      <c r="T15" s="449"/>
      <c r="U15" s="449"/>
      <c r="V15" s="449"/>
      <c r="W15" s="449"/>
      <c r="X15" s="449"/>
      <c r="Y15" s="449"/>
      <c r="Z15" s="449"/>
      <c r="AA15" s="449"/>
      <c r="AB15" s="449"/>
      <c r="AC15" s="449"/>
      <c r="AD15" s="548"/>
      <c r="AE15" s="449"/>
      <c r="AF15" s="449"/>
      <c r="AG15" s="450"/>
      <c r="AH15" s="685"/>
      <c r="AI15" s="686"/>
      <c r="AJ15" s="686"/>
      <c r="AK15" s="687"/>
      <c r="AL15" s="685"/>
      <c r="AM15" s="742"/>
      <c r="AN15" s="52"/>
      <c r="AO15" s="634"/>
      <c r="AP15" s="651"/>
      <c r="AQ15" s="651"/>
    </row>
    <row r="16" spans="1:44" ht="8.25" customHeight="1" x14ac:dyDescent="0.25">
      <c r="A16" s="335"/>
      <c r="B16" s="354"/>
      <c r="C16" s="354"/>
      <c r="D16" s="354"/>
      <c r="E16" s="354"/>
      <c r="F16" s="354"/>
      <c r="G16" s="354"/>
      <c r="H16" s="354"/>
      <c r="I16" s="354"/>
      <c r="J16" s="420"/>
      <c r="K16" s="355"/>
      <c r="L16" s="355"/>
      <c r="M16" s="356"/>
      <c r="N16" s="451"/>
      <c r="O16" s="451"/>
      <c r="P16" s="451"/>
      <c r="Q16" s="452"/>
      <c r="R16" s="452"/>
      <c r="S16" s="452"/>
      <c r="T16" s="452"/>
      <c r="U16" s="452"/>
      <c r="V16" s="452"/>
      <c r="W16" s="452"/>
      <c r="X16" s="452"/>
      <c r="Y16" s="452"/>
      <c r="Z16" s="452"/>
      <c r="AA16" s="452"/>
      <c r="AB16" s="452"/>
      <c r="AC16" s="452"/>
      <c r="AD16" s="549"/>
      <c r="AE16" s="452"/>
      <c r="AF16" s="452"/>
      <c r="AG16" s="450"/>
      <c r="AH16" s="688"/>
      <c r="AI16" s="689"/>
      <c r="AJ16" s="689"/>
      <c r="AK16" s="690"/>
      <c r="AL16" s="688"/>
      <c r="AM16" s="742"/>
      <c r="AN16" s="52"/>
      <c r="AO16" s="634"/>
      <c r="AP16" s="651"/>
      <c r="AQ16" s="651"/>
    </row>
    <row r="17" spans="1:43" s="380" customFormat="1" ht="40.5" customHeight="1" x14ac:dyDescent="0.2">
      <c r="A17" s="375"/>
      <c r="B17" s="876" t="s">
        <v>485</v>
      </c>
      <c r="C17" s="876"/>
      <c r="D17" s="876"/>
      <c r="E17" s="876"/>
      <c r="F17" s="876"/>
      <c r="G17" s="876"/>
      <c r="H17" s="876"/>
      <c r="I17" s="876"/>
      <c r="J17" s="876"/>
      <c r="K17" s="716"/>
      <c r="L17" s="716"/>
      <c r="M17" s="716"/>
      <c r="N17" s="434"/>
      <c r="O17" s="434"/>
      <c r="P17" s="395"/>
      <c r="Q17" s="395"/>
      <c r="R17" s="395"/>
      <c r="S17" s="395"/>
      <c r="T17" s="395"/>
      <c r="U17" s="395"/>
      <c r="V17" s="395"/>
      <c r="W17" s="395"/>
      <c r="X17" s="439">
        <f>SUM(U17)</f>
        <v>0</v>
      </c>
      <c r="Y17" s="395"/>
      <c r="Z17" s="395"/>
      <c r="AA17" s="445"/>
      <c r="AB17" s="395"/>
      <c r="AC17" s="395"/>
      <c r="AD17" s="550"/>
      <c r="AE17" s="395"/>
      <c r="AF17" s="395"/>
      <c r="AG17" s="395"/>
      <c r="AH17" s="691"/>
      <c r="AI17" s="691"/>
      <c r="AJ17" s="691"/>
      <c r="AK17" s="692"/>
      <c r="AL17" s="693"/>
      <c r="AM17" s="741"/>
      <c r="AN17" s="743"/>
      <c r="AO17" s="633"/>
      <c r="AP17" s="653"/>
      <c r="AQ17" s="653"/>
    </row>
    <row r="18" spans="1:43" s="380" customFormat="1" ht="36" x14ac:dyDescent="0.2">
      <c r="A18" s="381" t="s">
        <v>460</v>
      </c>
      <c r="B18" s="394" t="s">
        <v>461</v>
      </c>
      <c r="C18" s="394" t="s">
        <v>463</v>
      </c>
      <c r="D18" s="394" t="s">
        <v>454</v>
      </c>
      <c r="E18" s="394" t="s">
        <v>443</v>
      </c>
      <c r="F18" s="394" t="s">
        <v>459</v>
      </c>
      <c r="G18" s="639" t="s">
        <v>553</v>
      </c>
      <c r="H18" s="368">
        <v>10</v>
      </c>
      <c r="I18" s="368" t="s">
        <v>440</v>
      </c>
      <c r="J18" s="416" t="s">
        <v>565</v>
      </c>
      <c r="K18" s="716">
        <v>26312050</v>
      </c>
      <c r="L18" s="716">
        <v>100121585</v>
      </c>
      <c r="M18" s="716">
        <v>22000000</v>
      </c>
      <c r="N18" s="434"/>
      <c r="O18" s="434"/>
      <c r="P18" s="434"/>
      <c r="Q18" s="434">
        <f>SUM(N18+O18-P18)</f>
        <v>0</v>
      </c>
      <c r="R18" s="453"/>
      <c r="S18" s="454"/>
      <c r="T18" s="453"/>
      <c r="U18" s="453">
        <f>SUM(S18-T18)</f>
        <v>0</v>
      </c>
      <c r="V18" s="434"/>
      <c r="W18" s="434"/>
      <c r="X18" s="439">
        <f>SUM(U18)</f>
        <v>0</v>
      </c>
      <c r="Y18" s="439"/>
      <c r="Z18" s="434">
        <f>SUM(Q18-R18-T18-V18-W18-X18-Y18)</f>
        <v>0</v>
      </c>
      <c r="AA18" s="445"/>
      <c r="AB18" s="434"/>
      <c r="AC18" s="434">
        <f t="shared" si="0"/>
        <v>0</v>
      </c>
      <c r="AD18" s="545">
        <f t="shared" ref="AD18:AD56" si="5">SUM(Z18-AB18)</f>
        <v>0</v>
      </c>
      <c r="AE18" s="439"/>
      <c r="AF18" s="439">
        <f>SUM(AD18-AE18)</f>
        <v>0</v>
      </c>
      <c r="AG18" s="439"/>
      <c r="AH18" s="666" t="e">
        <f t="shared" ref="AH18:AH24" si="6">AB18/(AB18+AE18+AF18)</f>
        <v>#DIV/0!</v>
      </c>
      <c r="AI18" s="667"/>
      <c r="AJ18" s="668"/>
      <c r="AK18" s="669" t="e">
        <f>SUM(AD18-AE18-#REF!-#REF!)</f>
        <v>#REF!</v>
      </c>
      <c r="AL18" s="670" t="e">
        <f t="shared" ref="AL18:AL25" si="7">SUM(Q18-(AD18+X18))/Q18</f>
        <v>#DIV/0!</v>
      </c>
      <c r="AM18" s="733"/>
      <c r="AN18" s="743"/>
      <c r="AO18" s="620"/>
      <c r="AP18" s="653"/>
      <c r="AQ18" s="653"/>
    </row>
    <row r="19" spans="1:43" s="380" customFormat="1" ht="36" x14ac:dyDescent="0.2">
      <c r="A19" s="375" t="s">
        <v>460</v>
      </c>
      <c r="B19" s="639" t="s">
        <v>461</v>
      </c>
      <c r="C19" s="639" t="s">
        <v>463</v>
      </c>
      <c r="D19" s="639" t="s">
        <v>454</v>
      </c>
      <c r="E19" s="639" t="s">
        <v>443</v>
      </c>
      <c r="F19" s="639" t="s">
        <v>544</v>
      </c>
      <c r="G19" s="639" t="s">
        <v>553</v>
      </c>
      <c r="H19" s="368">
        <v>10</v>
      </c>
      <c r="I19" s="368" t="s">
        <v>440</v>
      </c>
      <c r="J19" s="790" t="s">
        <v>486</v>
      </c>
      <c r="K19" s="716"/>
      <c r="L19" s="716">
        <v>223529923</v>
      </c>
      <c r="M19" s="716">
        <v>36257167</v>
      </c>
      <c r="N19" s="455">
        <v>37000000</v>
      </c>
      <c r="O19" s="434">
        <v>65000000</v>
      </c>
      <c r="P19" s="446">
        <v>1000000</v>
      </c>
      <c r="Q19" s="434">
        <f t="shared" ref="Q19:Q24" si="8">SUM(N19+O19-P19)</f>
        <v>101000000</v>
      </c>
      <c r="R19" s="453"/>
      <c r="S19" s="454"/>
      <c r="T19" s="453"/>
      <c r="U19" s="453">
        <f>SUM(S19-T19)</f>
        <v>0</v>
      </c>
      <c r="V19" s="434"/>
      <c r="W19" s="434">
        <v>36000000</v>
      </c>
      <c r="X19" s="439">
        <f>SUM(U19)</f>
        <v>0</v>
      </c>
      <c r="Y19" s="439"/>
      <c r="Z19" s="434">
        <f>SUM(Q19-R19-T19-V19-W19-X19-Y19)</f>
        <v>65000000</v>
      </c>
      <c r="AA19" s="445">
        <v>65000000</v>
      </c>
      <c r="AB19" s="434"/>
      <c r="AC19" s="434">
        <f t="shared" si="0"/>
        <v>65000000</v>
      </c>
      <c r="AD19" s="545">
        <f t="shared" si="5"/>
        <v>65000000</v>
      </c>
      <c r="AE19" s="439">
        <v>65000000</v>
      </c>
      <c r="AF19" s="439">
        <f>SUM(AD19-AE19)</f>
        <v>0</v>
      </c>
      <c r="AG19" s="439"/>
      <c r="AH19" s="666">
        <f t="shared" si="6"/>
        <v>0</v>
      </c>
      <c r="AI19" s="667"/>
      <c r="AJ19" s="668"/>
      <c r="AK19" s="669" t="e">
        <f>SUM(AD19-AE19-#REF!-#REF!)</f>
        <v>#REF!</v>
      </c>
      <c r="AL19" s="670">
        <f t="shared" si="7"/>
        <v>0.35643564356435642</v>
      </c>
      <c r="AM19" s="733"/>
      <c r="AN19" s="743"/>
      <c r="AO19" s="620"/>
      <c r="AP19" s="653"/>
      <c r="AQ19" s="653"/>
    </row>
    <row r="20" spans="1:43" s="380" customFormat="1" ht="36" x14ac:dyDescent="0.2">
      <c r="A20" s="375" t="s">
        <v>460</v>
      </c>
      <c r="B20" s="639" t="s">
        <v>461</v>
      </c>
      <c r="C20" s="639" t="s">
        <v>463</v>
      </c>
      <c r="D20" s="639" t="s">
        <v>454</v>
      </c>
      <c r="E20" s="639" t="s">
        <v>443</v>
      </c>
      <c r="F20" s="639" t="s">
        <v>545</v>
      </c>
      <c r="G20" s="639" t="s">
        <v>553</v>
      </c>
      <c r="H20" s="368">
        <v>10</v>
      </c>
      <c r="I20" s="368" t="s">
        <v>440</v>
      </c>
      <c r="J20" s="422" t="s">
        <v>513</v>
      </c>
      <c r="K20" s="716">
        <v>162900</v>
      </c>
      <c r="L20" s="716">
        <v>12093007</v>
      </c>
      <c r="M20" s="716">
        <v>438400</v>
      </c>
      <c r="N20" s="455">
        <v>1200000</v>
      </c>
      <c r="O20" s="446">
        <v>1000000</v>
      </c>
      <c r="P20" s="434">
        <v>50000</v>
      </c>
      <c r="Q20" s="434">
        <f t="shared" si="8"/>
        <v>2150000</v>
      </c>
      <c r="R20" s="456">
        <v>600000</v>
      </c>
      <c r="S20" s="456">
        <v>550000</v>
      </c>
      <c r="T20" s="453"/>
      <c r="U20" s="453">
        <f>SUM(S20-T20)</f>
        <v>550000</v>
      </c>
      <c r="V20" s="434"/>
      <c r="W20" s="434"/>
      <c r="X20" s="439">
        <f>SUM(U20)</f>
        <v>550000</v>
      </c>
      <c r="Y20" s="439"/>
      <c r="Z20" s="434">
        <f>SUM(Q20-R20-T20-V20-W20-X20-Y20)</f>
        <v>1000000</v>
      </c>
      <c r="AA20" s="445"/>
      <c r="AB20" s="434"/>
      <c r="AC20" s="434">
        <f t="shared" si="0"/>
        <v>0</v>
      </c>
      <c r="AD20" s="545">
        <f t="shared" si="5"/>
        <v>1000000</v>
      </c>
      <c r="AE20" s="439"/>
      <c r="AF20" s="439">
        <f>SUM(AD20-AE20)</f>
        <v>1000000</v>
      </c>
      <c r="AG20" s="439"/>
      <c r="AH20" s="666">
        <f t="shared" si="6"/>
        <v>0</v>
      </c>
      <c r="AI20" s="667"/>
      <c r="AJ20" s="668"/>
      <c r="AK20" s="669" t="e">
        <f>SUM(AD20-AE20-#REF!-#REF!)</f>
        <v>#REF!</v>
      </c>
      <c r="AL20" s="670">
        <f t="shared" si="7"/>
        <v>0.27906976744186046</v>
      </c>
      <c r="AM20" s="733"/>
      <c r="AN20" s="743"/>
      <c r="AO20" s="620"/>
      <c r="AP20" s="653"/>
      <c r="AQ20" s="653">
        <v>1000000</v>
      </c>
    </row>
    <row r="21" spans="1:43" s="380" customFormat="1" ht="60" x14ac:dyDescent="0.2">
      <c r="A21" s="375" t="s">
        <v>460</v>
      </c>
      <c r="B21" s="639" t="s">
        <v>461</v>
      </c>
      <c r="C21" s="639" t="s">
        <v>463</v>
      </c>
      <c r="D21" s="639" t="s">
        <v>454</v>
      </c>
      <c r="E21" s="639" t="s">
        <v>443</v>
      </c>
      <c r="F21" s="639" t="s">
        <v>545</v>
      </c>
      <c r="G21" s="639" t="s">
        <v>553</v>
      </c>
      <c r="H21" s="368">
        <v>10</v>
      </c>
      <c r="I21" s="368" t="s">
        <v>440</v>
      </c>
      <c r="J21" s="422" t="s">
        <v>573</v>
      </c>
      <c r="K21" s="716">
        <v>16357798</v>
      </c>
      <c r="L21" s="716"/>
      <c r="M21" s="716"/>
      <c r="N21" s="434"/>
      <c r="O21" s="434">
        <v>50000</v>
      </c>
      <c r="P21" s="434"/>
      <c r="Q21" s="434">
        <f t="shared" si="8"/>
        <v>50000</v>
      </c>
      <c r="R21" s="453"/>
      <c r="S21" s="453">
        <v>50000</v>
      </c>
      <c r="T21" s="453">
        <f>0+0+0+50000</f>
        <v>50000</v>
      </c>
      <c r="U21" s="453">
        <f>SUM(S21-T21)</f>
        <v>0</v>
      </c>
      <c r="V21" s="434"/>
      <c r="W21" s="434"/>
      <c r="X21" s="439">
        <f>SUM(U21)</f>
        <v>0</v>
      </c>
      <c r="Y21" s="439"/>
      <c r="Z21" s="434">
        <f>SUM(Q21-R21-T21-V21-W21-X21-Y21)</f>
        <v>0</v>
      </c>
      <c r="AA21" s="445"/>
      <c r="AB21" s="434"/>
      <c r="AC21" s="434">
        <f t="shared" si="0"/>
        <v>0</v>
      </c>
      <c r="AD21" s="545">
        <f t="shared" si="5"/>
        <v>0</v>
      </c>
      <c r="AE21" s="439"/>
      <c r="AF21" s="439">
        <f>SUM(AD21-AE21)</f>
        <v>0</v>
      </c>
      <c r="AG21" s="439"/>
      <c r="AH21" s="666" t="e">
        <f t="shared" si="6"/>
        <v>#DIV/0!</v>
      </c>
      <c r="AI21" s="667"/>
      <c r="AJ21" s="668"/>
      <c r="AK21" s="669" t="e">
        <f>SUM(AD21-AE21-#REF!-#REF!)</f>
        <v>#REF!</v>
      </c>
      <c r="AL21" s="670">
        <f t="shared" si="7"/>
        <v>1</v>
      </c>
      <c r="AM21" s="733"/>
      <c r="AN21" s="743"/>
      <c r="AO21" s="620" t="s">
        <v>2892</v>
      </c>
      <c r="AP21" s="662"/>
      <c r="AQ21" s="653"/>
    </row>
    <row r="22" spans="1:43" s="388" customFormat="1" ht="28.5" x14ac:dyDescent="0.2">
      <c r="A22" s="384"/>
      <c r="B22" s="385"/>
      <c r="C22" s="385"/>
      <c r="D22" s="385"/>
      <c r="E22" s="385"/>
      <c r="F22" s="385"/>
      <c r="G22" s="385"/>
      <c r="H22" s="386"/>
      <c r="I22" s="386"/>
      <c r="J22" s="421" t="s">
        <v>525</v>
      </c>
      <c r="K22" s="387">
        <f t="shared" ref="K22:Q22" si="9">SUM(K18:K21)</f>
        <v>42832748</v>
      </c>
      <c r="L22" s="387">
        <f t="shared" si="9"/>
        <v>335744515</v>
      </c>
      <c r="M22" s="387">
        <f t="shared" si="9"/>
        <v>58695567</v>
      </c>
      <c r="N22" s="457">
        <f t="shared" si="9"/>
        <v>38200000</v>
      </c>
      <c r="O22" s="457">
        <f t="shared" si="9"/>
        <v>66050000</v>
      </c>
      <c r="P22" s="457">
        <f t="shared" si="9"/>
        <v>1050000</v>
      </c>
      <c r="Q22" s="457">
        <f t="shared" si="9"/>
        <v>103200000</v>
      </c>
      <c r="R22" s="458">
        <f>SUM(R17:R21)</f>
        <v>600000</v>
      </c>
      <c r="S22" s="458">
        <f>SUM(S17:S21)</f>
        <v>600000</v>
      </c>
      <c r="T22" s="459">
        <f>SUM(T17:T21)</f>
        <v>50000</v>
      </c>
      <c r="U22" s="459">
        <f>SUM(U17:U21)</f>
        <v>550000</v>
      </c>
      <c r="V22" s="457">
        <f>SUM(V19:V20)</f>
        <v>0</v>
      </c>
      <c r="W22" s="457">
        <f t="shared" ref="W22:AF22" si="10">SUM(W17:W21)</f>
        <v>36000000</v>
      </c>
      <c r="X22" s="775">
        <f t="shared" si="10"/>
        <v>550000</v>
      </c>
      <c r="Y22" s="460">
        <f t="shared" si="10"/>
        <v>0</v>
      </c>
      <c r="Z22" s="457">
        <f t="shared" si="10"/>
        <v>66000000</v>
      </c>
      <c r="AA22" s="457">
        <f t="shared" si="10"/>
        <v>65000000</v>
      </c>
      <c r="AB22" s="457">
        <f t="shared" si="10"/>
        <v>0</v>
      </c>
      <c r="AC22" s="457">
        <f t="shared" si="10"/>
        <v>65000000</v>
      </c>
      <c r="AD22" s="551">
        <f t="shared" si="10"/>
        <v>66000000</v>
      </c>
      <c r="AE22" s="460">
        <f t="shared" si="10"/>
        <v>65000000</v>
      </c>
      <c r="AF22" s="460">
        <f t="shared" si="10"/>
        <v>1000000</v>
      </c>
      <c r="AG22" s="461"/>
      <c r="AH22" s="678">
        <f t="shared" si="6"/>
        <v>0</v>
      </c>
      <c r="AI22" s="694"/>
      <c r="AJ22" s="695"/>
      <c r="AK22" s="696" t="e">
        <f>SUM(AD22-AE22-#REF!-#REF!)</f>
        <v>#REF!</v>
      </c>
      <c r="AL22" s="675">
        <f t="shared" si="7"/>
        <v>0.3551356589147287</v>
      </c>
      <c r="AM22" s="739"/>
      <c r="AN22" s="744"/>
      <c r="AO22" s="624"/>
      <c r="AP22" s="654"/>
      <c r="AQ22" s="654"/>
    </row>
    <row r="23" spans="1:43" s="380" customFormat="1" ht="36" x14ac:dyDescent="0.2">
      <c r="A23" s="375" t="s">
        <v>460</v>
      </c>
      <c r="B23" s="639" t="s">
        <v>461</v>
      </c>
      <c r="C23" s="639" t="s">
        <v>463</v>
      </c>
      <c r="D23" s="639" t="s">
        <v>454</v>
      </c>
      <c r="E23" s="639" t="s">
        <v>461</v>
      </c>
      <c r="F23" s="639" t="s">
        <v>461</v>
      </c>
      <c r="G23" s="639" t="s">
        <v>553</v>
      </c>
      <c r="H23" s="368">
        <v>10</v>
      </c>
      <c r="I23" s="368" t="s">
        <v>440</v>
      </c>
      <c r="J23" s="422" t="s">
        <v>574</v>
      </c>
      <c r="K23" s="716">
        <v>23500000</v>
      </c>
      <c r="L23" s="716"/>
      <c r="M23" s="716"/>
      <c r="N23" s="434"/>
      <c r="O23" s="434"/>
      <c r="P23" s="434"/>
      <c r="Q23" s="434">
        <f t="shared" si="8"/>
        <v>0</v>
      </c>
      <c r="R23" s="453"/>
      <c r="S23" s="453"/>
      <c r="T23" s="453"/>
      <c r="U23" s="453"/>
      <c r="V23" s="434"/>
      <c r="W23" s="434"/>
      <c r="X23" s="439">
        <f>SUM(U23)</f>
        <v>0</v>
      </c>
      <c r="Y23" s="439"/>
      <c r="Z23" s="434">
        <f>SUM(Q23-R23-T23-V23-W23-X23-Y23)</f>
        <v>0</v>
      </c>
      <c r="AA23" s="445"/>
      <c r="AB23" s="434"/>
      <c r="AC23" s="434">
        <f t="shared" si="0"/>
        <v>0</v>
      </c>
      <c r="AD23" s="545">
        <f t="shared" si="5"/>
        <v>0</v>
      </c>
      <c r="AE23" s="439"/>
      <c r="AF23" s="439">
        <f>SUM(AD23-AE23)</f>
        <v>0</v>
      </c>
      <c r="AG23" s="439"/>
      <c r="AH23" s="666" t="e">
        <f t="shared" si="6"/>
        <v>#DIV/0!</v>
      </c>
      <c r="AI23" s="667"/>
      <c r="AJ23" s="668"/>
      <c r="AK23" s="669" t="e">
        <f>SUM(AD23-AE23-#REF!-#REF!)</f>
        <v>#REF!</v>
      </c>
      <c r="AL23" s="670" t="e">
        <f t="shared" si="7"/>
        <v>#DIV/0!</v>
      </c>
      <c r="AM23" s="733"/>
      <c r="AN23" s="743"/>
      <c r="AO23" s="620" t="s">
        <v>2844</v>
      </c>
      <c r="AP23" s="662"/>
      <c r="AQ23" s="653"/>
    </row>
    <row r="24" spans="1:43" s="380" customFormat="1" ht="36" x14ac:dyDescent="0.2">
      <c r="A24" s="375" t="s">
        <v>460</v>
      </c>
      <c r="B24" s="639" t="s">
        <v>461</v>
      </c>
      <c r="C24" s="639" t="s">
        <v>463</v>
      </c>
      <c r="D24" s="639" t="s">
        <v>454</v>
      </c>
      <c r="E24" s="639" t="s">
        <v>461</v>
      </c>
      <c r="F24" s="639" t="s">
        <v>461</v>
      </c>
      <c r="G24" s="639" t="s">
        <v>553</v>
      </c>
      <c r="H24" s="368">
        <v>10</v>
      </c>
      <c r="I24" s="368" t="s">
        <v>440</v>
      </c>
      <c r="J24" s="422" t="s">
        <v>566</v>
      </c>
      <c r="K24" s="716">
        <v>3540146</v>
      </c>
      <c r="L24" s="716">
        <v>12221424.199999999</v>
      </c>
      <c r="M24" s="716"/>
      <c r="N24" s="434"/>
      <c r="O24" s="434"/>
      <c r="P24" s="434"/>
      <c r="Q24" s="434">
        <f t="shared" si="8"/>
        <v>0</v>
      </c>
      <c r="R24" s="453"/>
      <c r="S24" s="453"/>
      <c r="T24" s="453"/>
      <c r="U24" s="453"/>
      <c r="V24" s="434"/>
      <c r="W24" s="434"/>
      <c r="X24" s="439">
        <f>SUM(U24)</f>
        <v>0</v>
      </c>
      <c r="Y24" s="439"/>
      <c r="Z24" s="434">
        <f>SUM(Q24-R24-T24-V24-W24-X24-Y24)</f>
        <v>0</v>
      </c>
      <c r="AA24" s="445">
        <v>0</v>
      </c>
      <c r="AB24" s="434"/>
      <c r="AC24" s="434">
        <f t="shared" si="0"/>
        <v>0</v>
      </c>
      <c r="AD24" s="545">
        <f t="shared" si="5"/>
        <v>0</v>
      </c>
      <c r="AE24" s="439"/>
      <c r="AF24" s="439">
        <f>SUM(AD24-AE24)</f>
        <v>0</v>
      </c>
      <c r="AG24" s="439"/>
      <c r="AH24" s="666" t="e">
        <f t="shared" si="6"/>
        <v>#DIV/0!</v>
      </c>
      <c r="AI24" s="667"/>
      <c r="AJ24" s="668"/>
      <c r="AK24" s="669" t="e">
        <f>SUM(AD24-AE24-#REF!-#REF!)</f>
        <v>#REF!</v>
      </c>
      <c r="AL24" s="670" t="e">
        <f t="shared" si="7"/>
        <v>#DIV/0!</v>
      </c>
      <c r="AM24" s="733"/>
      <c r="AN24" s="743"/>
      <c r="AO24" s="620"/>
      <c r="AP24" s="653"/>
      <c r="AQ24" s="653"/>
    </row>
    <row r="25" spans="1:43" s="388" customFormat="1" ht="28.5" x14ac:dyDescent="0.2">
      <c r="A25" s="384"/>
      <c r="B25" s="385"/>
      <c r="C25" s="385"/>
      <c r="D25" s="385"/>
      <c r="E25" s="385"/>
      <c r="F25" s="385"/>
      <c r="G25" s="385"/>
      <c r="H25" s="386"/>
      <c r="I25" s="386"/>
      <c r="J25" s="421" t="s">
        <v>567</v>
      </c>
      <c r="K25" s="387">
        <f t="shared" ref="K25:Q25" si="11">SUM(K23:K24)</f>
        <v>27040146</v>
      </c>
      <c r="L25" s="387">
        <f t="shared" si="11"/>
        <v>12221424.199999999</v>
      </c>
      <c r="M25" s="387">
        <f t="shared" si="11"/>
        <v>0</v>
      </c>
      <c r="N25" s="457">
        <f t="shared" si="11"/>
        <v>0</v>
      </c>
      <c r="O25" s="457">
        <f t="shared" si="11"/>
        <v>0</v>
      </c>
      <c r="P25" s="457">
        <f t="shared" si="11"/>
        <v>0</v>
      </c>
      <c r="Q25" s="457">
        <f t="shared" si="11"/>
        <v>0</v>
      </c>
      <c r="R25" s="459"/>
      <c r="S25" s="459">
        <f t="shared" ref="S25:Y25" si="12">SUM(S23:S24)</f>
        <v>0</v>
      </c>
      <c r="T25" s="459">
        <f t="shared" si="12"/>
        <v>0</v>
      </c>
      <c r="U25" s="459">
        <f t="shared" si="12"/>
        <v>0</v>
      </c>
      <c r="V25" s="457">
        <f t="shared" si="12"/>
        <v>0</v>
      </c>
      <c r="W25" s="457">
        <f t="shared" si="12"/>
        <v>0</v>
      </c>
      <c r="X25" s="775">
        <f t="shared" si="12"/>
        <v>0</v>
      </c>
      <c r="Y25" s="460">
        <f t="shared" si="12"/>
        <v>0</v>
      </c>
      <c r="Z25" s="457">
        <f>SUM(Z23:Z24)</f>
        <v>0</v>
      </c>
      <c r="AA25" s="457">
        <f>SUM(AA23:AA24)</f>
        <v>0</v>
      </c>
      <c r="AB25" s="457">
        <f>SUM(AB23:AB24)</f>
        <v>0</v>
      </c>
      <c r="AC25" s="457">
        <f t="shared" si="0"/>
        <v>0</v>
      </c>
      <c r="AD25" s="551">
        <f>SUM(AD23:AD24)</f>
        <v>0</v>
      </c>
      <c r="AE25" s="460">
        <f>SUM(AE23:AE24)</f>
        <v>0</v>
      </c>
      <c r="AF25" s="460">
        <f>SUM(AF23:AF24)</f>
        <v>0</v>
      </c>
      <c r="AG25" s="461"/>
      <c r="AH25" s="697">
        <v>0</v>
      </c>
      <c r="AI25" s="694"/>
      <c r="AJ25" s="695"/>
      <c r="AK25" s="696" t="e">
        <f>SUM(AD25-AE25-#REF!-#REF!)</f>
        <v>#REF!</v>
      </c>
      <c r="AL25" s="675" t="e">
        <f t="shared" si="7"/>
        <v>#DIV/0!</v>
      </c>
      <c r="AM25" s="739"/>
      <c r="AN25" s="744"/>
      <c r="AO25" s="624"/>
      <c r="AP25" s="654"/>
      <c r="AQ25" s="654"/>
    </row>
    <row r="26" spans="1:43" s="380" customFormat="1" ht="39.75" customHeight="1" x14ac:dyDescent="0.2">
      <c r="A26" s="375"/>
      <c r="B26" s="876" t="s">
        <v>514</v>
      </c>
      <c r="C26" s="876"/>
      <c r="D26" s="876"/>
      <c r="E26" s="876"/>
      <c r="F26" s="876"/>
      <c r="G26" s="876"/>
      <c r="H26" s="876"/>
      <c r="I26" s="876"/>
      <c r="J26" s="876"/>
      <c r="K26" s="368"/>
      <c r="L26" s="368"/>
      <c r="M26" s="368"/>
      <c r="N26" s="415"/>
      <c r="O26" s="415"/>
      <c r="P26" s="415"/>
      <c r="Q26" s="415"/>
      <c r="R26" s="462"/>
      <c r="S26" s="462"/>
      <c r="T26" s="462"/>
      <c r="U26" s="462"/>
      <c r="V26" s="415"/>
      <c r="W26" s="415"/>
      <c r="X26" s="415"/>
      <c r="Y26" s="415"/>
      <c r="Z26" s="415"/>
      <c r="AA26" s="415"/>
      <c r="AB26" s="415"/>
      <c r="AC26" s="415"/>
      <c r="AD26" s="552"/>
      <c r="AE26" s="415"/>
      <c r="AF26" s="415"/>
      <c r="AG26" s="415"/>
      <c r="AH26" s="666"/>
      <c r="AI26" s="698"/>
      <c r="AJ26" s="668"/>
      <c r="AK26" s="669" t="e">
        <f>SUM(AD26-AE26-#REF!-#REF!)</f>
        <v>#REF!</v>
      </c>
      <c r="AL26" s="699"/>
      <c r="AM26" s="741"/>
      <c r="AN26" s="743"/>
      <c r="AO26" s="625"/>
      <c r="AP26" s="653"/>
      <c r="AQ26" s="653"/>
    </row>
    <row r="27" spans="1:43" s="390" customFormat="1" ht="36" x14ac:dyDescent="0.2">
      <c r="A27" s="389" t="s">
        <v>460</v>
      </c>
      <c r="B27" s="639" t="s">
        <v>461</v>
      </c>
      <c r="C27" s="639" t="s">
        <v>463</v>
      </c>
      <c r="D27" s="639" t="s">
        <v>454</v>
      </c>
      <c r="E27" s="639" t="s">
        <v>454</v>
      </c>
      <c r="F27" s="639" t="s">
        <v>443</v>
      </c>
      <c r="G27" s="639" t="s">
        <v>553</v>
      </c>
      <c r="H27" s="368">
        <v>10</v>
      </c>
      <c r="I27" s="368" t="s">
        <v>440</v>
      </c>
      <c r="J27" s="790" t="s">
        <v>515</v>
      </c>
      <c r="K27" s="716">
        <v>47820000</v>
      </c>
      <c r="L27" s="716">
        <v>33224716</v>
      </c>
      <c r="M27" s="716">
        <v>39200000</v>
      </c>
      <c r="N27" s="455">
        <v>37000000</v>
      </c>
      <c r="O27" s="434"/>
      <c r="P27" s="434"/>
      <c r="Q27" s="434">
        <f t="shared" ref="Q27:Q35" si="13">SUM(N27+O27-P27)</f>
        <v>37000000</v>
      </c>
      <c r="R27" s="453"/>
      <c r="S27" s="453"/>
      <c r="T27" s="453"/>
      <c r="U27" s="453"/>
      <c r="V27" s="434"/>
      <c r="W27" s="434"/>
      <c r="X27" s="439">
        <f t="shared" ref="X27:X35" si="14">SUM(U27)</f>
        <v>0</v>
      </c>
      <c r="Y27" s="439"/>
      <c r="Z27" s="434">
        <f t="shared" ref="Z27:Z35" si="15">SUM(Q27-R27-T27-V27-W27-X27-Y27)</f>
        <v>37000000</v>
      </c>
      <c r="AA27" s="434">
        <v>37000000</v>
      </c>
      <c r="AB27" s="434">
        <v>37000000</v>
      </c>
      <c r="AC27" s="434">
        <f t="shared" si="0"/>
        <v>0</v>
      </c>
      <c r="AD27" s="545">
        <f t="shared" si="5"/>
        <v>0</v>
      </c>
      <c r="AE27" s="439"/>
      <c r="AF27" s="439">
        <f t="shared" ref="AF27:AF35" si="16">SUM(AD27-AE27)</f>
        <v>0</v>
      </c>
      <c r="AG27" s="439"/>
      <c r="AH27" s="666">
        <f t="shared" ref="AH27:AH35" si="17">AB27/(AB27+AE27+AF27)</f>
        <v>1</v>
      </c>
      <c r="AI27" s="667"/>
      <c r="AJ27" s="668"/>
      <c r="AK27" s="669" t="e">
        <f>SUM(AD27-AE27-#REF!-#REF!)</f>
        <v>#REF!</v>
      </c>
      <c r="AL27" s="670">
        <f t="shared" ref="AL27:AL36" si="18">SUM(Q27-(AD27+X27))/Q27</f>
        <v>1</v>
      </c>
      <c r="AM27" s="733"/>
      <c r="AN27" s="745"/>
      <c r="AO27" s="620"/>
      <c r="AP27" s="655"/>
      <c r="AQ27" s="655"/>
    </row>
    <row r="28" spans="1:43" s="380" customFormat="1" ht="120.75" customHeight="1" x14ac:dyDescent="0.2">
      <c r="A28" s="375" t="s">
        <v>460</v>
      </c>
      <c r="B28" s="639" t="s">
        <v>461</v>
      </c>
      <c r="C28" s="639" t="s">
        <v>463</v>
      </c>
      <c r="D28" s="639" t="s">
        <v>454</v>
      </c>
      <c r="E28" s="639" t="s">
        <v>454</v>
      </c>
      <c r="F28" s="639" t="s">
        <v>461</v>
      </c>
      <c r="G28" s="639" t="s">
        <v>553</v>
      </c>
      <c r="H28" s="368">
        <v>10</v>
      </c>
      <c r="I28" s="368" t="s">
        <v>440</v>
      </c>
      <c r="J28" s="790" t="s">
        <v>516</v>
      </c>
      <c r="K28" s="716">
        <v>16709800</v>
      </c>
      <c r="L28" s="716">
        <v>20291970</v>
      </c>
      <c r="M28" s="716">
        <v>15172027</v>
      </c>
      <c r="N28" s="455">
        <v>16000000</v>
      </c>
      <c r="O28" s="434">
        <v>5000000</v>
      </c>
      <c r="P28" s="434"/>
      <c r="Q28" s="434">
        <f t="shared" si="13"/>
        <v>21000000</v>
      </c>
      <c r="R28" s="453"/>
      <c r="S28" s="453"/>
      <c r="T28" s="453"/>
      <c r="U28" s="453"/>
      <c r="V28" s="434"/>
      <c r="W28" s="434"/>
      <c r="X28" s="439">
        <f t="shared" si="14"/>
        <v>0</v>
      </c>
      <c r="Y28" s="658">
        <v>1000000</v>
      </c>
      <c r="Z28" s="434">
        <f t="shared" si="15"/>
        <v>20000000</v>
      </c>
      <c r="AA28" s="434">
        <v>16000000</v>
      </c>
      <c r="AB28" s="434">
        <v>12543445</v>
      </c>
      <c r="AC28" s="434">
        <f t="shared" si="0"/>
        <v>3456555</v>
      </c>
      <c r="AD28" s="545">
        <f t="shared" si="5"/>
        <v>7456555</v>
      </c>
      <c r="AE28" s="439">
        <v>0</v>
      </c>
      <c r="AF28" s="439">
        <f t="shared" si="16"/>
        <v>7456555</v>
      </c>
      <c r="AG28" s="439"/>
      <c r="AH28" s="666">
        <f t="shared" si="17"/>
        <v>0.62717224999999999</v>
      </c>
      <c r="AI28" s="667"/>
      <c r="AJ28" s="668"/>
      <c r="AK28" s="669" t="e">
        <f>SUM(AD28-AE28-#REF!-#REF!)</f>
        <v>#REF!</v>
      </c>
      <c r="AL28" s="670">
        <f t="shared" si="18"/>
        <v>0.64492595238095241</v>
      </c>
      <c r="AM28" s="733"/>
      <c r="AN28" s="743"/>
      <c r="AO28" s="620" t="s">
        <v>2893</v>
      </c>
      <c r="AP28" s="662"/>
      <c r="AQ28" s="653">
        <v>7456555</v>
      </c>
    </row>
    <row r="29" spans="1:43" s="380" customFormat="1" ht="36" x14ac:dyDescent="0.2">
      <c r="A29" s="375" t="s">
        <v>460</v>
      </c>
      <c r="B29" s="639" t="s">
        <v>461</v>
      </c>
      <c r="C29" s="639" t="s">
        <v>463</v>
      </c>
      <c r="D29" s="639" t="s">
        <v>454</v>
      </c>
      <c r="E29" s="639" t="s">
        <v>454</v>
      </c>
      <c r="F29" s="639" t="s">
        <v>459</v>
      </c>
      <c r="G29" s="639" t="s">
        <v>553</v>
      </c>
      <c r="H29" s="368">
        <v>10</v>
      </c>
      <c r="I29" s="368" t="s">
        <v>440</v>
      </c>
      <c r="J29" s="790" t="s">
        <v>517</v>
      </c>
      <c r="K29" s="716">
        <v>0</v>
      </c>
      <c r="L29" s="716">
        <v>2504440</v>
      </c>
      <c r="M29" s="716"/>
      <c r="N29" s="455">
        <v>1000000</v>
      </c>
      <c r="O29" s="434"/>
      <c r="P29" s="434"/>
      <c r="Q29" s="434">
        <f t="shared" si="13"/>
        <v>1000000</v>
      </c>
      <c r="R29" s="434"/>
      <c r="S29" s="434"/>
      <c r="T29" s="434"/>
      <c r="U29" s="434"/>
      <c r="V29" s="434"/>
      <c r="W29" s="434"/>
      <c r="X29" s="439">
        <f t="shared" si="14"/>
        <v>0</v>
      </c>
      <c r="Y29" s="439"/>
      <c r="Z29" s="434">
        <f t="shared" si="15"/>
        <v>1000000</v>
      </c>
      <c r="AA29" s="434">
        <v>1000000</v>
      </c>
      <c r="AB29" s="434">
        <v>999400</v>
      </c>
      <c r="AC29" s="434">
        <f t="shared" si="0"/>
        <v>600</v>
      </c>
      <c r="AD29" s="545">
        <f t="shared" si="5"/>
        <v>600</v>
      </c>
      <c r="AE29" s="439"/>
      <c r="AF29" s="439">
        <f t="shared" si="16"/>
        <v>600</v>
      </c>
      <c r="AG29" s="439"/>
      <c r="AH29" s="666">
        <f t="shared" si="17"/>
        <v>0.99939999999999996</v>
      </c>
      <c r="AI29" s="667"/>
      <c r="AJ29" s="668"/>
      <c r="AK29" s="669" t="e">
        <f>SUM(AD29-AE29-#REF!-#REF!)</f>
        <v>#REF!</v>
      </c>
      <c r="AL29" s="670">
        <f t="shared" si="18"/>
        <v>0.99939999999999996</v>
      </c>
      <c r="AM29" s="733"/>
      <c r="AN29" s="743"/>
      <c r="AO29" s="620"/>
      <c r="AP29" s="653"/>
      <c r="AQ29" s="653"/>
    </row>
    <row r="30" spans="1:43" s="380" customFormat="1" ht="69.75" customHeight="1" x14ac:dyDescent="0.2">
      <c r="A30" s="375" t="s">
        <v>460</v>
      </c>
      <c r="B30" s="639" t="s">
        <v>461</v>
      </c>
      <c r="C30" s="639" t="s">
        <v>463</v>
      </c>
      <c r="D30" s="639" t="s">
        <v>454</v>
      </c>
      <c r="E30" s="639" t="s">
        <v>454</v>
      </c>
      <c r="F30" s="639" t="s">
        <v>453</v>
      </c>
      <c r="G30" s="639" t="s">
        <v>553</v>
      </c>
      <c r="H30" s="368">
        <v>10</v>
      </c>
      <c r="I30" s="368" t="s">
        <v>440</v>
      </c>
      <c r="J30" s="790" t="s">
        <v>575</v>
      </c>
      <c r="K30" s="716">
        <v>81595684</v>
      </c>
      <c r="L30" s="716">
        <v>53324791</v>
      </c>
      <c r="M30" s="716">
        <v>41517993</v>
      </c>
      <c r="N30" s="455">
        <v>40000000</v>
      </c>
      <c r="O30" s="434">
        <v>600000</v>
      </c>
      <c r="P30" s="434">
        <v>338800</v>
      </c>
      <c r="Q30" s="434">
        <f t="shared" si="13"/>
        <v>40261200</v>
      </c>
      <c r="R30" s="453"/>
      <c r="S30" s="453">
        <f>600000+400000-100000+94480+500000</f>
        <v>1494480</v>
      </c>
      <c r="T30" s="553">
        <f>0+121700+181300+76800+21000+255700+253500+147840</f>
        <v>1057840</v>
      </c>
      <c r="U30" s="453">
        <f t="shared" ref="U30:U35" si="19">SUM(S30-T30)</f>
        <v>436640</v>
      </c>
      <c r="V30" s="434"/>
      <c r="W30" s="434"/>
      <c r="X30" s="439">
        <f t="shared" si="14"/>
        <v>436640</v>
      </c>
      <c r="Y30" s="658">
        <v>2500000</v>
      </c>
      <c r="Z30" s="434">
        <f t="shared" si="15"/>
        <v>36266720</v>
      </c>
      <c r="AA30" s="434">
        <v>42450000</v>
      </c>
      <c r="AB30" s="434">
        <v>12555929.4</v>
      </c>
      <c r="AC30" s="434">
        <f t="shared" si="0"/>
        <v>29894070.600000001</v>
      </c>
      <c r="AD30" s="545">
        <f t="shared" si="5"/>
        <v>23710790.600000001</v>
      </c>
      <c r="AE30" s="439">
        <v>29600000</v>
      </c>
      <c r="AF30" s="465">
        <f t="shared" si="16"/>
        <v>-5889209.3999999985</v>
      </c>
      <c r="AG30" s="439"/>
      <c r="AH30" s="666">
        <f t="shared" si="17"/>
        <v>0.34621077946944195</v>
      </c>
      <c r="AI30" s="667"/>
      <c r="AJ30" s="668"/>
      <c r="AK30" s="669" t="e">
        <f>SUM(AD30-AE30-#REF!-#REF!)</f>
        <v>#REF!</v>
      </c>
      <c r="AL30" s="670">
        <f t="shared" si="18"/>
        <v>0.40023072834391421</v>
      </c>
      <c r="AM30" s="733"/>
      <c r="AN30" s="743"/>
      <c r="AO30" s="620" t="s">
        <v>2897</v>
      </c>
      <c r="AP30" s="660">
        <f>4480000+500000+94480+830000-4480</f>
        <v>5900000</v>
      </c>
      <c r="AQ30" s="653"/>
    </row>
    <row r="31" spans="1:43" s="380" customFormat="1" ht="36" x14ac:dyDescent="0.2">
      <c r="A31" s="375" t="s">
        <v>460</v>
      </c>
      <c r="B31" s="639" t="s">
        <v>461</v>
      </c>
      <c r="C31" s="639" t="s">
        <v>463</v>
      </c>
      <c r="D31" s="639" t="s">
        <v>454</v>
      </c>
      <c r="E31" s="639" t="s">
        <v>454</v>
      </c>
      <c r="F31" s="639" t="s">
        <v>546</v>
      </c>
      <c r="G31" s="639" t="s">
        <v>553</v>
      </c>
      <c r="H31" s="368">
        <v>10</v>
      </c>
      <c r="I31" s="368" t="s">
        <v>440</v>
      </c>
      <c r="J31" s="790" t="s">
        <v>518</v>
      </c>
      <c r="K31" s="716">
        <v>5851314</v>
      </c>
      <c r="L31" s="716">
        <v>19552811.359999999</v>
      </c>
      <c r="M31" s="716"/>
      <c r="N31" s="434">
        <v>6500000</v>
      </c>
      <c r="O31" s="434">
        <v>450000</v>
      </c>
      <c r="P31" s="434">
        <v>2350000</v>
      </c>
      <c r="Q31" s="434">
        <f t="shared" si="13"/>
        <v>4600000</v>
      </c>
      <c r="R31" s="453"/>
      <c r="S31" s="453">
        <v>600000</v>
      </c>
      <c r="T31" s="453">
        <f>299200+66199</f>
        <v>365399</v>
      </c>
      <c r="U31" s="453">
        <f t="shared" si="19"/>
        <v>234601</v>
      </c>
      <c r="V31" s="434"/>
      <c r="W31" s="434"/>
      <c r="X31" s="439">
        <f t="shared" si="14"/>
        <v>234601</v>
      </c>
      <c r="Y31" s="439"/>
      <c r="Z31" s="434">
        <f t="shared" si="15"/>
        <v>4000000</v>
      </c>
      <c r="AA31" s="434">
        <v>6500000</v>
      </c>
      <c r="AB31" s="434">
        <v>3101205</v>
      </c>
      <c r="AC31" s="434">
        <f t="shared" si="0"/>
        <v>3398795</v>
      </c>
      <c r="AD31" s="545">
        <f t="shared" si="5"/>
        <v>898795</v>
      </c>
      <c r="AE31" s="439">
        <v>0</v>
      </c>
      <c r="AF31" s="439">
        <f t="shared" si="16"/>
        <v>898795</v>
      </c>
      <c r="AG31" s="439"/>
      <c r="AH31" s="666">
        <f t="shared" si="17"/>
        <v>0.77530125000000005</v>
      </c>
      <c r="AI31" s="667"/>
      <c r="AJ31" s="668"/>
      <c r="AK31" s="669" t="e">
        <f>SUM(AD31-AE31-#REF!-#REF!)</f>
        <v>#REF!</v>
      </c>
      <c r="AL31" s="670">
        <f t="shared" si="18"/>
        <v>0.75360956521739131</v>
      </c>
      <c r="AM31" s="733"/>
      <c r="AN31" s="743"/>
      <c r="AO31" s="620"/>
      <c r="AP31" s="653"/>
      <c r="AQ31" s="653">
        <v>850000</v>
      </c>
    </row>
    <row r="32" spans="1:43" s="380" customFormat="1" ht="36" x14ac:dyDescent="0.2">
      <c r="A32" s="375" t="s">
        <v>460</v>
      </c>
      <c r="B32" s="639" t="s">
        <v>461</v>
      </c>
      <c r="C32" s="639" t="s">
        <v>463</v>
      </c>
      <c r="D32" s="639" t="s">
        <v>454</v>
      </c>
      <c r="E32" s="639" t="s">
        <v>454</v>
      </c>
      <c r="F32" s="639" t="s">
        <v>547</v>
      </c>
      <c r="G32" s="639" t="s">
        <v>553</v>
      </c>
      <c r="H32" s="368">
        <v>10</v>
      </c>
      <c r="I32" s="368" t="s">
        <v>440</v>
      </c>
      <c r="J32" s="790" t="s">
        <v>519</v>
      </c>
      <c r="K32" s="716">
        <v>21568574.789999999</v>
      </c>
      <c r="L32" s="716">
        <v>30327391.84</v>
      </c>
      <c r="M32" s="716"/>
      <c r="N32" s="434">
        <v>7000000</v>
      </c>
      <c r="O32" s="434">
        <v>10350000</v>
      </c>
      <c r="P32" s="434"/>
      <c r="Q32" s="434">
        <f t="shared" si="13"/>
        <v>17350000</v>
      </c>
      <c r="R32" s="453"/>
      <c r="S32" s="453">
        <v>16000000</v>
      </c>
      <c r="T32" s="553">
        <f>1267107+1338407+858884+1881812+609902+994274+1147270+1651734</f>
        <v>9749390</v>
      </c>
      <c r="U32" s="453">
        <f t="shared" si="19"/>
        <v>6250610</v>
      </c>
      <c r="V32" s="434"/>
      <c r="W32" s="434"/>
      <c r="X32" s="439">
        <f t="shared" si="14"/>
        <v>6250610</v>
      </c>
      <c r="Y32" s="439"/>
      <c r="Z32" s="434">
        <f t="shared" si="15"/>
        <v>1350000</v>
      </c>
      <c r="AA32" s="434">
        <v>7000000</v>
      </c>
      <c r="AB32" s="434">
        <v>5740453</v>
      </c>
      <c r="AC32" s="434">
        <f t="shared" si="0"/>
        <v>1259547</v>
      </c>
      <c r="AD32" s="545">
        <f t="shared" si="5"/>
        <v>-4390453</v>
      </c>
      <c r="AE32" s="439">
        <v>0</v>
      </c>
      <c r="AF32" s="465">
        <f>SUM(AD32-AE32)</f>
        <v>-4390453</v>
      </c>
      <c r="AG32" s="439"/>
      <c r="AH32" s="666">
        <f t="shared" si="17"/>
        <v>4.2521874074074075</v>
      </c>
      <c r="AI32" s="667"/>
      <c r="AJ32" s="668"/>
      <c r="AK32" s="669" t="e">
        <f>SUM(AD32-AE32-#REF!-#REF!)</f>
        <v>#REF!</v>
      </c>
      <c r="AL32" s="670">
        <f t="shared" si="18"/>
        <v>0.89278634005763691</v>
      </c>
      <c r="AM32" s="733"/>
      <c r="AN32" s="743"/>
      <c r="AO32" s="620" t="s">
        <v>2898</v>
      </c>
      <c r="AP32" s="659">
        <f>1626555+8791+4480+2750627</f>
        <v>4390453</v>
      </c>
      <c r="AQ32" s="653"/>
    </row>
    <row r="33" spans="1:47" s="376" customFormat="1" ht="105.75" customHeight="1" x14ac:dyDescent="0.2">
      <c r="A33" s="375" t="s">
        <v>460</v>
      </c>
      <c r="B33" s="639" t="s">
        <v>461</v>
      </c>
      <c r="C33" s="639" t="s">
        <v>463</v>
      </c>
      <c r="D33" s="639" t="s">
        <v>454</v>
      </c>
      <c r="E33" s="639" t="s">
        <v>454</v>
      </c>
      <c r="F33" s="639" t="s">
        <v>457</v>
      </c>
      <c r="G33" s="639" t="s">
        <v>553</v>
      </c>
      <c r="H33" s="368">
        <v>10</v>
      </c>
      <c r="I33" s="368" t="s">
        <v>440</v>
      </c>
      <c r="J33" s="790" t="s">
        <v>1063</v>
      </c>
      <c r="K33" s="538">
        <v>30837092</v>
      </c>
      <c r="L33" s="538">
        <v>31584291</v>
      </c>
      <c r="M33" s="538">
        <v>35972143</v>
      </c>
      <c r="N33" s="434">
        <v>25562510</v>
      </c>
      <c r="O33" s="434">
        <v>200000</v>
      </c>
      <c r="P33" s="434"/>
      <c r="Q33" s="434">
        <f t="shared" si="13"/>
        <v>25762510</v>
      </c>
      <c r="R33" s="453"/>
      <c r="S33" s="453">
        <v>350000</v>
      </c>
      <c r="T33" s="453">
        <f>0+0+0+9000+10000</f>
        <v>19000</v>
      </c>
      <c r="U33" s="453">
        <f t="shared" si="19"/>
        <v>331000</v>
      </c>
      <c r="V33" s="434"/>
      <c r="W33" s="463">
        <v>19462509</v>
      </c>
      <c r="X33" s="439">
        <f t="shared" si="14"/>
        <v>331000</v>
      </c>
      <c r="Y33" s="439"/>
      <c r="Z33" s="434">
        <f t="shared" si="15"/>
        <v>5950001</v>
      </c>
      <c r="AA33" s="463">
        <v>5650000</v>
      </c>
      <c r="AB33" s="434">
        <v>1450000</v>
      </c>
      <c r="AC33" s="434">
        <f t="shared" si="0"/>
        <v>4200000</v>
      </c>
      <c r="AD33" s="545">
        <f t="shared" si="5"/>
        <v>4500001</v>
      </c>
      <c r="AE33" s="439">
        <v>4200000</v>
      </c>
      <c r="AF33" s="439">
        <f t="shared" si="16"/>
        <v>300001</v>
      </c>
      <c r="AG33" s="439"/>
      <c r="AH33" s="666">
        <f t="shared" si="17"/>
        <v>0.24369743803404403</v>
      </c>
      <c r="AI33" s="667"/>
      <c r="AJ33" s="668"/>
      <c r="AK33" s="669" t="e">
        <f>SUM(AD33-AE33-#REF!-#REF!)</f>
        <v>#REF!</v>
      </c>
      <c r="AL33" s="670">
        <f t="shared" si="18"/>
        <v>0.81247941291434722</v>
      </c>
      <c r="AM33" s="733"/>
      <c r="AN33" s="738"/>
      <c r="AO33" s="620" t="s">
        <v>2904</v>
      </c>
      <c r="AP33" s="662"/>
      <c r="AQ33" s="651">
        <v>300001</v>
      </c>
    </row>
    <row r="34" spans="1:47" s="376" customFormat="1" ht="36" x14ac:dyDescent="0.2">
      <c r="A34" s="375" t="s">
        <v>460</v>
      </c>
      <c r="B34" s="639" t="s">
        <v>461</v>
      </c>
      <c r="C34" s="639" t="s">
        <v>463</v>
      </c>
      <c r="D34" s="639" t="s">
        <v>454</v>
      </c>
      <c r="E34" s="639" t="s">
        <v>454</v>
      </c>
      <c r="F34" s="639" t="s">
        <v>552</v>
      </c>
      <c r="G34" s="639" t="s">
        <v>553</v>
      </c>
      <c r="H34" s="368">
        <v>10</v>
      </c>
      <c r="I34" s="368" t="s">
        <v>440</v>
      </c>
      <c r="J34" s="422" t="s">
        <v>568</v>
      </c>
      <c r="K34" s="716">
        <v>471340</v>
      </c>
      <c r="L34" s="716">
        <v>169190</v>
      </c>
      <c r="M34" s="716"/>
      <c r="N34" s="434"/>
      <c r="O34" s="434">
        <v>200000</v>
      </c>
      <c r="P34" s="434"/>
      <c r="Q34" s="434">
        <f t="shared" si="13"/>
        <v>200000</v>
      </c>
      <c r="R34" s="453"/>
      <c r="S34" s="453">
        <f>200000-94480</f>
        <v>105520</v>
      </c>
      <c r="T34" s="453">
        <f>31220+4300+0+32700</f>
        <v>68220</v>
      </c>
      <c r="U34" s="453">
        <f t="shared" si="19"/>
        <v>37300</v>
      </c>
      <c r="V34" s="434"/>
      <c r="W34" s="434"/>
      <c r="X34" s="439">
        <f t="shared" si="14"/>
        <v>37300</v>
      </c>
      <c r="Y34" s="439"/>
      <c r="Z34" s="434">
        <f t="shared" si="15"/>
        <v>94480</v>
      </c>
      <c r="AA34" s="434"/>
      <c r="AB34" s="434"/>
      <c r="AC34" s="434">
        <f t="shared" si="0"/>
        <v>0</v>
      </c>
      <c r="AD34" s="545">
        <f t="shared" si="5"/>
        <v>94480</v>
      </c>
      <c r="AE34" s="439"/>
      <c r="AF34" s="439">
        <f t="shared" si="16"/>
        <v>94480</v>
      </c>
      <c r="AG34" s="439"/>
      <c r="AH34" s="666">
        <f t="shared" si="17"/>
        <v>0</v>
      </c>
      <c r="AI34" s="667"/>
      <c r="AJ34" s="668"/>
      <c r="AK34" s="669" t="e">
        <f>SUM(AD34-AE34-#REF!-#REF!)</f>
        <v>#REF!</v>
      </c>
      <c r="AL34" s="670">
        <f t="shared" si="18"/>
        <v>0.34110000000000001</v>
      </c>
      <c r="AM34" s="733"/>
      <c r="AN34" s="738"/>
      <c r="AO34" s="620"/>
      <c r="AP34" s="651"/>
      <c r="AQ34" s="651">
        <v>94480</v>
      </c>
    </row>
    <row r="35" spans="1:47" s="376" customFormat="1" ht="36" x14ac:dyDescent="0.2">
      <c r="A35" s="375" t="s">
        <v>460</v>
      </c>
      <c r="B35" s="639" t="s">
        <v>461</v>
      </c>
      <c r="C35" s="639" t="s">
        <v>463</v>
      </c>
      <c r="D35" s="639" t="s">
        <v>454</v>
      </c>
      <c r="E35" s="639" t="s">
        <v>454</v>
      </c>
      <c r="F35" s="639" t="s">
        <v>548</v>
      </c>
      <c r="G35" s="639" t="s">
        <v>553</v>
      </c>
      <c r="H35" s="368">
        <v>10</v>
      </c>
      <c r="I35" s="368" t="s">
        <v>440</v>
      </c>
      <c r="J35" s="422" t="s">
        <v>520</v>
      </c>
      <c r="K35" s="716">
        <v>6562350</v>
      </c>
      <c r="L35" s="716">
        <v>3699162</v>
      </c>
      <c r="M35" s="716">
        <v>23036241</v>
      </c>
      <c r="N35" s="434">
        <v>20000000</v>
      </c>
      <c r="O35" s="434"/>
      <c r="P35" s="434">
        <v>9450000</v>
      </c>
      <c r="Q35" s="434">
        <f t="shared" si="13"/>
        <v>10550000</v>
      </c>
      <c r="R35" s="453">
        <v>4000000</v>
      </c>
      <c r="S35" s="453">
        <v>3500000</v>
      </c>
      <c r="T35" s="453">
        <f>272500+341814+126110+1078262+212000+420046+362950</f>
        <v>2813682</v>
      </c>
      <c r="U35" s="453">
        <f t="shared" si="19"/>
        <v>686318</v>
      </c>
      <c r="V35" s="434"/>
      <c r="W35" s="434"/>
      <c r="X35" s="439">
        <f t="shared" si="14"/>
        <v>686318</v>
      </c>
      <c r="Y35" s="439"/>
      <c r="Z35" s="434">
        <f t="shared" si="15"/>
        <v>3050000</v>
      </c>
      <c r="AA35" s="434">
        <v>0</v>
      </c>
      <c r="AB35" s="434"/>
      <c r="AC35" s="434">
        <f t="shared" si="0"/>
        <v>0</v>
      </c>
      <c r="AD35" s="545">
        <f t="shared" si="5"/>
        <v>3050000</v>
      </c>
      <c r="AE35" s="439"/>
      <c r="AF35" s="439">
        <f t="shared" si="16"/>
        <v>3050000</v>
      </c>
      <c r="AG35" s="439"/>
      <c r="AH35" s="666">
        <f t="shared" si="17"/>
        <v>0</v>
      </c>
      <c r="AI35" s="667"/>
      <c r="AJ35" s="668"/>
      <c r="AK35" s="669" t="e">
        <f>SUM(AD35-AE35-#REF!-#REF!)</f>
        <v>#REF!</v>
      </c>
      <c r="AL35" s="670">
        <f t="shared" si="18"/>
        <v>0.64584663507109008</v>
      </c>
      <c r="AM35" s="733"/>
      <c r="AN35" s="738"/>
      <c r="AO35" s="620"/>
      <c r="AP35" s="651"/>
      <c r="AQ35" s="651">
        <v>3050000</v>
      </c>
    </row>
    <row r="36" spans="1:47" s="388" customFormat="1" ht="28.5" x14ac:dyDescent="0.2">
      <c r="A36" s="384"/>
      <c r="B36" s="385"/>
      <c r="C36" s="385"/>
      <c r="D36" s="385"/>
      <c r="E36" s="385"/>
      <c r="F36" s="385"/>
      <c r="G36" s="385"/>
      <c r="H36" s="386"/>
      <c r="I36" s="386"/>
      <c r="J36" s="421" t="s">
        <v>521</v>
      </c>
      <c r="K36" s="387">
        <f t="shared" ref="K36:W36" si="20">SUM(K27:K35)</f>
        <v>211416154.78999999</v>
      </c>
      <c r="L36" s="387">
        <f t="shared" si="20"/>
        <v>194678763.19999999</v>
      </c>
      <c r="M36" s="387">
        <f t="shared" si="20"/>
        <v>154898404</v>
      </c>
      <c r="N36" s="457">
        <f t="shared" ref="N36:S36" si="21">SUM(N27:N35)</f>
        <v>153062510</v>
      </c>
      <c r="O36" s="457">
        <f t="shared" si="21"/>
        <v>16800000</v>
      </c>
      <c r="P36" s="457">
        <f t="shared" si="21"/>
        <v>12138800</v>
      </c>
      <c r="Q36" s="457">
        <f t="shared" si="21"/>
        <v>157723710</v>
      </c>
      <c r="R36" s="458">
        <f t="shared" si="21"/>
        <v>4000000</v>
      </c>
      <c r="S36" s="458">
        <f t="shared" si="21"/>
        <v>22050000</v>
      </c>
      <c r="T36" s="459">
        <f t="shared" si="20"/>
        <v>14073531</v>
      </c>
      <c r="U36" s="459">
        <f t="shared" si="20"/>
        <v>7976469</v>
      </c>
      <c r="V36" s="457">
        <f t="shared" si="20"/>
        <v>0</v>
      </c>
      <c r="W36" s="457">
        <f t="shared" si="20"/>
        <v>19462509</v>
      </c>
      <c r="X36" s="775">
        <f t="shared" ref="X36:AF36" si="22">SUM(X27:X35)</f>
        <v>7976469</v>
      </c>
      <c r="Y36" s="460">
        <f t="shared" si="22"/>
        <v>3500000</v>
      </c>
      <c r="Z36" s="457">
        <f t="shared" si="22"/>
        <v>108711201</v>
      </c>
      <c r="AA36" s="457">
        <f t="shared" si="22"/>
        <v>115600000</v>
      </c>
      <c r="AB36" s="457">
        <f t="shared" si="22"/>
        <v>73390432.400000006</v>
      </c>
      <c r="AC36" s="457">
        <f t="shared" si="22"/>
        <v>42209567.600000001</v>
      </c>
      <c r="AD36" s="551">
        <f t="shared" si="22"/>
        <v>35320768.600000001</v>
      </c>
      <c r="AE36" s="460">
        <f t="shared" si="22"/>
        <v>33800000</v>
      </c>
      <c r="AF36" s="460">
        <f t="shared" si="22"/>
        <v>1520768.6000000015</v>
      </c>
      <c r="AG36" s="461"/>
      <c r="AH36" s="700">
        <f>SUM(AB36/Z36)</f>
        <v>0.67509540622221631</v>
      </c>
      <c r="AI36" s="694"/>
      <c r="AJ36" s="694">
        <f>SUM(AJ27:AJ35)</f>
        <v>0</v>
      </c>
      <c r="AK36" s="696" t="e">
        <f>SUM(AD36-AE36-#REF!-#REF!)</f>
        <v>#REF!</v>
      </c>
      <c r="AL36" s="675">
        <f t="shared" si="18"/>
        <v>0.7254868174226945</v>
      </c>
      <c r="AM36" s="746"/>
      <c r="AN36" s="744"/>
      <c r="AO36" s="624"/>
      <c r="AP36" s="654"/>
      <c r="AQ36" s="654"/>
    </row>
    <row r="37" spans="1:47" s="376" customFormat="1" ht="45" customHeight="1" x14ac:dyDescent="0.2">
      <c r="A37" s="375"/>
      <c r="B37" s="876" t="s">
        <v>522</v>
      </c>
      <c r="C37" s="876"/>
      <c r="D37" s="876"/>
      <c r="E37" s="876"/>
      <c r="F37" s="876"/>
      <c r="G37" s="876"/>
      <c r="H37" s="876"/>
      <c r="I37" s="876"/>
      <c r="J37" s="876"/>
      <c r="K37" s="368"/>
      <c r="L37" s="368"/>
      <c r="M37" s="368"/>
      <c r="N37" s="368"/>
      <c r="O37" s="368"/>
      <c r="P37" s="368"/>
      <c r="Q37" s="368"/>
      <c r="R37" s="368"/>
      <c r="S37" s="368"/>
      <c r="T37" s="368"/>
      <c r="U37" s="368"/>
      <c r="V37" s="368"/>
      <c r="W37" s="368"/>
      <c r="X37" s="368"/>
      <c r="Y37" s="368"/>
      <c r="Z37" s="368"/>
      <c r="AA37" s="368"/>
      <c r="AB37" s="368"/>
      <c r="AC37" s="368"/>
      <c r="AD37" s="552"/>
      <c r="AE37" s="368"/>
      <c r="AF37" s="368"/>
      <c r="AG37" s="416"/>
      <c r="AH37" s="666"/>
      <c r="AI37" s="701"/>
      <c r="AJ37" s="668"/>
      <c r="AK37" s="669" t="e">
        <f>SUM(AD37-AE37-#REF!-#REF!)</f>
        <v>#REF!</v>
      </c>
      <c r="AL37" s="684"/>
      <c r="AM37" s="741"/>
      <c r="AN37" s="738"/>
      <c r="AO37" s="622"/>
      <c r="AP37" s="651"/>
      <c r="AQ37" s="651"/>
    </row>
    <row r="38" spans="1:47" s="376" customFormat="1" ht="90" customHeight="1" x14ac:dyDescent="0.2">
      <c r="A38" s="375" t="s">
        <v>460</v>
      </c>
      <c r="B38" s="639" t="s">
        <v>461</v>
      </c>
      <c r="C38" s="639" t="s">
        <v>463</v>
      </c>
      <c r="D38" s="639" t="s">
        <v>454</v>
      </c>
      <c r="E38" s="639" t="s">
        <v>450</v>
      </c>
      <c r="F38" s="639" t="s">
        <v>443</v>
      </c>
      <c r="G38" s="639" t="s">
        <v>553</v>
      </c>
      <c r="H38" s="368">
        <v>10</v>
      </c>
      <c r="I38" s="368" t="s">
        <v>440</v>
      </c>
      <c r="J38" s="790" t="s">
        <v>535</v>
      </c>
      <c r="K38" s="716">
        <v>6719205</v>
      </c>
      <c r="L38" s="716">
        <v>19966682</v>
      </c>
      <c r="M38" s="716">
        <v>6801902</v>
      </c>
      <c r="N38" s="434">
        <v>13397880</v>
      </c>
      <c r="O38" s="434">
        <v>165152294</v>
      </c>
      <c r="P38" s="446">
        <v>1500000</v>
      </c>
      <c r="Q38" s="434">
        <f t="shared" ref="Q38:Q44" si="23">SUM(N38+O38-P38)</f>
        <v>177050174</v>
      </c>
      <c r="R38" s="453"/>
      <c r="S38" s="453">
        <v>2000000</v>
      </c>
      <c r="T38" s="453">
        <f>12000+181501+280200+307700+215700+212771</f>
        <v>1209872</v>
      </c>
      <c r="U38" s="453">
        <f t="shared" ref="U38:U44" si="24">SUM(S38-T38)</f>
        <v>790128</v>
      </c>
      <c r="V38" s="434"/>
      <c r="W38" s="434">
        <v>4678380</v>
      </c>
      <c r="X38" s="439">
        <f t="shared" ref="X38:X44" si="25">SUM(U38)</f>
        <v>790128</v>
      </c>
      <c r="Y38" s="465">
        <v>2055522</v>
      </c>
      <c r="Z38" s="434">
        <f t="shared" ref="Z38:Z44" si="26">SUM(Q38-R38-T38-V38-W38-X38-Y38)</f>
        <v>168316272</v>
      </c>
      <c r="AA38" s="434">
        <v>147094733</v>
      </c>
      <c r="AB38" s="434">
        <v>12638924</v>
      </c>
      <c r="AC38" s="434">
        <f t="shared" si="0"/>
        <v>134455809</v>
      </c>
      <c r="AD38" s="545">
        <f>SUM(Z38-AB38)</f>
        <v>155677348</v>
      </c>
      <c r="AE38" s="439">
        <v>140000000</v>
      </c>
      <c r="AF38" s="439">
        <f t="shared" ref="AF38:AF44" si="27">SUM(AD38-AE38)</f>
        <v>15677348</v>
      </c>
      <c r="AG38" s="439"/>
      <c r="AH38" s="666">
        <f t="shared" ref="AH38:AH44" si="28">AB38/(AB38+AE38+AF38)</f>
        <v>7.5090327570943347E-2</v>
      </c>
      <c r="AI38" s="667"/>
      <c r="AJ38" s="668"/>
      <c r="AK38" s="669" t="e">
        <f>SUM(AD38-AE38-#REF!-#REF!)</f>
        <v>#REF!</v>
      </c>
      <c r="AL38" s="670">
        <f t="shared" ref="AL38:AL44" si="29">SUM(Q38-(AD38+X38))/Q38</f>
        <v>0.11625347513072763</v>
      </c>
      <c r="AM38" s="733"/>
      <c r="AN38" s="738"/>
      <c r="AO38" s="620" t="s">
        <v>2900</v>
      </c>
      <c r="AP38" s="662"/>
      <c r="AQ38" s="651">
        <v>15000000</v>
      </c>
      <c r="AR38" s="747">
        <f>+T38+W38+AB38</f>
        <v>18527176</v>
      </c>
      <c r="AS38" s="545" t="e">
        <f>SUM(AO38-AQ38)</f>
        <v>#VALUE!</v>
      </c>
      <c r="AU38" s="545">
        <f>162680247-159824693</f>
        <v>2855554</v>
      </c>
    </row>
    <row r="39" spans="1:47" s="376" customFormat="1" ht="60" x14ac:dyDescent="0.2">
      <c r="A39" s="375" t="s">
        <v>460</v>
      </c>
      <c r="B39" s="639" t="s">
        <v>461</v>
      </c>
      <c r="C39" s="639" t="s">
        <v>463</v>
      </c>
      <c r="D39" s="639" t="s">
        <v>454</v>
      </c>
      <c r="E39" s="639" t="s">
        <v>450</v>
      </c>
      <c r="F39" s="639" t="s">
        <v>461</v>
      </c>
      <c r="G39" s="639" t="s">
        <v>553</v>
      </c>
      <c r="H39" s="368">
        <v>10</v>
      </c>
      <c r="I39" s="368" t="s">
        <v>440</v>
      </c>
      <c r="J39" s="790" t="s">
        <v>649</v>
      </c>
      <c r="K39" s="538">
        <v>7601780</v>
      </c>
      <c r="L39" s="538">
        <v>16820404</v>
      </c>
      <c r="M39" s="538">
        <v>6296858</v>
      </c>
      <c r="N39" s="434">
        <v>8580000</v>
      </c>
      <c r="O39" s="446">
        <f>3020000+1200000</f>
        <v>4220000</v>
      </c>
      <c r="P39" s="434">
        <v>200000</v>
      </c>
      <c r="Q39" s="434">
        <f t="shared" si="23"/>
        <v>12600000</v>
      </c>
      <c r="R39" s="453"/>
      <c r="S39" s="464">
        <f>1100000-100000+200000</f>
        <v>1200000</v>
      </c>
      <c r="T39" s="554">
        <f>530000+11000+180000+76500+55680+424700</f>
        <v>1277880</v>
      </c>
      <c r="U39" s="453">
        <f t="shared" si="24"/>
        <v>-77880</v>
      </c>
      <c r="V39" s="434"/>
      <c r="W39" s="438"/>
      <c r="X39" s="439">
        <f t="shared" si="25"/>
        <v>-77880</v>
      </c>
      <c r="Y39" s="439"/>
      <c r="Z39" s="434">
        <f t="shared" si="26"/>
        <v>11400000</v>
      </c>
      <c r="AA39" s="463">
        <v>12550000</v>
      </c>
      <c r="AB39" s="434">
        <v>9225463</v>
      </c>
      <c r="AC39" s="434">
        <f t="shared" si="0"/>
        <v>3324537</v>
      </c>
      <c r="AD39" s="545">
        <f t="shared" si="5"/>
        <v>2174537</v>
      </c>
      <c r="AE39" s="439">
        <v>2000000</v>
      </c>
      <c r="AF39" s="439">
        <f t="shared" si="27"/>
        <v>174537</v>
      </c>
      <c r="AG39" s="439"/>
      <c r="AH39" s="666">
        <f t="shared" si="28"/>
        <v>0.8092511403508772</v>
      </c>
      <c r="AI39" s="667"/>
      <c r="AJ39" s="668"/>
      <c r="AK39" s="669" t="e">
        <f>SUM(AD39-AE39-#REF!-#REF!)</f>
        <v>#REF!</v>
      </c>
      <c r="AL39" s="670">
        <f t="shared" si="29"/>
        <v>0.83359865079365081</v>
      </c>
      <c r="AM39" s="733"/>
      <c r="AN39" s="738"/>
      <c r="AO39" s="620"/>
      <c r="AP39" s="652"/>
      <c r="AQ39" s="651"/>
    </row>
    <row r="40" spans="1:47" s="376" customFormat="1" ht="111" customHeight="1" x14ac:dyDescent="0.2">
      <c r="A40" s="375" t="s">
        <v>460</v>
      </c>
      <c r="B40" s="639" t="s">
        <v>461</v>
      </c>
      <c r="C40" s="639" t="s">
        <v>463</v>
      </c>
      <c r="D40" s="639" t="s">
        <v>454</v>
      </c>
      <c r="E40" s="639" t="s">
        <v>450</v>
      </c>
      <c r="F40" s="639" t="s">
        <v>450</v>
      </c>
      <c r="G40" s="639" t="s">
        <v>553</v>
      </c>
      <c r="H40" s="368">
        <v>10</v>
      </c>
      <c r="I40" s="368" t="s">
        <v>440</v>
      </c>
      <c r="J40" s="790" t="s">
        <v>838</v>
      </c>
      <c r="K40" s="395">
        <v>79507354</v>
      </c>
      <c r="L40" s="395">
        <v>287072300.5</v>
      </c>
      <c r="M40" s="395">
        <v>192403910</v>
      </c>
      <c r="N40" s="434">
        <v>121826026</v>
      </c>
      <c r="O40" s="434">
        <v>279246446</v>
      </c>
      <c r="P40" s="434">
        <f>88365205+3075267</f>
        <v>91440472</v>
      </c>
      <c r="Q40" s="434">
        <f t="shared" si="23"/>
        <v>309632000</v>
      </c>
      <c r="R40" s="453"/>
      <c r="S40" s="453">
        <v>380000</v>
      </c>
      <c r="T40" s="453">
        <v>380000</v>
      </c>
      <c r="U40" s="453">
        <f t="shared" si="24"/>
        <v>0</v>
      </c>
      <c r="V40" s="434"/>
      <c r="W40" s="463">
        <f>5000000+17933280</f>
        <v>22933280</v>
      </c>
      <c r="X40" s="439">
        <f t="shared" si="25"/>
        <v>0</v>
      </c>
      <c r="Y40" s="465">
        <v>35866560</v>
      </c>
      <c r="Z40" s="434">
        <f t="shared" si="26"/>
        <v>250452160</v>
      </c>
      <c r="AA40" s="463">
        <v>247390000</v>
      </c>
      <c r="AB40" s="434">
        <v>211886287</v>
      </c>
      <c r="AC40" s="434">
        <f t="shared" si="0"/>
        <v>35503713</v>
      </c>
      <c r="AD40" s="545">
        <f t="shared" si="5"/>
        <v>38565873</v>
      </c>
      <c r="AE40" s="439">
        <v>34240000</v>
      </c>
      <c r="AF40" s="439">
        <f t="shared" si="27"/>
        <v>4325873</v>
      </c>
      <c r="AG40" s="439"/>
      <c r="AH40" s="666">
        <f t="shared" si="28"/>
        <v>0.84601501140976387</v>
      </c>
      <c r="AI40" s="667"/>
      <c r="AJ40" s="668"/>
      <c r="AK40" s="669" t="e">
        <f>SUM(AD40-AE40-#REF!-#REF!)</f>
        <v>#REF!</v>
      </c>
      <c r="AL40" s="670">
        <f t="shared" si="29"/>
        <v>0.8754461005322447</v>
      </c>
      <c r="AM40" s="733"/>
      <c r="AN40" s="738"/>
      <c r="AO40" s="620"/>
      <c r="AP40" s="651"/>
      <c r="AQ40" s="651">
        <v>3500000</v>
      </c>
    </row>
    <row r="41" spans="1:47" s="376" customFormat="1" ht="66.75" customHeight="1" x14ac:dyDescent="0.2">
      <c r="A41" s="383" t="s">
        <v>460</v>
      </c>
      <c r="B41" s="639" t="s">
        <v>461</v>
      </c>
      <c r="C41" s="639" t="s">
        <v>463</v>
      </c>
      <c r="D41" s="639" t="s">
        <v>454</v>
      </c>
      <c r="E41" s="639" t="s">
        <v>450</v>
      </c>
      <c r="F41" s="639" t="s">
        <v>459</v>
      </c>
      <c r="G41" s="639" t="s">
        <v>553</v>
      </c>
      <c r="H41" s="368">
        <v>10</v>
      </c>
      <c r="I41" s="368" t="s">
        <v>440</v>
      </c>
      <c r="J41" s="790" t="s">
        <v>491</v>
      </c>
      <c r="K41" s="716">
        <v>21600000</v>
      </c>
      <c r="L41" s="716">
        <v>21600000</v>
      </c>
      <c r="M41" s="716">
        <v>17451732</v>
      </c>
      <c r="N41" s="434">
        <v>15193282</v>
      </c>
      <c r="O41" s="434"/>
      <c r="P41" s="434"/>
      <c r="Q41" s="434">
        <f t="shared" si="23"/>
        <v>15193282</v>
      </c>
      <c r="R41" s="453"/>
      <c r="S41" s="453"/>
      <c r="T41" s="453"/>
      <c r="U41" s="453">
        <f t="shared" si="24"/>
        <v>0</v>
      </c>
      <c r="V41" s="434"/>
      <c r="W41" s="434">
        <v>15193282</v>
      </c>
      <c r="X41" s="439">
        <f t="shared" si="25"/>
        <v>0</v>
      </c>
      <c r="Y41" s="439"/>
      <c r="Z41" s="434">
        <f t="shared" si="26"/>
        <v>0</v>
      </c>
      <c r="AA41" s="434"/>
      <c r="AB41" s="434"/>
      <c r="AC41" s="434">
        <f t="shared" si="0"/>
        <v>0</v>
      </c>
      <c r="AD41" s="545">
        <f t="shared" si="5"/>
        <v>0</v>
      </c>
      <c r="AE41" s="439"/>
      <c r="AF41" s="439">
        <f t="shared" si="27"/>
        <v>0</v>
      </c>
      <c r="AG41" s="439"/>
      <c r="AH41" s="666" t="e">
        <f t="shared" si="28"/>
        <v>#DIV/0!</v>
      </c>
      <c r="AI41" s="667"/>
      <c r="AJ41" s="668"/>
      <c r="AK41" s="669" t="e">
        <f>SUM(AD41-AE41-#REF!-#REF!)</f>
        <v>#REF!</v>
      </c>
      <c r="AL41" s="670">
        <f t="shared" si="29"/>
        <v>1</v>
      </c>
      <c r="AM41" s="733"/>
      <c r="AN41" s="738"/>
      <c r="AO41" s="620"/>
      <c r="AP41" s="651"/>
      <c r="AQ41" s="651"/>
    </row>
    <row r="42" spans="1:47" s="376" customFormat="1" ht="36" x14ac:dyDescent="0.2">
      <c r="A42" s="375" t="s">
        <v>460</v>
      </c>
      <c r="B42" s="639" t="s">
        <v>461</v>
      </c>
      <c r="C42" s="639" t="s">
        <v>463</v>
      </c>
      <c r="D42" s="639" t="s">
        <v>454</v>
      </c>
      <c r="E42" s="639" t="s">
        <v>450</v>
      </c>
      <c r="F42" s="639" t="s">
        <v>544</v>
      </c>
      <c r="G42" s="639" t="s">
        <v>553</v>
      </c>
      <c r="H42" s="368">
        <v>10</v>
      </c>
      <c r="I42" s="368" t="s">
        <v>440</v>
      </c>
      <c r="J42" s="790" t="s">
        <v>523</v>
      </c>
      <c r="K42" s="716">
        <v>102285363.8</v>
      </c>
      <c r="L42" s="716">
        <v>105523727</v>
      </c>
      <c r="M42" s="716">
        <v>89283685</v>
      </c>
      <c r="N42" s="434">
        <v>84311558.5</v>
      </c>
      <c r="O42" s="434">
        <v>93900000</v>
      </c>
      <c r="P42" s="434"/>
      <c r="Q42" s="434">
        <f t="shared" si="23"/>
        <v>178211558.5</v>
      </c>
      <c r="R42" s="453"/>
      <c r="S42" s="453"/>
      <c r="T42" s="453"/>
      <c r="U42" s="453">
        <f t="shared" si="24"/>
        <v>0</v>
      </c>
      <c r="V42" s="434"/>
      <c r="W42" s="434">
        <v>47449288</v>
      </c>
      <c r="X42" s="439">
        <f t="shared" si="25"/>
        <v>0</v>
      </c>
      <c r="Y42" s="465">
        <v>17247226.5</v>
      </c>
      <c r="Z42" s="434">
        <f t="shared" si="26"/>
        <v>113515044</v>
      </c>
      <c r="AA42" s="434">
        <v>104219917</v>
      </c>
      <c r="AB42" s="434">
        <v>34494453.030000001</v>
      </c>
      <c r="AC42" s="434">
        <f t="shared" si="0"/>
        <v>69725463.969999999</v>
      </c>
      <c r="AD42" s="545">
        <f t="shared" si="5"/>
        <v>79020590.969999999</v>
      </c>
      <c r="AE42" s="439">
        <v>67357647</v>
      </c>
      <c r="AF42" s="439">
        <f t="shared" si="27"/>
        <v>11662943.969999999</v>
      </c>
      <c r="AG42" s="439"/>
      <c r="AH42" s="666">
        <f t="shared" si="28"/>
        <v>0.30387560815287179</v>
      </c>
      <c r="AI42" s="667"/>
      <c r="AJ42" s="668"/>
      <c r="AK42" s="669" t="e">
        <f>SUM(AD42-AE42-#REF!-#REF!)</f>
        <v>#REF!</v>
      </c>
      <c r="AL42" s="670">
        <f t="shared" si="29"/>
        <v>0.55659110085163188</v>
      </c>
      <c r="AM42" s="733"/>
      <c r="AN42" s="738"/>
      <c r="AO42" s="620"/>
      <c r="AP42" s="651"/>
      <c r="AQ42" s="651">
        <v>6000000</v>
      </c>
    </row>
    <row r="43" spans="1:47" s="376" customFormat="1" ht="36" x14ac:dyDescent="0.2">
      <c r="A43" s="375" t="s">
        <v>460</v>
      </c>
      <c r="B43" s="639" t="s">
        <v>461</v>
      </c>
      <c r="C43" s="639" t="s">
        <v>463</v>
      </c>
      <c r="D43" s="639" t="s">
        <v>454</v>
      </c>
      <c r="E43" s="639" t="s">
        <v>450</v>
      </c>
      <c r="F43" s="639" t="s">
        <v>441</v>
      </c>
      <c r="G43" s="639" t="s">
        <v>553</v>
      </c>
      <c r="H43" s="368">
        <v>10</v>
      </c>
      <c r="I43" s="368" t="s">
        <v>440</v>
      </c>
      <c r="J43" s="790" t="s">
        <v>492</v>
      </c>
      <c r="K43" s="716">
        <v>152736982</v>
      </c>
      <c r="L43" s="716">
        <v>159603012</v>
      </c>
      <c r="M43" s="716">
        <v>139184373</v>
      </c>
      <c r="N43" s="434">
        <v>203120528.22999999</v>
      </c>
      <c r="O43" s="434"/>
      <c r="P43" s="434"/>
      <c r="Q43" s="434">
        <f t="shared" si="23"/>
        <v>203120528.22999999</v>
      </c>
      <c r="R43" s="453"/>
      <c r="S43" s="453"/>
      <c r="T43" s="453"/>
      <c r="U43" s="453">
        <f t="shared" si="24"/>
        <v>0</v>
      </c>
      <c r="V43" s="434"/>
      <c r="W43" s="434">
        <v>203120528.22999999</v>
      </c>
      <c r="X43" s="439">
        <f t="shared" si="25"/>
        <v>0</v>
      </c>
      <c r="Y43" s="439"/>
      <c r="Z43" s="434">
        <f t="shared" si="26"/>
        <v>0</v>
      </c>
      <c r="AA43" s="434"/>
      <c r="AB43" s="434"/>
      <c r="AC43" s="434">
        <f t="shared" si="0"/>
        <v>0</v>
      </c>
      <c r="AD43" s="545">
        <f t="shared" si="5"/>
        <v>0</v>
      </c>
      <c r="AE43" s="439"/>
      <c r="AF43" s="439">
        <f t="shared" si="27"/>
        <v>0</v>
      </c>
      <c r="AG43" s="439"/>
      <c r="AH43" s="666" t="e">
        <f t="shared" si="28"/>
        <v>#DIV/0!</v>
      </c>
      <c r="AI43" s="667"/>
      <c r="AJ43" s="668"/>
      <c r="AK43" s="669" t="e">
        <f>SUM(AD43-AE43-#REF!-#REF!)</f>
        <v>#REF!</v>
      </c>
      <c r="AL43" s="670">
        <f t="shared" si="29"/>
        <v>1</v>
      </c>
      <c r="AM43" s="733"/>
      <c r="AN43" s="738"/>
      <c r="AO43" s="620"/>
      <c r="AP43" s="651"/>
      <c r="AQ43" s="651"/>
    </row>
    <row r="44" spans="1:47" s="376" customFormat="1" ht="36" x14ac:dyDescent="0.2">
      <c r="A44" s="375" t="s">
        <v>460</v>
      </c>
      <c r="B44" s="639" t="s">
        <v>461</v>
      </c>
      <c r="C44" s="639" t="s">
        <v>463</v>
      </c>
      <c r="D44" s="639" t="s">
        <v>454</v>
      </c>
      <c r="E44" s="639" t="s">
        <v>450</v>
      </c>
      <c r="F44" s="639" t="s">
        <v>549</v>
      </c>
      <c r="G44" s="639" t="s">
        <v>553</v>
      </c>
      <c r="H44" s="368">
        <v>10</v>
      </c>
      <c r="I44" s="368" t="s">
        <v>440</v>
      </c>
      <c r="J44" s="790" t="s">
        <v>493</v>
      </c>
      <c r="K44" s="716">
        <v>1449028</v>
      </c>
      <c r="L44" s="716">
        <v>54500</v>
      </c>
      <c r="M44" s="716">
        <v>3845289</v>
      </c>
      <c r="N44" s="434">
        <v>4000000</v>
      </c>
      <c r="O44" s="446">
        <v>300000</v>
      </c>
      <c r="P44" s="434">
        <v>2280000</v>
      </c>
      <c r="Q44" s="434">
        <f t="shared" si="23"/>
        <v>2020000</v>
      </c>
      <c r="R44" s="453">
        <v>1500000</v>
      </c>
      <c r="S44" s="453">
        <f>20000+100000+300000</f>
        <v>420000</v>
      </c>
      <c r="T44" s="553">
        <f>0+66500+0+30000+205380+49500</f>
        <v>351380</v>
      </c>
      <c r="U44" s="453">
        <f t="shared" si="24"/>
        <v>68620</v>
      </c>
      <c r="V44" s="434"/>
      <c r="W44" s="434"/>
      <c r="X44" s="439">
        <f t="shared" si="25"/>
        <v>68620</v>
      </c>
      <c r="Y44" s="439"/>
      <c r="Z44" s="434">
        <f t="shared" si="26"/>
        <v>100000</v>
      </c>
      <c r="AA44" s="434"/>
      <c r="AB44" s="434"/>
      <c r="AC44" s="434">
        <f t="shared" si="0"/>
        <v>0</v>
      </c>
      <c r="AD44" s="545">
        <f t="shared" si="5"/>
        <v>100000</v>
      </c>
      <c r="AE44" s="439"/>
      <c r="AF44" s="439">
        <f t="shared" si="27"/>
        <v>100000</v>
      </c>
      <c r="AG44" s="439"/>
      <c r="AH44" s="666">
        <f t="shared" si="28"/>
        <v>0</v>
      </c>
      <c r="AI44" s="667"/>
      <c r="AJ44" s="668"/>
      <c r="AK44" s="669" t="e">
        <f>SUM(AD44-AE44-#REF!-#REF!)</f>
        <v>#REF!</v>
      </c>
      <c r="AL44" s="670">
        <f t="shared" si="29"/>
        <v>0.91652475247524756</v>
      </c>
      <c r="AM44" s="733"/>
      <c r="AN44" s="738"/>
      <c r="AO44" s="620"/>
      <c r="AP44" s="651"/>
      <c r="AQ44" s="651">
        <v>100000</v>
      </c>
    </row>
    <row r="45" spans="1:47" s="388" customFormat="1" ht="48" customHeight="1" x14ac:dyDescent="0.2">
      <c r="A45" s="384"/>
      <c r="B45" s="385"/>
      <c r="C45" s="385"/>
      <c r="D45" s="385"/>
      <c r="E45" s="385"/>
      <c r="F45" s="385"/>
      <c r="G45" s="385"/>
      <c r="H45" s="386"/>
      <c r="I45" s="386"/>
      <c r="J45" s="421" t="s">
        <v>524</v>
      </c>
      <c r="K45" s="387">
        <f t="shared" ref="K45:W45" si="30">SUM(K38:K44)</f>
        <v>371899712.80000001</v>
      </c>
      <c r="L45" s="387">
        <f t="shared" si="30"/>
        <v>610640625.5</v>
      </c>
      <c r="M45" s="387">
        <f t="shared" si="30"/>
        <v>455267749</v>
      </c>
      <c r="N45" s="457">
        <f>SUM(N37:N44)</f>
        <v>450429274.73000002</v>
      </c>
      <c r="O45" s="457">
        <f>SUM(O37:O44)</f>
        <v>542818740</v>
      </c>
      <c r="P45" s="457">
        <f>SUM(P37:P44)</f>
        <v>95420472</v>
      </c>
      <c r="Q45" s="457">
        <f>SUM(Q37:Q44)</f>
        <v>897827542.73000002</v>
      </c>
      <c r="R45" s="458">
        <f t="shared" si="30"/>
        <v>1500000</v>
      </c>
      <c r="S45" s="458">
        <f t="shared" si="30"/>
        <v>4000000</v>
      </c>
      <c r="T45" s="459">
        <f t="shared" si="30"/>
        <v>3219132</v>
      </c>
      <c r="U45" s="459">
        <f t="shared" si="30"/>
        <v>780868</v>
      </c>
      <c r="V45" s="457">
        <f t="shared" si="30"/>
        <v>0</v>
      </c>
      <c r="W45" s="457">
        <f t="shared" si="30"/>
        <v>293374758.23000002</v>
      </c>
      <c r="X45" s="775">
        <f>SUM(X37:X44)</f>
        <v>780868</v>
      </c>
      <c r="Y45" s="460">
        <f>SUM(Y37:Y44)</f>
        <v>55169308.5</v>
      </c>
      <c r="Z45" s="457">
        <f>SUM(Z38:Z44)</f>
        <v>543783476</v>
      </c>
      <c r="AA45" s="457">
        <f>SUM(AA38:AA44)</f>
        <v>511254650</v>
      </c>
      <c r="AB45" s="457">
        <f>SUM(AB38:AB44)</f>
        <v>268245127.03</v>
      </c>
      <c r="AC45" s="457">
        <f t="shared" si="0"/>
        <v>243009522.97</v>
      </c>
      <c r="AD45" s="551">
        <f>SUM(AD37:AD44)</f>
        <v>275538348.97000003</v>
      </c>
      <c r="AE45" s="460">
        <f>SUM(AE37:AE44)</f>
        <v>243597647</v>
      </c>
      <c r="AF45" s="460">
        <f>SUM(AF37:AF44)</f>
        <v>31940701.969999999</v>
      </c>
      <c r="AG45" s="461"/>
      <c r="AH45" s="697">
        <f>SUM(AB45/Z45)</f>
        <v>0.4932940018758496</v>
      </c>
      <c r="AI45" s="694"/>
      <c r="AJ45" s="702"/>
      <c r="AK45" s="696" t="e">
        <f>SUM(AD45-AE45-#REF!-#REF!)</f>
        <v>#REF!</v>
      </c>
      <c r="AL45" s="675">
        <f>SUM(Q45-(AD45+X45))/Q45</f>
        <v>0.6922357537286018</v>
      </c>
      <c r="AM45" s="739"/>
      <c r="AN45" s="744"/>
      <c r="AO45" s="624"/>
      <c r="AP45" s="654"/>
      <c r="AQ45" s="654"/>
    </row>
    <row r="46" spans="1:47" s="376" customFormat="1" ht="26.25" customHeight="1" x14ac:dyDescent="0.2">
      <c r="A46" s="375"/>
      <c r="B46" s="876" t="s">
        <v>504</v>
      </c>
      <c r="C46" s="876"/>
      <c r="D46" s="876"/>
      <c r="E46" s="876"/>
      <c r="F46" s="876"/>
      <c r="G46" s="876"/>
      <c r="H46" s="876"/>
      <c r="I46" s="876"/>
      <c r="J46" s="876"/>
      <c r="K46" s="368"/>
      <c r="L46" s="368"/>
      <c r="M46" s="368"/>
      <c r="N46" s="368"/>
      <c r="O46" s="368"/>
      <c r="P46" s="368"/>
      <c r="Q46" s="368"/>
      <c r="R46" s="368"/>
      <c r="S46" s="368"/>
      <c r="T46" s="368"/>
      <c r="U46" s="368"/>
      <c r="V46" s="368"/>
      <c r="W46" s="368"/>
      <c r="X46" s="368"/>
      <c r="Y46" s="368"/>
      <c r="Z46" s="368"/>
      <c r="AA46" s="368"/>
      <c r="AB46" s="368"/>
      <c r="AC46" s="368"/>
      <c r="AD46" s="552"/>
      <c r="AE46" s="368"/>
      <c r="AF46" s="368"/>
      <c r="AG46" s="416"/>
      <c r="AH46" s="666"/>
      <c r="AI46" s="701"/>
      <c r="AJ46" s="668"/>
      <c r="AK46" s="669" t="e">
        <f>SUM(AD46-AE46-#REF!-#REF!)</f>
        <v>#REF!</v>
      </c>
      <c r="AL46" s="684"/>
      <c r="AM46" s="741"/>
      <c r="AN46" s="738"/>
      <c r="AO46" s="622"/>
      <c r="AP46" s="651"/>
      <c r="AQ46" s="651"/>
    </row>
    <row r="47" spans="1:47" s="376" customFormat="1" ht="36" x14ac:dyDescent="0.2">
      <c r="A47" s="375" t="s">
        <v>460</v>
      </c>
      <c r="B47" s="639" t="s">
        <v>461</v>
      </c>
      <c r="C47" s="639" t="s">
        <v>463</v>
      </c>
      <c r="D47" s="639" t="s">
        <v>454</v>
      </c>
      <c r="E47" s="639" t="s">
        <v>459</v>
      </c>
      <c r="F47" s="639" t="s">
        <v>461</v>
      </c>
      <c r="G47" s="639" t="s">
        <v>553</v>
      </c>
      <c r="H47" s="368">
        <v>10</v>
      </c>
      <c r="I47" s="368" t="s">
        <v>440</v>
      </c>
      <c r="J47" s="790" t="s">
        <v>494</v>
      </c>
      <c r="K47" s="716">
        <v>56623255</v>
      </c>
      <c r="L47" s="716">
        <v>80264238</v>
      </c>
      <c r="M47" s="716">
        <v>102393891</v>
      </c>
      <c r="N47" s="434">
        <v>109593030</v>
      </c>
      <c r="O47" s="434">
        <v>8556970</v>
      </c>
      <c r="P47" s="434">
        <v>8150000</v>
      </c>
      <c r="Q47" s="434">
        <f>SUM(N47+O47-P47)</f>
        <v>110000000</v>
      </c>
      <c r="R47" s="453"/>
      <c r="S47" s="453">
        <f>600000-100000</f>
        <v>500000</v>
      </c>
      <c r="T47" s="553">
        <f>22000+26500+29614+41000+39100+29400+133000+10500</f>
        <v>331114</v>
      </c>
      <c r="U47" s="453">
        <f>SUM(S47-T47)</f>
        <v>168886</v>
      </c>
      <c r="V47" s="434"/>
      <c r="W47" s="434">
        <v>53593030</v>
      </c>
      <c r="X47" s="439">
        <f>SUM(U47)</f>
        <v>168886</v>
      </c>
      <c r="Y47" s="465">
        <v>27000000</v>
      </c>
      <c r="Z47" s="434">
        <f>SUM(Q47-R47-T47-V47-W47-X47-Y47)</f>
        <v>28906970</v>
      </c>
      <c r="AA47" s="434">
        <v>27600000</v>
      </c>
      <c r="AB47" s="434">
        <v>0</v>
      </c>
      <c r="AC47" s="434">
        <f t="shared" si="0"/>
        <v>27600000</v>
      </c>
      <c r="AD47" s="545">
        <f t="shared" si="5"/>
        <v>28906970</v>
      </c>
      <c r="AE47" s="439">
        <v>27600000</v>
      </c>
      <c r="AF47" s="439">
        <f>SUM(AD47-AE47)</f>
        <v>1306970</v>
      </c>
      <c r="AG47" s="439"/>
      <c r="AH47" s="666">
        <f>AB47/(AB47+AE47+AF47)</f>
        <v>0</v>
      </c>
      <c r="AI47" s="667"/>
      <c r="AJ47" s="668"/>
      <c r="AK47" s="669" t="e">
        <f>SUM(AD47-AE47-#REF!-#REF!)</f>
        <v>#REF!</v>
      </c>
      <c r="AL47" s="670">
        <f>SUM(Q47-(AD47+X47))/Q47</f>
        <v>0.73567403636363637</v>
      </c>
      <c r="AM47" s="733"/>
      <c r="AN47" s="738"/>
      <c r="AO47" s="620"/>
      <c r="AP47" s="651"/>
      <c r="AQ47" s="651">
        <v>1306970</v>
      </c>
    </row>
    <row r="48" spans="1:47" s="376" customFormat="1" ht="54" customHeight="1" x14ac:dyDescent="0.2">
      <c r="A48" s="375" t="s">
        <v>460</v>
      </c>
      <c r="B48" s="639" t="s">
        <v>461</v>
      </c>
      <c r="C48" s="639" t="s">
        <v>463</v>
      </c>
      <c r="D48" s="639" t="s">
        <v>454</v>
      </c>
      <c r="E48" s="639" t="s">
        <v>459</v>
      </c>
      <c r="F48" s="639" t="s">
        <v>450</v>
      </c>
      <c r="G48" s="639" t="s">
        <v>553</v>
      </c>
      <c r="H48" s="368">
        <v>10</v>
      </c>
      <c r="I48" s="368" t="s">
        <v>440</v>
      </c>
      <c r="J48" s="790" t="s">
        <v>495</v>
      </c>
      <c r="K48" s="716">
        <v>16573350</v>
      </c>
      <c r="L48" s="716">
        <v>133954639</v>
      </c>
      <c r="M48" s="716">
        <v>497266364</v>
      </c>
      <c r="N48" s="434">
        <v>627802145.26999998</v>
      </c>
      <c r="O48" s="434">
        <v>391320000</v>
      </c>
      <c r="P48" s="434"/>
      <c r="Q48" s="434">
        <f>SUM(N48+O48-P48)</f>
        <v>1019122145.27</v>
      </c>
      <c r="R48" s="453"/>
      <c r="S48" s="453"/>
      <c r="T48" s="453"/>
      <c r="U48" s="453">
        <f>SUM(S48-T48)</f>
        <v>0</v>
      </c>
      <c r="V48" s="434"/>
      <c r="W48" s="434">
        <f>527399361.66+97810166.67</f>
        <v>625209528.33000004</v>
      </c>
      <c r="X48" s="439">
        <f>SUM(U48)</f>
        <v>0</v>
      </c>
      <c r="Y48" s="465">
        <f>464000</f>
        <v>464000</v>
      </c>
      <c r="Z48" s="434">
        <f>SUM(Q48-R48-T48-V48-W48-X48-Y48)</f>
        <v>393448616.93999994</v>
      </c>
      <c r="AA48" s="434">
        <v>279802616</v>
      </c>
      <c r="AB48" s="434"/>
      <c r="AC48" s="434">
        <f t="shared" si="0"/>
        <v>279802616</v>
      </c>
      <c r="AD48" s="545">
        <f t="shared" si="5"/>
        <v>393448616.93999994</v>
      </c>
      <c r="AE48" s="439">
        <v>279802616</v>
      </c>
      <c r="AF48" s="439">
        <f>SUM(AD48-AE48)</f>
        <v>113646000.93999994</v>
      </c>
      <c r="AG48" s="439"/>
      <c r="AH48" s="666">
        <f>AB48/(AB48+AE48+AF48)</f>
        <v>0</v>
      </c>
      <c r="AI48" s="667"/>
      <c r="AJ48" s="668"/>
      <c r="AK48" s="669" t="e">
        <f>SUM(AD48-AE48-#REF!-#REF!)</f>
        <v>#REF!</v>
      </c>
      <c r="AL48" s="670">
        <f>SUM(Q48-(AD48+X48))/Q48</f>
        <v>0.61393379707614726</v>
      </c>
      <c r="AM48" s="733"/>
      <c r="AN48" s="738"/>
      <c r="AO48" s="620"/>
      <c r="AP48" s="651"/>
      <c r="AQ48" s="651"/>
    </row>
    <row r="49" spans="1:43" s="376" customFormat="1" ht="36" x14ac:dyDescent="0.2">
      <c r="A49" s="375" t="s">
        <v>460</v>
      </c>
      <c r="B49" s="639" t="s">
        <v>461</v>
      </c>
      <c r="C49" s="639" t="s">
        <v>463</v>
      </c>
      <c r="D49" s="639" t="s">
        <v>454</v>
      </c>
      <c r="E49" s="639" t="s">
        <v>459</v>
      </c>
      <c r="F49" s="639" t="s">
        <v>550</v>
      </c>
      <c r="G49" s="639" t="s">
        <v>553</v>
      </c>
      <c r="H49" s="368">
        <v>10</v>
      </c>
      <c r="I49" s="368" t="s">
        <v>440</v>
      </c>
      <c r="J49" s="790" t="s">
        <v>496</v>
      </c>
      <c r="K49" s="716">
        <v>2968650</v>
      </c>
      <c r="L49" s="716">
        <v>3042900</v>
      </c>
      <c r="M49" s="716">
        <v>0</v>
      </c>
      <c r="N49" s="434"/>
      <c r="O49" s="434">
        <v>2400000</v>
      </c>
      <c r="P49" s="434"/>
      <c r="Q49" s="434">
        <f>SUM(N49+O49-P49)</f>
        <v>2400000</v>
      </c>
      <c r="R49" s="453"/>
      <c r="S49" s="453">
        <v>1700000</v>
      </c>
      <c r="T49" s="553">
        <f>132700+78500+964200+225100+74100+58400+138400+10000</f>
        <v>1681400</v>
      </c>
      <c r="U49" s="453">
        <f>SUM(S49-T49)</f>
        <v>18600</v>
      </c>
      <c r="V49" s="434"/>
      <c r="W49" s="434"/>
      <c r="X49" s="439">
        <f>SUM(U49)</f>
        <v>18600</v>
      </c>
      <c r="Y49" s="439"/>
      <c r="Z49" s="434">
        <f>SUM(Q49-R49-T49-V49-W49-X49-Y49)</f>
        <v>700000</v>
      </c>
      <c r="AA49" s="434"/>
      <c r="AB49" s="434"/>
      <c r="AC49" s="434">
        <f t="shared" si="0"/>
        <v>0</v>
      </c>
      <c r="AD49" s="545">
        <f t="shared" si="5"/>
        <v>700000</v>
      </c>
      <c r="AE49" s="439"/>
      <c r="AF49" s="439">
        <f>SUM(AD49-AE49)</f>
        <v>700000</v>
      </c>
      <c r="AG49" s="439"/>
      <c r="AH49" s="666">
        <f>AB49/(AB49+AE49+AF49)</f>
        <v>0</v>
      </c>
      <c r="AI49" s="667"/>
      <c r="AJ49" s="668"/>
      <c r="AK49" s="669" t="e">
        <f>SUM(AD49-AE49-#REF!-#REF!)</f>
        <v>#REF!</v>
      </c>
      <c r="AL49" s="670">
        <f>SUM(Q49-(AD49+X49))/Q49</f>
        <v>0.70058333333333334</v>
      </c>
      <c r="AM49" s="733"/>
      <c r="AN49" s="738"/>
      <c r="AO49" s="620"/>
      <c r="AP49" s="651"/>
      <c r="AQ49" s="651"/>
    </row>
    <row r="50" spans="1:43" s="376" customFormat="1" ht="100.5" customHeight="1" x14ac:dyDescent="0.2">
      <c r="A50" s="375" t="s">
        <v>460</v>
      </c>
      <c r="B50" s="639" t="s">
        <v>461</v>
      </c>
      <c r="C50" s="639" t="s">
        <v>463</v>
      </c>
      <c r="D50" s="639" t="s">
        <v>454</v>
      </c>
      <c r="E50" s="639" t="s">
        <v>459</v>
      </c>
      <c r="F50" s="639" t="s">
        <v>544</v>
      </c>
      <c r="G50" s="639" t="s">
        <v>553</v>
      </c>
      <c r="H50" s="368">
        <v>10</v>
      </c>
      <c r="I50" s="368" t="s">
        <v>440</v>
      </c>
      <c r="J50" s="790" t="s">
        <v>839</v>
      </c>
      <c r="K50" s="716">
        <v>3728944</v>
      </c>
      <c r="L50" s="716">
        <v>4108750</v>
      </c>
      <c r="M50" s="716">
        <f>3344323+1826294</f>
        <v>5170617</v>
      </c>
      <c r="N50" s="434">
        <v>7800000</v>
      </c>
      <c r="O50" s="434"/>
      <c r="P50" s="434">
        <v>2000000</v>
      </c>
      <c r="Q50" s="434">
        <f>SUM(N50+O50-P50)</f>
        <v>5800000</v>
      </c>
      <c r="R50" s="456">
        <v>1500000</v>
      </c>
      <c r="S50" s="456"/>
      <c r="T50" s="453"/>
      <c r="U50" s="453">
        <f>SUM(S50-T50)</f>
        <v>0</v>
      </c>
      <c r="V50" s="434"/>
      <c r="W50" s="434"/>
      <c r="X50" s="439">
        <f>SUM(U50)</f>
        <v>0</v>
      </c>
      <c r="Y50" s="439"/>
      <c r="Z50" s="434">
        <f>SUM(Q50-R50-T50-V50-W50-X50-Y50)</f>
        <v>4300000</v>
      </c>
      <c r="AA50" s="434">
        <v>3500000</v>
      </c>
      <c r="AB50" s="434">
        <v>2600000</v>
      </c>
      <c r="AC50" s="434">
        <f t="shared" si="0"/>
        <v>900000</v>
      </c>
      <c r="AD50" s="545">
        <f t="shared" si="5"/>
        <v>1700000</v>
      </c>
      <c r="AE50" s="439">
        <v>0</v>
      </c>
      <c r="AF50" s="439">
        <f>SUM(AD50-AE50)</f>
        <v>1700000</v>
      </c>
      <c r="AG50" s="439"/>
      <c r="AH50" s="666">
        <f>AB50/(AB50+AE50+AF50)</f>
        <v>0.60465116279069764</v>
      </c>
      <c r="AI50" s="667"/>
      <c r="AJ50" s="668"/>
      <c r="AK50" s="669" t="e">
        <f>SUM(AD50-AE50-#REF!-#REF!)</f>
        <v>#REF!</v>
      </c>
      <c r="AL50" s="670">
        <f>SUM(Q50-(AD50+X50))/Q50</f>
        <v>0.7068965517241379</v>
      </c>
      <c r="AM50" s="733"/>
      <c r="AN50" s="738"/>
      <c r="AO50" s="620"/>
      <c r="AP50" s="651"/>
      <c r="AQ50" s="651">
        <v>1500000</v>
      </c>
    </row>
    <row r="51" spans="1:43" s="388" customFormat="1" ht="49.5" customHeight="1" x14ac:dyDescent="0.2">
      <c r="A51" s="384"/>
      <c r="B51" s="385"/>
      <c r="C51" s="385"/>
      <c r="D51" s="385"/>
      <c r="E51" s="385"/>
      <c r="F51" s="385"/>
      <c r="G51" s="385"/>
      <c r="H51" s="386"/>
      <c r="I51" s="386"/>
      <c r="J51" s="421" t="s">
        <v>526</v>
      </c>
      <c r="K51" s="387">
        <f>SUM(K47:K50)</f>
        <v>79894199</v>
      </c>
      <c r="L51" s="387">
        <f>SUM(L47:L50)</f>
        <v>221370527</v>
      </c>
      <c r="M51" s="387">
        <f>SUM(M47:M50)</f>
        <v>604830872</v>
      </c>
      <c r="N51" s="457">
        <f>SUM(N46:N50)</f>
        <v>745195175.26999998</v>
      </c>
      <c r="O51" s="457">
        <f>SUM(O46:O50)</f>
        <v>402276970</v>
      </c>
      <c r="P51" s="457">
        <f>SUM(P46:P50)</f>
        <v>10150000</v>
      </c>
      <c r="Q51" s="457">
        <f>SUM(Q46:Q50)</f>
        <v>1137322145.27</v>
      </c>
      <c r="R51" s="458">
        <v>1500000</v>
      </c>
      <c r="S51" s="458">
        <f>SUM(S47:S50)</f>
        <v>2200000</v>
      </c>
      <c r="T51" s="459">
        <f t="shared" ref="T51:AA51" si="31">SUM(T47:T50)</f>
        <v>2012514</v>
      </c>
      <c r="U51" s="459">
        <f t="shared" si="31"/>
        <v>187486</v>
      </c>
      <c r="V51" s="457">
        <f t="shared" si="31"/>
        <v>0</v>
      </c>
      <c r="W51" s="457">
        <f t="shared" si="31"/>
        <v>678802558.33000004</v>
      </c>
      <c r="X51" s="775">
        <f>SUM(X46:X50)</f>
        <v>187486</v>
      </c>
      <c r="Y51" s="460">
        <f>SUM(Y46:Y50)</f>
        <v>27464000</v>
      </c>
      <c r="Z51" s="457">
        <f t="shared" si="31"/>
        <v>427355586.93999994</v>
      </c>
      <c r="AA51" s="457">
        <f t="shared" si="31"/>
        <v>310902616</v>
      </c>
      <c r="AB51" s="457">
        <f>SUM(AB47:AB50)</f>
        <v>2600000</v>
      </c>
      <c r="AC51" s="457">
        <f t="shared" si="0"/>
        <v>308302616</v>
      </c>
      <c r="AD51" s="551">
        <f>SUM(AD46:AD50)</f>
        <v>424755586.93999994</v>
      </c>
      <c r="AE51" s="460">
        <f>SUM(AE46:AE50)</f>
        <v>307402616</v>
      </c>
      <c r="AF51" s="460">
        <f>SUM(AF46:AF50)</f>
        <v>117352970.93999994</v>
      </c>
      <c r="AG51" s="461"/>
      <c r="AH51" s="697">
        <f>SUM(AB51/Z51)</f>
        <v>6.0839265460803163E-3</v>
      </c>
      <c r="AI51" s="694"/>
      <c r="AJ51" s="695"/>
      <c r="AK51" s="696" t="e">
        <f>SUM(AD51-AE51-#REF!-#REF!)</f>
        <v>#REF!</v>
      </c>
      <c r="AL51" s="675">
        <f>SUM(Q51-(AD51+X51))/Q51</f>
        <v>0.62636525217829242</v>
      </c>
      <c r="AM51" s="739"/>
      <c r="AN51" s="744"/>
      <c r="AO51" s="624"/>
      <c r="AP51" s="654"/>
      <c r="AQ51" s="654"/>
    </row>
    <row r="52" spans="1:43" s="376" customFormat="1" ht="33" customHeight="1" x14ac:dyDescent="0.2">
      <c r="A52" s="375"/>
      <c r="B52" s="876" t="s">
        <v>497</v>
      </c>
      <c r="C52" s="876"/>
      <c r="D52" s="876"/>
      <c r="E52" s="876"/>
      <c r="F52" s="876"/>
      <c r="G52" s="876"/>
      <c r="H52" s="876"/>
      <c r="I52" s="876"/>
      <c r="J52" s="876" t="s">
        <v>497</v>
      </c>
      <c r="K52" s="368"/>
      <c r="L52" s="368"/>
      <c r="M52" s="368"/>
      <c r="N52" s="368"/>
      <c r="O52" s="368"/>
      <c r="P52" s="368"/>
      <c r="Q52" s="368"/>
      <c r="R52" s="368"/>
      <c r="S52" s="368"/>
      <c r="T52" s="368"/>
      <c r="U52" s="368"/>
      <c r="V52" s="368"/>
      <c r="W52" s="368"/>
      <c r="X52" s="368"/>
      <c r="Y52" s="368"/>
      <c r="Z52" s="368"/>
      <c r="AA52" s="368"/>
      <c r="AB52" s="368"/>
      <c r="AC52" s="368"/>
      <c r="AD52" s="552"/>
      <c r="AE52" s="368"/>
      <c r="AF52" s="368"/>
      <c r="AG52" s="416"/>
      <c r="AH52" s="666"/>
      <c r="AI52" s="701"/>
      <c r="AJ52" s="668"/>
      <c r="AK52" s="669" t="e">
        <f>SUM(AD52-AE52-#REF!-#REF!)</f>
        <v>#REF!</v>
      </c>
      <c r="AL52" s="684"/>
      <c r="AM52" s="741"/>
      <c r="AN52" s="738"/>
      <c r="AO52" s="622"/>
      <c r="AP52" s="651"/>
      <c r="AQ52" s="651"/>
    </row>
    <row r="53" spans="1:43" s="376" customFormat="1" ht="36" x14ac:dyDescent="0.2">
      <c r="A53" s="375" t="s">
        <v>460</v>
      </c>
      <c r="B53" s="639">
        <v>2</v>
      </c>
      <c r="C53" s="639">
        <v>0</v>
      </c>
      <c r="D53" s="639">
        <v>4</v>
      </c>
      <c r="E53" s="639">
        <v>7</v>
      </c>
      <c r="F53" s="639">
        <v>1</v>
      </c>
      <c r="G53" s="639" t="s">
        <v>553</v>
      </c>
      <c r="H53" s="368">
        <v>9</v>
      </c>
      <c r="I53" s="368" t="s">
        <v>440</v>
      </c>
      <c r="J53" s="422" t="s">
        <v>560</v>
      </c>
      <c r="K53" s="716">
        <v>746200</v>
      </c>
      <c r="L53" s="716">
        <v>85400</v>
      </c>
      <c r="M53" s="716"/>
      <c r="N53" s="434"/>
      <c r="O53" s="434">
        <v>1000</v>
      </c>
      <c r="P53" s="434"/>
      <c r="Q53" s="434">
        <f>SUM(N53+O53-P53)</f>
        <v>1000</v>
      </c>
      <c r="R53" s="453"/>
      <c r="S53" s="453">
        <v>1000</v>
      </c>
      <c r="T53" s="453">
        <v>0</v>
      </c>
      <c r="U53" s="453">
        <f>SUM(S53-T53)</f>
        <v>1000</v>
      </c>
      <c r="V53" s="434"/>
      <c r="W53" s="434"/>
      <c r="X53" s="439">
        <f>SUM(U53)</f>
        <v>1000</v>
      </c>
      <c r="Y53" s="439"/>
      <c r="Z53" s="434">
        <f>SUM(Q53-R53-T53-V53-W53-X53-Y53)</f>
        <v>0</v>
      </c>
      <c r="AA53" s="434"/>
      <c r="AB53" s="434"/>
      <c r="AC53" s="434">
        <f t="shared" si="0"/>
        <v>0</v>
      </c>
      <c r="AD53" s="545">
        <f t="shared" si="5"/>
        <v>0</v>
      </c>
      <c r="AE53" s="439"/>
      <c r="AF53" s="439">
        <f>SUM(AD53-AE53)</f>
        <v>0</v>
      </c>
      <c r="AG53" s="439"/>
      <c r="AH53" s="666" t="e">
        <f>AB53/(AB53+AE53+AF53)</f>
        <v>#DIV/0!</v>
      </c>
      <c r="AI53" s="667"/>
      <c r="AJ53" s="668"/>
      <c r="AK53" s="669" t="e">
        <f>SUM(AD53-AE53-#REF!-#REF!)</f>
        <v>#REF!</v>
      </c>
      <c r="AL53" s="670">
        <f>SUM(Q53-(AD53+X53))/Q53</f>
        <v>0</v>
      </c>
      <c r="AM53" s="733"/>
      <c r="AN53" s="738"/>
      <c r="AO53" s="620"/>
      <c r="AP53" s="651"/>
      <c r="AQ53" s="651"/>
    </row>
    <row r="54" spans="1:43" s="376" customFormat="1" ht="45" x14ac:dyDescent="0.25">
      <c r="A54" s="375" t="s">
        <v>460</v>
      </c>
      <c r="B54" s="639" t="s">
        <v>461</v>
      </c>
      <c r="C54" s="639" t="s">
        <v>463</v>
      </c>
      <c r="D54" s="639" t="s">
        <v>454</v>
      </c>
      <c r="E54" s="639" t="s">
        <v>550</v>
      </c>
      <c r="F54" s="639" t="s">
        <v>458</v>
      </c>
      <c r="G54" s="639" t="s">
        <v>442</v>
      </c>
      <c r="H54" s="368" t="s">
        <v>441</v>
      </c>
      <c r="I54" s="368" t="s">
        <v>440</v>
      </c>
      <c r="J54" s="422" t="s">
        <v>559</v>
      </c>
      <c r="K54" s="716">
        <v>111300</v>
      </c>
      <c r="L54" s="716">
        <v>120960</v>
      </c>
      <c r="M54" s="716"/>
      <c r="N54" s="434"/>
      <c r="O54" s="434">
        <v>200000</v>
      </c>
      <c r="P54" s="434">
        <v>200000</v>
      </c>
      <c r="Q54" s="434">
        <f>SUM(N54+O54-P54)</f>
        <v>0</v>
      </c>
      <c r="R54" s="453"/>
      <c r="S54" s="453"/>
      <c r="T54" s="453">
        <v>0</v>
      </c>
      <c r="U54" s="453">
        <f>SUM(S54-T54)</f>
        <v>0</v>
      </c>
      <c r="V54" s="434"/>
      <c r="W54" s="434"/>
      <c r="X54" s="439">
        <f>SUM(U54)</f>
        <v>0</v>
      </c>
      <c r="Y54" s="439"/>
      <c r="Z54" s="434">
        <f>SUM(Q54-R54-T54-V54-W54-X54-Y54)</f>
        <v>0</v>
      </c>
      <c r="AA54" s="466"/>
      <c r="AB54" s="466"/>
      <c r="AC54" s="466">
        <f t="shared" si="0"/>
        <v>0</v>
      </c>
      <c r="AD54" s="545">
        <f t="shared" si="5"/>
        <v>0</v>
      </c>
      <c r="AE54" s="439"/>
      <c r="AF54" s="439">
        <f>SUM(AD54-AE54)</f>
        <v>0</v>
      </c>
      <c r="AG54" s="439"/>
      <c r="AH54" s="666" t="e">
        <f>AB54/(AB54+AE54+AF54)</f>
        <v>#DIV/0!</v>
      </c>
      <c r="AI54" s="667"/>
      <c r="AJ54" s="668"/>
      <c r="AK54" s="669" t="e">
        <f>SUM(AD54-AE54-#REF!-#REF!)</f>
        <v>#REF!</v>
      </c>
      <c r="AL54" s="670" t="e">
        <f>SUM(Q54-(AD54+X54))/Q54</f>
        <v>#DIV/0!</v>
      </c>
      <c r="AM54" s="733"/>
      <c r="AN54" s="738"/>
      <c r="AO54" s="620"/>
      <c r="AP54" s="651"/>
      <c r="AQ54" s="651"/>
    </row>
    <row r="55" spans="1:43" s="376" customFormat="1" ht="36" x14ac:dyDescent="0.2">
      <c r="A55" s="375" t="s">
        <v>460</v>
      </c>
      <c r="B55" s="639" t="s">
        <v>461</v>
      </c>
      <c r="C55" s="639" t="s">
        <v>463</v>
      </c>
      <c r="D55" s="639" t="s">
        <v>454</v>
      </c>
      <c r="E55" s="639" t="s">
        <v>550</v>
      </c>
      <c r="F55" s="639" t="s">
        <v>450</v>
      </c>
      <c r="G55" s="639" t="s">
        <v>553</v>
      </c>
      <c r="H55" s="368">
        <v>10</v>
      </c>
      <c r="I55" s="368" t="s">
        <v>440</v>
      </c>
      <c r="J55" s="790" t="s">
        <v>498</v>
      </c>
      <c r="K55" s="716">
        <v>2293000</v>
      </c>
      <c r="L55" s="716">
        <v>1674000</v>
      </c>
      <c r="M55" s="716">
        <v>683998</v>
      </c>
      <c r="N55" s="434">
        <v>5217150</v>
      </c>
      <c r="O55" s="434"/>
      <c r="P55" s="434">
        <f>1217150+4000000</f>
        <v>5217150</v>
      </c>
      <c r="Q55" s="434">
        <f>SUM(N55+O55-P55)</f>
        <v>0</v>
      </c>
      <c r="R55" s="453"/>
      <c r="S55" s="453"/>
      <c r="T55" s="453"/>
      <c r="U55" s="453">
        <f>SUM(S55-T55)</f>
        <v>0</v>
      </c>
      <c r="V55" s="434"/>
      <c r="W55" s="434"/>
      <c r="X55" s="439">
        <f>SUM(U55)</f>
        <v>0</v>
      </c>
      <c r="Y55" s="439"/>
      <c r="Z55" s="434">
        <f>SUM(Q55-R55-T55-V55-W55-X55-Y55)</f>
        <v>0</v>
      </c>
      <c r="AA55" s="434">
        <v>0</v>
      </c>
      <c r="AB55" s="434">
        <v>0</v>
      </c>
      <c r="AC55" s="434">
        <f t="shared" si="0"/>
        <v>0</v>
      </c>
      <c r="AD55" s="545">
        <f t="shared" si="5"/>
        <v>0</v>
      </c>
      <c r="AE55" s="439"/>
      <c r="AF55" s="439">
        <f>SUM(AD55-AE55)</f>
        <v>0</v>
      </c>
      <c r="AG55" s="439"/>
      <c r="AH55" s="666" t="e">
        <f>AB55/(AB55+AE55+AF55)</f>
        <v>#DIV/0!</v>
      </c>
      <c r="AI55" s="667"/>
      <c r="AJ55" s="668"/>
      <c r="AK55" s="669" t="e">
        <f>SUM(AD55-AE55-#REF!-#REF!)</f>
        <v>#REF!</v>
      </c>
      <c r="AL55" s="670" t="e">
        <f>SUM(Q55-(AD55+X55))/Q55</f>
        <v>#DIV/0!</v>
      </c>
      <c r="AM55" s="733"/>
      <c r="AN55" s="738"/>
      <c r="AO55" s="620" t="s">
        <v>2902</v>
      </c>
      <c r="AP55" s="662"/>
      <c r="AQ55" s="651"/>
    </row>
    <row r="56" spans="1:43" s="376" customFormat="1" ht="73.5" customHeight="1" x14ac:dyDescent="0.2">
      <c r="A56" s="375" t="s">
        <v>460</v>
      </c>
      <c r="B56" s="639" t="s">
        <v>461</v>
      </c>
      <c r="C56" s="639" t="s">
        <v>463</v>
      </c>
      <c r="D56" s="639" t="s">
        <v>454</v>
      </c>
      <c r="E56" s="639" t="s">
        <v>550</v>
      </c>
      <c r="F56" s="639" t="s">
        <v>459</v>
      </c>
      <c r="G56" s="639" t="s">
        <v>553</v>
      </c>
      <c r="H56" s="368">
        <v>10</v>
      </c>
      <c r="I56" s="368" t="s">
        <v>440</v>
      </c>
      <c r="J56" s="790" t="s">
        <v>537</v>
      </c>
      <c r="K56" s="716">
        <v>5955458</v>
      </c>
      <c r="L56" s="716">
        <v>4360858</v>
      </c>
      <c r="M56" s="716">
        <f>1454877</f>
        <v>1454877</v>
      </c>
      <c r="N56" s="434">
        <v>3600000</v>
      </c>
      <c r="O56" s="434">
        <f>1417150+4000000</f>
        <v>5417150</v>
      </c>
      <c r="P56" s="434">
        <v>201000</v>
      </c>
      <c r="Q56" s="434">
        <f>SUM(N56+O56-P56)</f>
        <v>8816150</v>
      </c>
      <c r="R56" s="456">
        <v>800000</v>
      </c>
      <c r="S56" s="456">
        <f>1199000+857150</f>
        <v>2056150</v>
      </c>
      <c r="T56" s="553">
        <f>64880+124656+115086+303305+225904+21136+376301+413690</f>
        <v>1644958</v>
      </c>
      <c r="U56" s="453">
        <f>SUM(S56-T56)</f>
        <v>411192</v>
      </c>
      <c r="V56" s="434"/>
      <c r="W56" s="434"/>
      <c r="X56" s="439">
        <f>SUM(U56)</f>
        <v>411192</v>
      </c>
      <c r="Y56" s="439"/>
      <c r="Z56" s="434">
        <f>SUM(Q56-R56-T56-V56-W56-X56-Y56)</f>
        <v>5960000</v>
      </c>
      <c r="AA56" s="434">
        <v>6500000</v>
      </c>
      <c r="AB56" s="434">
        <v>1960000</v>
      </c>
      <c r="AC56" s="434">
        <f t="shared" si="0"/>
        <v>4540000</v>
      </c>
      <c r="AD56" s="545">
        <f t="shared" si="5"/>
        <v>4000000</v>
      </c>
      <c r="AE56" s="439">
        <v>4000000</v>
      </c>
      <c r="AF56" s="439">
        <f>SUM(AD56-AE56)</f>
        <v>0</v>
      </c>
      <c r="AG56" s="439"/>
      <c r="AH56" s="666">
        <f>AB56/(AB56+AE56+AF56)</f>
        <v>0.32885906040268459</v>
      </c>
      <c r="AI56" s="667"/>
      <c r="AJ56" s="668"/>
      <c r="AK56" s="669" t="e">
        <f>SUM(AD56-AE56-#REF!-#REF!)</f>
        <v>#REF!</v>
      </c>
      <c r="AL56" s="670">
        <f>SUM(Q56-(AD56+X56))/Q56</f>
        <v>0.49964644430959093</v>
      </c>
      <c r="AM56" s="733"/>
      <c r="AN56" s="738"/>
      <c r="AO56" s="620"/>
      <c r="AP56" s="651"/>
      <c r="AQ56" s="651"/>
    </row>
    <row r="57" spans="1:43" s="388" customFormat="1" ht="36" x14ac:dyDescent="0.2">
      <c r="A57" s="384"/>
      <c r="B57" s="385"/>
      <c r="C57" s="385"/>
      <c r="D57" s="385"/>
      <c r="E57" s="385"/>
      <c r="F57" s="385"/>
      <c r="G57" s="385" t="s">
        <v>553</v>
      </c>
      <c r="H57" s="386"/>
      <c r="I57" s="386"/>
      <c r="J57" s="421" t="s">
        <v>571</v>
      </c>
      <c r="K57" s="387">
        <f>SUM(K53:K56)</f>
        <v>9105958</v>
      </c>
      <c r="L57" s="387">
        <f>SUM(L53:L56)</f>
        <v>6241218</v>
      </c>
      <c r="M57" s="387">
        <f>SUM(M53:M56)</f>
        <v>2138875</v>
      </c>
      <c r="N57" s="457">
        <f>SUM(N53:N56)</f>
        <v>8817150</v>
      </c>
      <c r="O57" s="457">
        <f t="shared" ref="O57:V57" si="32">SUM(O53:O56)</f>
        <v>5618150</v>
      </c>
      <c r="P57" s="457">
        <f t="shared" si="32"/>
        <v>5618150</v>
      </c>
      <c r="Q57" s="457">
        <f t="shared" si="32"/>
        <v>8817150</v>
      </c>
      <c r="R57" s="458">
        <f t="shared" si="32"/>
        <v>800000</v>
      </c>
      <c r="S57" s="458">
        <f t="shared" si="32"/>
        <v>2057150</v>
      </c>
      <c r="T57" s="459">
        <f t="shared" si="32"/>
        <v>1644958</v>
      </c>
      <c r="U57" s="459">
        <f t="shared" si="32"/>
        <v>412192</v>
      </c>
      <c r="V57" s="457">
        <f t="shared" si="32"/>
        <v>0</v>
      </c>
      <c r="W57" s="457">
        <f>SUM(W55:W56)</f>
        <v>0</v>
      </c>
      <c r="X57" s="775">
        <f>SUM(X52:X56)</f>
        <v>412192</v>
      </c>
      <c r="Y57" s="460">
        <f>SUM(Y52:Y56)</f>
        <v>0</v>
      </c>
      <c r="Z57" s="457">
        <f>SUM(Z53:Z56)</f>
        <v>5960000</v>
      </c>
      <c r="AA57" s="457">
        <f>SUM(AA55:AA56)</f>
        <v>6500000</v>
      </c>
      <c r="AB57" s="457">
        <f>SUM(AB52:AB56)</f>
        <v>1960000</v>
      </c>
      <c r="AC57" s="457">
        <f t="shared" si="0"/>
        <v>4540000</v>
      </c>
      <c r="AD57" s="551">
        <f>SUM(AD52:AD56)</f>
        <v>4000000</v>
      </c>
      <c r="AE57" s="460">
        <f>SUM(AE52:AE56)</f>
        <v>4000000</v>
      </c>
      <c r="AF57" s="460">
        <f>SUM(AF52:AF56)</f>
        <v>0</v>
      </c>
      <c r="AG57" s="461"/>
      <c r="AH57" s="697">
        <f>SUM(AB57/Z57)</f>
        <v>0.32885906040268459</v>
      </c>
      <c r="AI57" s="694"/>
      <c r="AJ57" s="695"/>
      <c r="AK57" s="696" t="e">
        <f>SUM(AD57-AE57-#REF!-#REF!)</f>
        <v>#REF!</v>
      </c>
      <c r="AL57" s="675">
        <f>SUM(Q57-(AD57+X57))/Q57</f>
        <v>0.49958977674191773</v>
      </c>
      <c r="AM57" s="739"/>
      <c r="AN57" s="744"/>
      <c r="AO57" s="624"/>
      <c r="AP57" s="654"/>
      <c r="AQ57" s="654"/>
    </row>
    <row r="58" spans="1:43" s="376" customFormat="1" ht="40.5" customHeight="1" x14ac:dyDescent="0.2">
      <c r="A58" s="375"/>
      <c r="B58" s="876" t="s">
        <v>499</v>
      </c>
      <c r="C58" s="876"/>
      <c r="D58" s="876"/>
      <c r="E58" s="876"/>
      <c r="F58" s="876"/>
      <c r="G58" s="876"/>
      <c r="H58" s="876"/>
      <c r="I58" s="876"/>
      <c r="J58" s="876"/>
      <c r="K58" s="716"/>
      <c r="L58" s="716"/>
      <c r="M58" s="716"/>
      <c r="N58" s="434"/>
      <c r="O58" s="434"/>
      <c r="P58" s="434"/>
      <c r="Q58" s="434"/>
      <c r="R58" s="453"/>
      <c r="S58" s="453"/>
      <c r="T58" s="453"/>
      <c r="U58" s="453"/>
      <c r="V58" s="434"/>
      <c r="W58" s="434"/>
      <c r="X58" s="439">
        <f>SUM(M58)</f>
        <v>0</v>
      </c>
      <c r="Y58" s="439"/>
      <c r="Z58" s="434"/>
      <c r="AA58" s="434"/>
      <c r="AB58" s="434"/>
      <c r="AC58" s="434">
        <f t="shared" ref="AC58:AC84" si="33">SUM(AA58-AB58)</f>
        <v>0</v>
      </c>
      <c r="AD58" s="545"/>
      <c r="AE58" s="439"/>
      <c r="AF58" s="439"/>
      <c r="AG58" s="439"/>
      <c r="AH58" s="666"/>
      <c r="AI58" s="703"/>
      <c r="AJ58" s="668"/>
      <c r="AK58" s="669"/>
      <c r="AL58" s="684"/>
      <c r="AM58" s="741"/>
      <c r="AN58" s="738"/>
      <c r="AO58" s="622"/>
      <c r="AP58" s="651"/>
      <c r="AQ58" s="651"/>
    </row>
    <row r="59" spans="1:43" s="376" customFormat="1" ht="38.25" x14ac:dyDescent="0.2">
      <c r="A59" s="375" t="s">
        <v>460</v>
      </c>
      <c r="B59" s="639" t="s">
        <v>461</v>
      </c>
      <c r="C59" s="639" t="s">
        <v>463</v>
      </c>
      <c r="D59" s="639" t="s">
        <v>454</v>
      </c>
      <c r="E59" s="639" t="s">
        <v>544</v>
      </c>
      <c r="F59" s="639" t="s">
        <v>443</v>
      </c>
      <c r="G59" s="639" t="s">
        <v>553</v>
      </c>
      <c r="H59" s="368">
        <v>10</v>
      </c>
      <c r="I59" s="368" t="s">
        <v>440</v>
      </c>
      <c r="J59" s="422" t="s">
        <v>500</v>
      </c>
      <c r="K59" s="716">
        <v>6186430</v>
      </c>
      <c r="L59" s="716">
        <v>6607190</v>
      </c>
      <c r="M59" s="716">
        <v>9941102</v>
      </c>
      <c r="N59" s="434">
        <v>10200000</v>
      </c>
      <c r="O59" s="434"/>
      <c r="P59" s="434"/>
      <c r="Q59" s="434">
        <f>SUM(N59+O59-P59)</f>
        <v>10200000</v>
      </c>
      <c r="R59" s="453"/>
      <c r="S59" s="453"/>
      <c r="T59" s="453"/>
      <c r="U59" s="453"/>
      <c r="V59" s="434">
        <v>10200000</v>
      </c>
      <c r="W59" s="434"/>
      <c r="X59" s="439">
        <f>SUM(U59)</f>
        <v>0</v>
      </c>
      <c r="Y59" s="439"/>
      <c r="Z59" s="434">
        <f>SUM(Q59-R59-T59-V59-W59-X59-Y59)</f>
        <v>0</v>
      </c>
      <c r="AA59" s="434"/>
      <c r="AB59" s="434"/>
      <c r="AC59" s="434">
        <f t="shared" si="33"/>
        <v>0</v>
      </c>
      <c r="AD59" s="545"/>
      <c r="AE59" s="439"/>
      <c r="AF59" s="439" t="s">
        <v>56</v>
      </c>
      <c r="AG59" s="439"/>
      <c r="AH59" s="666" t="e">
        <f>AB59/(AB59+AE59+AF59)</f>
        <v>#VALUE!</v>
      </c>
      <c r="AI59" s="667"/>
      <c r="AJ59" s="668"/>
      <c r="AK59" s="669" t="e">
        <f>SUM(AD59-AE59-#REF!-#REF!)</f>
        <v>#REF!</v>
      </c>
      <c r="AL59" s="670">
        <f>SUM(Q59-(AD59+X59))/Q59</f>
        <v>1</v>
      </c>
      <c r="AM59" s="735"/>
      <c r="AN59" s="736">
        <v>5973932</v>
      </c>
      <c r="AO59" s="715" t="s">
        <v>2906</v>
      </c>
      <c r="AP59" s="651"/>
      <c r="AQ59" s="651">
        <v>3153932</v>
      </c>
    </row>
    <row r="60" spans="1:43" s="376" customFormat="1" ht="84.75" customHeight="1" x14ac:dyDescent="0.2">
      <c r="A60" s="375" t="s">
        <v>460</v>
      </c>
      <c r="B60" s="639" t="s">
        <v>461</v>
      </c>
      <c r="C60" s="639" t="s">
        <v>463</v>
      </c>
      <c r="D60" s="639" t="s">
        <v>454</v>
      </c>
      <c r="E60" s="639" t="s">
        <v>544</v>
      </c>
      <c r="F60" s="639" t="s">
        <v>461</v>
      </c>
      <c r="G60" s="639" t="s">
        <v>553</v>
      </c>
      <c r="H60" s="368">
        <v>10</v>
      </c>
      <c r="I60" s="368" t="s">
        <v>440</v>
      </c>
      <c r="J60" s="422" t="s">
        <v>501</v>
      </c>
      <c r="K60" s="716">
        <v>93438200</v>
      </c>
      <c r="L60" s="716">
        <v>94312740</v>
      </c>
      <c r="M60" s="716">
        <v>103921690</v>
      </c>
      <c r="N60" s="434">
        <v>99000000</v>
      </c>
      <c r="O60" s="434"/>
      <c r="P60" s="434"/>
      <c r="Q60" s="434">
        <f>SUM(N60+O60-P60)</f>
        <v>99000000</v>
      </c>
      <c r="R60" s="453"/>
      <c r="S60" s="453"/>
      <c r="T60" s="453"/>
      <c r="U60" s="453"/>
      <c r="V60" s="434">
        <v>99000000</v>
      </c>
      <c r="W60" s="434"/>
      <c r="X60" s="439">
        <f>SUM(U60)</f>
        <v>0</v>
      </c>
      <c r="Y60" s="439"/>
      <c r="Z60" s="434">
        <f>SUM(Q60-R60-T60-V60-W60-X60-Y60)</f>
        <v>0</v>
      </c>
      <c r="AA60" s="434"/>
      <c r="AB60" s="434"/>
      <c r="AC60" s="434">
        <f t="shared" si="33"/>
        <v>0</v>
      </c>
      <c r="AD60" s="545"/>
      <c r="AE60" s="439"/>
      <c r="AF60" s="439" t="s">
        <v>56</v>
      </c>
      <c r="AG60" s="439"/>
      <c r="AH60" s="666" t="e">
        <f>AB60/(AB60+AE60+AF60)</f>
        <v>#VALUE!</v>
      </c>
      <c r="AI60" s="667"/>
      <c r="AJ60" s="668"/>
      <c r="AK60" s="669" t="e">
        <f>SUM(AD60-AE60-#REF!-#REF!)</f>
        <v>#REF!</v>
      </c>
      <c r="AL60" s="670">
        <f>SUM(Q60-(AD60+X60))/Q60</f>
        <v>1</v>
      </c>
      <c r="AM60" s="735"/>
      <c r="AN60" s="736">
        <v>38066659</v>
      </c>
      <c r="AO60" s="715" t="s">
        <v>2907</v>
      </c>
      <c r="AP60" s="659">
        <v>16000000</v>
      </c>
      <c r="AQ60" s="651"/>
    </row>
    <row r="61" spans="1:43" s="376" customFormat="1" ht="36" x14ac:dyDescent="0.2">
      <c r="A61" s="375" t="s">
        <v>460</v>
      </c>
      <c r="B61" s="639" t="s">
        <v>461</v>
      </c>
      <c r="C61" s="639" t="s">
        <v>463</v>
      </c>
      <c r="D61" s="639" t="s">
        <v>454</v>
      </c>
      <c r="E61" s="639" t="s">
        <v>544</v>
      </c>
      <c r="F61" s="639" t="s">
        <v>450</v>
      </c>
      <c r="G61" s="639" t="s">
        <v>553</v>
      </c>
      <c r="H61" s="368">
        <v>10</v>
      </c>
      <c r="I61" s="368" t="s">
        <v>440</v>
      </c>
      <c r="J61" s="422" t="s">
        <v>502</v>
      </c>
      <c r="K61" s="716">
        <v>38584988</v>
      </c>
      <c r="L61" s="716">
        <v>37647973</v>
      </c>
      <c r="M61" s="716">
        <v>29818737</v>
      </c>
      <c r="N61" s="434">
        <v>25200000</v>
      </c>
      <c r="O61" s="434"/>
      <c r="P61" s="434"/>
      <c r="Q61" s="434">
        <f>SUM(N61+O61-P61)</f>
        <v>25200000</v>
      </c>
      <c r="R61" s="453"/>
      <c r="S61" s="453"/>
      <c r="T61" s="453"/>
      <c r="U61" s="453"/>
      <c r="V61" s="434">
        <v>25200000</v>
      </c>
      <c r="W61" s="434"/>
      <c r="X61" s="439">
        <f>SUM(U61)</f>
        <v>0</v>
      </c>
      <c r="Y61" s="439"/>
      <c r="Z61" s="434">
        <f>SUM(Q61-R61-T61-V61-W61-X61-Y61)</f>
        <v>0</v>
      </c>
      <c r="AA61" s="434"/>
      <c r="AB61" s="434"/>
      <c r="AC61" s="434">
        <f t="shared" si="33"/>
        <v>0</v>
      </c>
      <c r="AD61" s="545"/>
      <c r="AE61" s="439"/>
      <c r="AF61" s="439" t="s">
        <v>56</v>
      </c>
      <c r="AG61" s="439"/>
      <c r="AH61" s="666" t="e">
        <f>AB61/(AB61+AE61+AF61)</f>
        <v>#VALUE!</v>
      </c>
      <c r="AI61" s="667"/>
      <c r="AJ61" s="668"/>
      <c r="AK61" s="669" t="e">
        <f>SUM(AD61-AE61-#REF!-#REF!)</f>
        <v>#REF!</v>
      </c>
      <c r="AL61" s="670">
        <f>SUM(Q61-(AD61+X61))/Q61</f>
        <v>1</v>
      </c>
      <c r="AM61" s="735"/>
      <c r="AN61" s="736">
        <v>14787976</v>
      </c>
      <c r="AO61" s="715" t="s">
        <v>2905</v>
      </c>
      <c r="AP61" s="651"/>
      <c r="AQ61" s="651">
        <v>5787976</v>
      </c>
    </row>
    <row r="62" spans="1:43" s="376" customFormat="1" ht="87" customHeight="1" x14ac:dyDescent="0.2">
      <c r="A62" s="375" t="s">
        <v>460</v>
      </c>
      <c r="B62" s="639" t="s">
        <v>461</v>
      </c>
      <c r="C62" s="639" t="s">
        <v>463</v>
      </c>
      <c r="D62" s="639" t="s">
        <v>454</v>
      </c>
      <c r="E62" s="639" t="s">
        <v>544</v>
      </c>
      <c r="F62" s="639" t="s">
        <v>459</v>
      </c>
      <c r="G62" s="639"/>
      <c r="H62" s="368">
        <v>10</v>
      </c>
      <c r="I62" s="368" t="s">
        <v>440</v>
      </c>
      <c r="J62" s="422" t="s">
        <v>530</v>
      </c>
      <c r="K62" s="716">
        <v>122363650</v>
      </c>
      <c r="L62" s="716">
        <v>119445871</v>
      </c>
      <c r="M62" s="716">
        <v>113763193</v>
      </c>
      <c r="N62" s="434">
        <v>104500000</v>
      </c>
      <c r="O62" s="434"/>
      <c r="P62" s="434"/>
      <c r="Q62" s="434">
        <f>SUM(N62+O62-P62)</f>
        <v>104500000</v>
      </c>
      <c r="R62" s="453"/>
      <c r="S62" s="453"/>
      <c r="T62" s="453"/>
      <c r="U62" s="453"/>
      <c r="V62" s="434">
        <v>104500000</v>
      </c>
      <c r="W62" s="434"/>
      <c r="X62" s="439">
        <f>SUM(U62)</f>
        <v>0</v>
      </c>
      <c r="Y62" s="439"/>
      <c r="Z62" s="434">
        <f>SUM(Q62-R62-T62-V62-W62-X62-Y62)</f>
        <v>0</v>
      </c>
      <c r="AA62" s="434"/>
      <c r="AB62" s="434"/>
      <c r="AC62" s="434">
        <f t="shared" si="33"/>
        <v>0</v>
      </c>
      <c r="AD62" s="545"/>
      <c r="AE62" s="439"/>
      <c r="AF62" s="439" t="s">
        <v>56</v>
      </c>
      <c r="AG62" s="439"/>
      <c r="AH62" s="666" t="e">
        <f>AB62/(AB62+AE62+AF62)</f>
        <v>#VALUE!</v>
      </c>
      <c r="AI62" s="667"/>
      <c r="AJ62" s="668"/>
      <c r="AK62" s="669" t="e">
        <f>SUM(AD62-AE62-#REF!-#REF!)</f>
        <v>#REF!</v>
      </c>
      <c r="AL62" s="670">
        <f>SUM(Q62-(AD62+X62))/Q62</f>
        <v>1</v>
      </c>
      <c r="AM62" s="735"/>
      <c r="AN62" s="736">
        <v>28027198</v>
      </c>
      <c r="AO62" s="715" t="s">
        <v>2908</v>
      </c>
      <c r="AP62" s="659">
        <v>44000000</v>
      </c>
      <c r="AQ62" s="651"/>
    </row>
    <row r="63" spans="1:43" s="376" customFormat="1" ht="28.5" x14ac:dyDescent="0.2">
      <c r="A63" s="375"/>
      <c r="B63" s="385"/>
      <c r="C63" s="385"/>
      <c r="D63" s="385"/>
      <c r="E63" s="385"/>
      <c r="F63" s="385"/>
      <c r="G63" s="385"/>
      <c r="H63" s="386"/>
      <c r="I63" s="386"/>
      <c r="J63" s="421" t="s">
        <v>531</v>
      </c>
      <c r="K63" s="387"/>
      <c r="L63" s="387"/>
      <c r="M63" s="387"/>
      <c r="N63" s="457">
        <f>SUM(N59:N62)</f>
        <v>238900000</v>
      </c>
      <c r="O63" s="457">
        <f>SUM(O59:O62)</f>
        <v>0</v>
      </c>
      <c r="P63" s="457">
        <f>SUM(P59:P62)</f>
        <v>0</v>
      </c>
      <c r="Q63" s="457">
        <f>SUM(Q59:Q62)</f>
        <v>238900000</v>
      </c>
      <c r="R63" s="458"/>
      <c r="S63" s="458"/>
      <c r="T63" s="459"/>
      <c r="U63" s="459"/>
      <c r="V63" s="457">
        <f>SUM(V59:V62)</f>
        <v>238900000</v>
      </c>
      <c r="W63" s="457">
        <f t="shared" ref="W63:AE63" si="34">SUM(W59:W62)</f>
        <v>0</v>
      </c>
      <c r="X63" s="470">
        <f t="shared" si="34"/>
        <v>0</v>
      </c>
      <c r="Y63" s="457">
        <f t="shared" si="34"/>
        <v>0</v>
      </c>
      <c r="Z63" s="457">
        <f t="shared" si="34"/>
        <v>0</v>
      </c>
      <c r="AA63" s="457">
        <f t="shared" si="34"/>
        <v>0</v>
      </c>
      <c r="AB63" s="457">
        <f t="shared" si="34"/>
        <v>0</v>
      </c>
      <c r="AC63" s="457">
        <f t="shared" si="34"/>
        <v>0</v>
      </c>
      <c r="AD63" s="457">
        <f t="shared" si="34"/>
        <v>0</v>
      </c>
      <c r="AE63" s="457">
        <f t="shared" si="34"/>
        <v>0</v>
      </c>
      <c r="AF63" s="460"/>
      <c r="AG63" s="461"/>
      <c r="AH63" s="697"/>
      <c r="AI63" s="694"/>
      <c r="AJ63" s="695"/>
      <c r="AK63" s="696"/>
      <c r="AL63" s="675">
        <f>SUM(Q63-(AD63+X63))/Q63</f>
        <v>1</v>
      </c>
      <c r="AM63" s="748"/>
      <c r="AN63" s="749">
        <f>SUM(AN59:AN62)</f>
        <v>86855765</v>
      </c>
      <c r="AO63" s="624"/>
      <c r="AP63" s="654"/>
      <c r="AQ63" s="654"/>
    </row>
    <row r="64" spans="1:43" s="376" customFormat="1" ht="36" customHeight="1" x14ac:dyDescent="0.2">
      <c r="A64" s="375"/>
      <c r="B64" s="876" t="s">
        <v>503</v>
      </c>
      <c r="C64" s="876"/>
      <c r="D64" s="876"/>
      <c r="E64" s="876"/>
      <c r="F64" s="876"/>
      <c r="G64" s="876"/>
      <c r="H64" s="876"/>
      <c r="I64" s="876"/>
      <c r="J64" s="876"/>
      <c r="K64" s="368"/>
      <c r="L64" s="368"/>
      <c r="M64" s="368"/>
      <c r="N64" s="368"/>
      <c r="O64" s="368"/>
      <c r="P64" s="368"/>
      <c r="Q64" s="368"/>
      <c r="R64" s="368"/>
      <c r="S64" s="368"/>
      <c r="T64" s="368"/>
      <c r="U64" s="368"/>
      <c r="V64" s="368"/>
      <c r="W64" s="368"/>
      <c r="X64" s="368"/>
      <c r="Y64" s="368"/>
      <c r="Z64" s="368"/>
      <c r="AA64" s="368"/>
      <c r="AB64" s="368"/>
      <c r="AC64" s="368"/>
      <c r="AD64" s="552"/>
      <c r="AE64" s="368"/>
      <c r="AF64" s="368"/>
      <c r="AG64" s="416"/>
      <c r="AH64" s="666"/>
      <c r="AI64" s="701"/>
      <c r="AJ64" s="668"/>
      <c r="AK64" s="669" t="e">
        <f>SUM(AD64-AE64-#REF!-#REF!)</f>
        <v>#REF!</v>
      </c>
      <c r="AL64" s="684"/>
      <c r="AM64" s="741"/>
      <c r="AN64" s="738"/>
      <c r="AO64" s="622"/>
      <c r="AP64" s="651"/>
      <c r="AQ64" s="651"/>
    </row>
    <row r="65" spans="1:43" s="376" customFormat="1" ht="36" x14ac:dyDescent="0.2">
      <c r="A65" s="375" t="s">
        <v>460</v>
      </c>
      <c r="B65" s="639" t="s">
        <v>461</v>
      </c>
      <c r="C65" s="639" t="s">
        <v>463</v>
      </c>
      <c r="D65" s="639" t="s">
        <v>454</v>
      </c>
      <c r="E65" s="639" t="s">
        <v>464</v>
      </c>
      <c r="F65" s="639" t="s">
        <v>454</v>
      </c>
      <c r="G65" s="639" t="s">
        <v>553</v>
      </c>
      <c r="H65" s="368">
        <v>10</v>
      </c>
      <c r="I65" s="368" t="s">
        <v>440</v>
      </c>
      <c r="J65" s="790" t="s">
        <v>505</v>
      </c>
      <c r="K65" s="716">
        <v>13728734</v>
      </c>
      <c r="L65" s="716">
        <v>10285849</v>
      </c>
      <c r="M65" s="716">
        <v>9005472</v>
      </c>
      <c r="N65" s="434">
        <v>9500000</v>
      </c>
      <c r="O65" s="434">
        <v>1000000</v>
      </c>
      <c r="P65" s="434"/>
      <c r="Q65" s="434">
        <f>SUM(N65+O65-P65)</f>
        <v>10500000</v>
      </c>
      <c r="R65" s="434"/>
      <c r="S65" s="434"/>
      <c r="T65" s="434"/>
      <c r="U65" s="434"/>
      <c r="V65" s="434"/>
      <c r="W65" s="434"/>
      <c r="X65" s="439">
        <f>SUM(U65)</f>
        <v>0</v>
      </c>
      <c r="Y65" s="439">
        <v>4258305</v>
      </c>
      <c r="Z65" s="434">
        <f>SUM(Q65-R65-T65-V65-W65-X65-Y65)</f>
        <v>6241695</v>
      </c>
      <c r="AA65" s="463"/>
      <c r="AB65" s="463"/>
      <c r="AC65" s="463">
        <f t="shared" si="33"/>
        <v>0</v>
      </c>
      <c r="AD65" s="545">
        <f t="shared" ref="AD65:AD109" si="35">SUM(Z65-AB65)</f>
        <v>6241695</v>
      </c>
      <c r="AE65" s="439">
        <v>6241695</v>
      </c>
      <c r="AF65" s="439">
        <f>SUM(AD65-AE65)</f>
        <v>0</v>
      </c>
      <c r="AG65" s="439"/>
      <c r="AH65" s="666">
        <f>AB65/(AB65+AE65+AF65)</f>
        <v>0</v>
      </c>
      <c r="AI65" s="667"/>
      <c r="AJ65" s="668"/>
      <c r="AK65" s="669" t="e">
        <f>SUM(AD65-AE65-#REF!-#REF!)</f>
        <v>#REF!</v>
      </c>
      <c r="AL65" s="670">
        <f t="shared" ref="AL65:AL70" si="36">SUM(Q65-(AD65+X65))/Q65</f>
        <v>0.40555285714285716</v>
      </c>
      <c r="AM65" s="733"/>
      <c r="AN65" s="738"/>
      <c r="AO65" s="620"/>
      <c r="AP65" s="651"/>
      <c r="AQ65" s="651"/>
    </row>
    <row r="66" spans="1:43" s="376" customFormat="1" ht="36" x14ac:dyDescent="0.2">
      <c r="A66" s="375" t="s">
        <v>460</v>
      </c>
      <c r="B66" s="639" t="s">
        <v>461</v>
      </c>
      <c r="C66" s="639" t="s">
        <v>463</v>
      </c>
      <c r="D66" s="639" t="s">
        <v>454</v>
      </c>
      <c r="E66" s="639" t="s">
        <v>464</v>
      </c>
      <c r="F66" s="639" t="s">
        <v>550</v>
      </c>
      <c r="G66" s="639" t="s">
        <v>553</v>
      </c>
      <c r="H66" s="368">
        <v>10</v>
      </c>
      <c r="I66" s="368" t="s">
        <v>440</v>
      </c>
      <c r="J66" s="790" t="s">
        <v>527</v>
      </c>
      <c r="K66" s="716">
        <v>12101320</v>
      </c>
      <c r="L66" s="716">
        <v>767811</v>
      </c>
      <c r="M66" s="716">
        <v>8155898</v>
      </c>
      <c r="N66" s="434">
        <v>9500000</v>
      </c>
      <c r="O66" s="434">
        <v>1200000</v>
      </c>
      <c r="P66" s="434"/>
      <c r="Q66" s="434">
        <f>SUM(N66+O66-P66)</f>
        <v>10700000</v>
      </c>
      <c r="R66" s="434"/>
      <c r="S66" s="434"/>
      <c r="T66" s="434"/>
      <c r="U66" s="434"/>
      <c r="V66" s="434"/>
      <c r="W66" s="434"/>
      <c r="X66" s="439">
        <f>SUM(U66)</f>
        <v>0</v>
      </c>
      <c r="Y66" s="439">
        <v>3856578</v>
      </c>
      <c r="Z66" s="434">
        <f>SUM(Q66-R66-T66-V66-W66-X66-Y66)</f>
        <v>6843422</v>
      </c>
      <c r="AA66" s="463"/>
      <c r="AB66" s="463"/>
      <c r="AC66" s="463">
        <f t="shared" si="33"/>
        <v>0</v>
      </c>
      <c r="AD66" s="545">
        <f t="shared" si="35"/>
        <v>6843422</v>
      </c>
      <c r="AE66" s="439">
        <v>6843422</v>
      </c>
      <c r="AF66" s="439">
        <f>SUM(AD66-AE66)</f>
        <v>0</v>
      </c>
      <c r="AG66" s="439"/>
      <c r="AH66" s="666">
        <f>AB66/(AB66+AE66+AF66)</f>
        <v>0</v>
      </c>
      <c r="AI66" s="667"/>
      <c r="AJ66" s="668"/>
      <c r="AK66" s="669" t="e">
        <f>SUM(AD66-AE66-#REF!-#REF!)</f>
        <v>#REF!</v>
      </c>
      <c r="AL66" s="670">
        <f t="shared" si="36"/>
        <v>0.3604278504672897</v>
      </c>
      <c r="AM66" s="733"/>
      <c r="AN66" s="738"/>
      <c r="AO66" s="620"/>
      <c r="AP66" s="651"/>
      <c r="AQ66" s="651"/>
    </row>
    <row r="67" spans="1:43" s="376" customFormat="1" ht="108" customHeight="1" x14ac:dyDescent="0.2">
      <c r="A67" s="375" t="s">
        <v>460</v>
      </c>
      <c r="B67" s="639" t="s">
        <v>461</v>
      </c>
      <c r="C67" s="639" t="s">
        <v>463</v>
      </c>
      <c r="D67" s="639" t="s">
        <v>454</v>
      </c>
      <c r="E67" s="639" t="s">
        <v>464</v>
      </c>
      <c r="F67" s="639" t="s">
        <v>544</v>
      </c>
      <c r="G67" s="639" t="s">
        <v>553</v>
      </c>
      <c r="H67" s="368">
        <v>10</v>
      </c>
      <c r="I67" s="368" t="s">
        <v>440</v>
      </c>
      <c r="J67" s="790" t="s">
        <v>1064</v>
      </c>
      <c r="K67" s="716">
        <v>44027913</v>
      </c>
      <c r="L67" s="716">
        <v>15481207</v>
      </c>
      <c r="M67" s="716">
        <v>34743449</v>
      </c>
      <c r="N67" s="434">
        <v>38500000</v>
      </c>
      <c r="O67" s="434">
        <v>4500000</v>
      </c>
      <c r="P67" s="434"/>
      <c r="Q67" s="463">
        <f>SUM(N67+O67-P67)</f>
        <v>43000000</v>
      </c>
      <c r="R67" s="463"/>
      <c r="S67" s="434"/>
      <c r="T67" s="434"/>
      <c r="U67" s="434"/>
      <c r="V67" s="434"/>
      <c r="W67" s="434"/>
      <c r="X67" s="439">
        <f>SUM(U67)</f>
        <v>0</v>
      </c>
      <c r="Y67" s="439">
        <f>480526+800877+6659907+6946257</f>
        <v>14887567</v>
      </c>
      <c r="Z67" s="434">
        <f>SUM(Q67-R67-T67-V67-W67-X67-Y67)</f>
        <v>28112433</v>
      </c>
      <c r="AA67" s="463">
        <v>49058495</v>
      </c>
      <c r="AB67" s="434">
        <f>2463538+271603</f>
        <v>2735141</v>
      </c>
      <c r="AC67" s="434">
        <f t="shared" si="33"/>
        <v>46323354</v>
      </c>
      <c r="AD67" s="545">
        <f t="shared" si="35"/>
        <v>25377292</v>
      </c>
      <c r="AE67" s="439">
        <v>25377292</v>
      </c>
      <c r="AF67" s="439">
        <f>SUM(AD67-AE67)</f>
        <v>0</v>
      </c>
      <c r="AG67" s="439"/>
      <c r="AH67" s="666">
        <f>AB67/(AB67+AE67+AF67)</f>
        <v>9.7292930853761395E-2</v>
      </c>
      <c r="AI67" s="667"/>
      <c r="AJ67" s="668"/>
      <c r="AK67" s="669" t="e">
        <f>SUM(AD67-AE67-#REF!-#REF!)</f>
        <v>#REF!</v>
      </c>
      <c r="AL67" s="670">
        <f t="shared" si="36"/>
        <v>0.40983041860465114</v>
      </c>
      <c r="AM67" s="733"/>
      <c r="AN67" s="738"/>
      <c r="AO67" s="620" t="s">
        <v>2901</v>
      </c>
      <c r="AP67" s="662"/>
      <c r="AQ67" s="651"/>
    </row>
    <row r="68" spans="1:43" s="376" customFormat="1" ht="36" x14ac:dyDescent="0.2">
      <c r="A68" s="375" t="s">
        <v>460</v>
      </c>
      <c r="B68" s="639" t="s">
        <v>461</v>
      </c>
      <c r="C68" s="639" t="s">
        <v>463</v>
      </c>
      <c r="D68" s="639" t="s">
        <v>454</v>
      </c>
      <c r="E68" s="639" t="s">
        <v>464</v>
      </c>
      <c r="F68" s="639" t="s">
        <v>464</v>
      </c>
      <c r="G68" s="639" t="s">
        <v>553</v>
      </c>
      <c r="H68" s="368">
        <v>10</v>
      </c>
      <c r="I68" s="368" t="s">
        <v>440</v>
      </c>
      <c r="J68" s="790" t="s">
        <v>529</v>
      </c>
      <c r="K68" s="716">
        <v>10358060</v>
      </c>
      <c r="L68" s="716">
        <v>767811</v>
      </c>
      <c r="M68" s="716">
        <v>9175385</v>
      </c>
      <c r="N68" s="434">
        <v>9500000</v>
      </c>
      <c r="O68" s="434">
        <v>1000000</v>
      </c>
      <c r="P68" s="434"/>
      <c r="Q68" s="434">
        <f>SUM(N68+O68-P68)</f>
        <v>10500000</v>
      </c>
      <c r="R68" s="434"/>
      <c r="S68" s="434"/>
      <c r="T68" s="434"/>
      <c r="U68" s="434"/>
      <c r="V68" s="434"/>
      <c r="W68" s="434"/>
      <c r="X68" s="439">
        <f>SUM(U68)</f>
        <v>0</v>
      </c>
      <c r="Y68" s="439">
        <v>4338650</v>
      </c>
      <c r="Z68" s="434">
        <f>SUM(Q68-R68-T68-V68-W68-X68-Y68)</f>
        <v>6161350</v>
      </c>
      <c r="AA68" s="463"/>
      <c r="AB68" s="463"/>
      <c r="AC68" s="463">
        <f t="shared" si="33"/>
        <v>0</v>
      </c>
      <c r="AD68" s="545">
        <f t="shared" si="35"/>
        <v>6161350</v>
      </c>
      <c r="AE68" s="439">
        <v>6161350</v>
      </c>
      <c r="AF68" s="439">
        <f>SUM(AD68-AE68)</f>
        <v>0</v>
      </c>
      <c r="AG68" s="439"/>
      <c r="AH68" s="666">
        <f>AB68/(AB68+AE68+AF68)</f>
        <v>0</v>
      </c>
      <c r="AI68" s="667"/>
      <c r="AJ68" s="668"/>
      <c r="AK68" s="669" t="e">
        <f>SUM(AD68-AE68-#REF!-#REF!)</f>
        <v>#REF!</v>
      </c>
      <c r="AL68" s="670">
        <f t="shared" si="36"/>
        <v>0.41320476190476191</v>
      </c>
      <c r="AM68" s="733"/>
      <c r="AN68" s="738"/>
      <c r="AO68" s="620"/>
      <c r="AP68" s="651"/>
      <c r="AQ68" s="651"/>
    </row>
    <row r="69" spans="1:43" s="376" customFormat="1" ht="36" x14ac:dyDescent="0.2">
      <c r="A69" s="375" t="s">
        <v>460</v>
      </c>
      <c r="B69" s="639" t="s">
        <v>461</v>
      </c>
      <c r="C69" s="639" t="s">
        <v>463</v>
      </c>
      <c r="D69" s="639" t="s">
        <v>454</v>
      </c>
      <c r="E69" s="639" t="s">
        <v>464</v>
      </c>
      <c r="F69" s="639" t="s">
        <v>551</v>
      </c>
      <c r="G69" s="639" t="s">
        <v>553</v>
      </c>
      <c r="H69" s="368">
        <v>10</v>
      </c>
      <c r="I69" s="368" t="s">
        <v>440</v>
      </c>
      <c r="J69" s="790" t="s">
        <v>506</v>
      </c>
      <c r="K69" s="716">
        <v>1239245</v>
      </c>
      <c r="L69" s="716">
        <v>668488</v>
      </c>
      <c r="M69" s="716">
        <v>820983</v>
      </c>
      <c r="N69" s="434">
        <v>1000000</v>
      </c>
      <c r="O69" s="434">
        <v>300000</v>
      </c>
      <c r="P69" s="434"/>
      <c r="Q69" s="434">
        <f>SUM(N69+O69-P69)</f>
        <v>1300000</v>
      </c>
      <c r="R69" s="434"/>
      <c r="S69" s="434"/>
      <c r="T69" s="434"/>
      <c r="U69" s="434"/>
      <c r="V69" s="434"/>
      <c r="W69" s="434"/>
      <c r="X69" s="439">
        <f>SUM(U69)</f>
        <v>0</v>
      </c>
      <c r="Y69" s="439">
        <v>401726</v>
      </c>
      <c r="Z69" s="434">
        <f>SUM(Q69-R69-T69-V69-W69-X69-Y69)</f>
        <v>898274</v>
      </c>
      <c r="AA69" s="463"/>
      <c r="AB69" s="463"/>
      <c r="AC69" s="463">
        <f t="shared" si="33"/>
        <v>0</v>
      </c>
      <c r="AD69" s="545">
        <f t="shared" si="35"/>
        <v>898274</v>
      </c>
      <c r="AE69" s="439">
        <v>898274</v>
      </c>
      <c r="AF69" s="439">
        <f>SUM(AD69-AE69)</f>
        <v>0</v>
      </c>
      <c r="AG69" s="439"/>
      <c r="AH69" s="666">
        <f>AB69/(AB69+AE69+AF69)</f>
        <v>0</v>
      </c>
      <c r="AI69" s="667"/>
      <c r="AJ69" s="668"/>
      <c r="AK69" s="669" t="e">
        <f>SUM(AD69-AE69-#REF!-#REF!)</f>
        <v>#REF!</v>
      </c>
      <c r="AL69" s="670">
        <f t="shared" si="36"/>
        <v>0.30902000000000002</v>
      </c>
      <c r="AM69" s="733"/>
      <c r="AN69" s="738"/>
      <c r="AO69" s="620"/>
      <c r="AP69" s="651"/>
      <c r="AQ69" s="651"/>
    </row>
    <row r="70" spans="1:43" s="388" customFormat="1" ht="69.75" x14ac:dyDescent="0.2">
      <c r="A70" s="384"/>
      <c r="B70" s="385"/>
      <c r="C70" s="385"/>
      <c r="D70" s="385"/>
      <c r="E70" s="385"/>
      <c r="F70" s="385"/>
      <c r="G70" s="385"/>
      <c r="H70" s="386"/>
      <c r="I70" s="386"/>
      <c r="J70" s="421" t="s">
        <v>528</v>
      </c>
      <c r="K70" s="387">
        <f t="shared" ref="K70:Q70" si="37">SUM(K65:K69)</f>
        <v>81455272</v>
      </c>
      <c r="L70" s="387">
        <f t="shared" si="37"/>
        <v>27971166</v>
      </c>
      <c r="M70" s="387">
        <f t="shared" si="37"/>
        <v>61901187</v>
      </c>
      <c r="N70" s="457">
        <f t="shared" si="37"/>
        <v>68000000</v>
      </c>
      <c r="O70" s="457">
        <f t="shared" si="37"/>
        <v>8000000</v>
      </c>
      <c r="P70" s="457">
        <f t="shared" si="37"/>
        <v>0</v>
      </c>
      <c r="Q70" s="457">
        <f t="shared" si="37"/>
        <v>76000000</v>
      </c>
      <c r="R70" s="459"/>
      <c r="S70" s="459">
        <f t="shared" ref="S70:AB70" si="38">SUM(S65:S69)</f>
        <v>0</v>
      </c>
      <c r="T70" s="459">
        <f t="shared" si="38"/>
        <v>0</v>
      </c>
      <c r="U70" s="459">
        <f t="shared" si="38"/>
        <v>0</v>
      </c>
      <c r="V70" s="457">
        <f t="shared" si="38"/>
        <v>0</v>
      </c>
      <c r="W70" s="457">
        <f t="shared" si="38"/>
        <v>0</v>
      </c>
      <c r="X70" s="775">
        <f t="shared" si="38"/>
        <v>0</v>
      </c>
      <c r="Y70" s="460">
        <f t="shared" si="38"/>
        <v>27742826</v>
      </c>
      <c r="Z70" s="457">
        <f t="shared" si="38"/>
        <v>48257174</v>
      </c>
      <c r="AA70" s="457">
        <f t="shared" si="38"/>
        <v>49058495</v>
      </c>
      <c r="AB70" s="457">
        <f t="shared" si="38"/>
        <v>2735141</v>
      </c>
      <c r="AC70" s="457">
        <f t="shared" si="33"/>
        <v>46323354</v>
      </c>
      <c r="AD70" s="551">
        <f>SUM(AD65:AD69)</f>
        <v>45522033</v>
      </c>
      <c r="AE70" s="460">
        <f>SUM(AE65:AE69)</f>
        <v>45522033</v>
      </c>
      <c r="AF70" s="460">
        <f>SUM(AF65:AF69)</f>
        <v>0</v>
      </c>
      <c r="AG70" s="461"/>
      <c r="AH70" s="700">
        <f>SUM(AB70/Z70)</f>
        <v>5.6678432931029074E-2</v>
      </c>
      <c r="AI70" s="694"/>
      <c r="AJ70" s="704" t="s">
        <v>840</v>
      </c>
      <c r="AK70" s="696" t="e">
        <f>SUM(AD70-AE70-#REF!-#REF!)</f>
        <v>#REF!</v>
      </c>
      <c r="AL70" s="675">
        <f t="shared" si="36"/>
        <v>0.40102588157894736</v>
      </c>
      <c r="AM70" s="739"/>
      <c r="AN70" s="744"/>
      <c r="AO70" s="624"/>
      <c r="AP70" s="654"/>
      <c r="AQ70" s="654"/>
    </row>
    <row r="71" spans="1:43" s="376" customFormat="1" ht="33" customHeight="1" x14ac:dyDescent="0.2">
      <c r="A71" s="886" t="s">
        <v>507</v>
      </c>
      <c r="B71" s="887"/>
      <c r="C71" s="887"/>
      <c r="D71" s="887"/>
      <c r="E71" s="887"/>
      <c r="F71" s="887"/>
      <c r="G71" s="887"/>
      <c r="H71" s="887"/>
      <c r="I71" s="887"/>
      <c r="J71" s="888"/>
      <c r="K71" s="368"/>
      <c r="L71" s="368"/>
      <c r="M71" s="368"/>
      <c r="N71" s="368"/>
      <c r="O71" s="368"/>
      <c r="P71" s="368"/>
      <c r="Q71" s="368"/>
      <c r="R71" s="368"/>
      <c r="S71" s="368"/>
      <c r="T71" s="368"/>
      <c r="U71" s="368"/>
      <c r="V71" s="368"/>
      <c r="W71" s="368"/>
      <c r="X71" s="368"/>
      <c r="Y71" s="368"/>
      <c r="Z71" s="368"/>
      <c r="AA71" s="368"/>
      <c r="AB71" s="368"/>
      <c r="AC71" s="368"/>
      <c r="AD71" s="552"/>
      <c r="AE71" s="368"/>
      <c r="AF71" s="368"/>
      <c r="AG71" s="416"/>
      <c r="AH71" s="666"/>
      <c r="AI71" s="701"/>
      <c r="AJ71" s="668"/>
      <c r="AK71" s="669" t="e">
        <f>SUM(AD71-AE71-#REF!-#REF!)</f>
        <v>#REF!</v>
      </c>
      <c r="AL71" s="684"/>
      <c r="AM71" s="741"/>
      <c r="AN71" s="738"/>
      <c r="AO71" s="622"/>
      <c r="AP71" s="651"/>
      <c r="AQ71" s="651"/>
    </row>
    <row r="72" spans="1:43" s="376" customFormat="1" ht="30" x14ac:dyDescent="0.2">
      <c r="A72" s="375"/>
      <c r="B72" s="639"/>
      <c r="C72" s="639"/>
      <c r="D72" s="639"/>
      <c r="E72" s="639"/>
      <c r="F72" s="639"/>
      <c r="G72" s="639"/>
      <c r="H72" s="368"/>
      <c r="I72" s="368"/>
      <c r="J72" s="422" t="s">
        <v>569</v>
      </c>
      <c r="K72" s="716">
        <v>868840</v>
      </c>
      <c r="L72" s="716">
        <v>500000</v>
      </c>
      <c r="M72" s="716"/>
      <c r="N72" s="434"/>
      <c r="O72" s="434"/>
      <c r="P72" s="434"/>
      <c r="Q72" s="434">
        <f>SUM(N72+O72-P72)</f>
        <v>0</v>
      </c>
      <c r="R72" s="453"/>
      <c r="S72" s="453"/>
      <c r="T72" s="453"/>
      <c r="U72" s="453"/>
      <c r="V72" s="434"/>
      <c r="W72" s="434"/>
      <c r="X72" s="439">
        <f>SUM(U72)</f>
        <v>0</v>
      </c>
      <c r="Y72" s="439"/>
      <c r="Z72" s="434">
        <f>SUM(Q72-R72-T72-V72-W72-X72-Y72)</f>
        <v>0</v>
      </c>
      <c r="AA72" s="434"/>
      <c r="AB72" s="434"/>
      <c r="AC72" s="434">
        <f t="shared" si="33"/>
        <v>0</v>
      </c>
      <c r="AD72" s="545">
        <f t="shared" si="35"/>
        <v>0</v>
      </c>
      <c r="AE72" s="439"/>
      <c r="AF72" s="439">
        <f>SUM(AD72-AE72)</f>
        <v>0</v>
      </c>
      <c r="AG72" s="439"/>
      <c r="AH72" s="666" t="e">
        <f>AB72/(AB72+AE72+AF72)</f>
        <v>#DIV/0!</v>
      </c>
      <c r="AI72" s="667"/>
      <c r="AJ72" s="668"/>
      <c r="AK72" s="669" t="e">
        <f>SUM(AD72-AE72-#REF!-#REF!)</f>
        <v>#REF!</v>
      </c>
      <c r="AL72" s="670" t="e">
        <f>SUM(Q72-(AD72+X72))/Q72</f>
        <v>#DIV/0!</v>
      </c>
      <c r="AM72" s="735"/>
      <c r="AN72" s="736">
        <v>0</v>
      </c>
      <c r="AO72" s="621"/>
      <c r="AP72" s="651"/>
      <c r="AQ72" s="651"/>
    </row>
    <row r="73" spans="1:43" s="376" customFormat="1" ht="36" x14ac:dyDescent="0.2">
      <c r="A73" s="375" t="s">
        <v>460</v>
      </c>
      <c r="B73" s="639" t="s">
        <v>461</v>
      </c>
      <c r="C73" s="639" t="s">
        <v>463</v>
      </c>
      <c r="D73" s="639" t="s">
        <v>454</v>
      </c>
      <c r="E73" s="639" t="s">
        <v>441</v>
      </c>
      <c r="F73" s="639" t="s">
        <v>461</v>
      </c>
      <c r="G73" s="639" t="s">
        <v>553</v>
      </c>
      <c r="H73" s="368">
        <v>10</v>
      </c>
      <c r="I73" s="368" t="s">
        <v>440</v>
      </c>
      <c r="J73" s="422" t="s">
        <v>508</v>
      </c>
      <c r="K73" s="716">
        <v>5444300</v>
      </c>
      <c r="L73" s="716">
        <v>5236662</v>
      </c>
      <c r="M73" s="716">
        <v>5612740</v>
      </c>
      <c r="N73" s="434">
        <v>5900000</v>
      </c>
      <c r="O73" s="434"/>
      <c r="P73" s="434"/>
      <c r="Q73" s="434">
        <f>SUM(N73+O73-P73)</f>
        <v>5900000</v>
      </c>
      <c r="R73" s="453"/>
      <c r="S73" s="453"/>
      <c r="T73" s="453"/>
      <c r="U73" s="453"/>
      <c r="V73" s="434">
        <v>5900000</v>
      </c>
      <c r="W73" s="434"/>
      <c r="X73" s="439">
        <f>SUM(U73)</f>
        <v>0</v>
      </c>
      <c r="Y73" s="439"/>
      <c r="Z73" s="434">
        <f>SUM(Q73-R73-T73-V73-W73-X73-Y73)</f>
        <v>0</v>
      </c>
      <c r="AA73" s="434"/>
      <c r="AB73" s="434"/>
      <c r="AC73" s="434">
        <f t="shared" si="33"/>
        <v>0</v>
      </c>
      <c r="AD73" s="545">
        <f t="shared" si="35"/>
        <v>0</v>
      </c>
      <c r="AE73" s="439"/>
      <c r="AF73" s="439">
        <f>SUM(AD73-AE73)</f>
        <v>0</v>
      </c>
      <c r="AG73" s="439"/>
      <c r="AH73" s="666" t="e">
        <f>AB73/(AB73+AE73+AF73)</f>
        <v>#DIV/0!</v>
      </c>
      <c r="AI73" s="667"/>
      <c r="AJ73" s="668"/>
      <c r="AK73" s="669" t="e">
        <f>SUM(AD73-AE73-#REF!-#REF!)</f>
        <v>#REF!</v>
      </c>
      <c r="AL73" s="670">
        <f>SUM(Q73-(AD73+X73))/Q73</f>
        <v>1</v>
      </c>
      <c r="AM73" s="735"/>
      <c r="AN73" s="736">
        <v>2950025</v>
      </c>
      <c r="AO73" s="621"/>
      <c r="AP73" s="651"/>
      <c r="AQ73" s="651"/>
    </row>
    <row r="74" spans="1:43" s="388" customFormat="1" x14ac:dyDescent="0.2">
      <c r="A74" s="384"/>
      <c r="B74" s="385"/>
      <c r="C74" s="385"/>
      <c r="D74" s="385"/>
      <c r="E74" s="385"/>
      <c r="F74" s="385"/>
      <c r="G74" s="385"/>
      <c r="H74" s="386"/>
      <c r="I74" s="386"/>
      <c r="J74" s="421" t="s">
        <v>532</v>
      </c>
      <c r="K74" s="387">
        <f>SUM(K72:K73)</f>
        <v>6313140</v>
      </c>
      <c r="L74" s="387">
        <f>SUM(L72:L73)</f>
        <v>5736662</v>
      </c>
      <c r="M74" s="387">
        <f>SUM(M72:M73)</f>
        <v>5612740</v>
      </c>
      <c r="N74" s="457">
        <f>SUM(N73)</f>
        <v>5900000</v>
      </c>
      <c r="O74" s="457">
        <f>SUM(O73)</f>
        <v>0</v>
      </c>
      <c r="P74" s="457">
        <f>SUM(P73)</f>
        <v>0</v>
      </c>
      <c r="Q74" s="457">
        <f>SUM(Q73)</f>
        <v>5900000</v>
      </c>
      <c r="R74" s="459"/>
      <c r="S74" s="459">
        <f>SUM(S72:S73)</f>
        <v>0</v>
      </c>
      <c r="T74" s="459">
        <f>SUM(T72:T73)</f>
        <v>0</v>
      </c>
      <c r="U74" s="459">
        <f>SUM(U72:U73)</f>
        <v>0</v>
      </c>
      <c r="V74" s="457">
        <f>SUM(V72:V73)</f>
        <v>5900000</v>
      </c>
      <c r="W74" s="457">
        <f t="shared" ref="W74:AB74" si="39">SUM(W73)</f>
        <v>0</v>
      </c>
      <c r="X74" s="775">
        <f>SUM(X71:X73)</f>
        <v>0</v>
      </c>
      <c r="Y74" s="460">
        <f>SUM(Y71:Y73)</f>
        <v>0</v>
      </c>
      <c r="Z74" s="457">
        <f t="shared" si="39"/>
        <v>0</v>
      </c>
      <c r="AA74" s="457">
        <f t="shared" si="39"/>
        <v>0</v>
      </c>
      <c r="AB74" s="457">
        <f t="shared" si="39"/>
        <v>0</v>
      </c>
      <c r="AC74" s="457">
        <f t="shared" si="33"/>
        <v>0</v>
      </c>
      <c r="AD74" s="551">
        <f>SUM(AD71:AD73)</f>
        <v>0</v>
      </c>
      <c r="AE74" s="460">
        <f>SUM(AE71:AE73)</f>
        <v>0</v>
      </c>
      <c r="AF74" s="460">
        <f>SUM(AF71:AF73)</f>
        <v>0</v>
      </c>
      <c r="AG74" s="461"/>
      <c r="AH74" s="700" t="e">
        <f>SUM(AB74/Z74)</f>
        <v>#DIV/0!</v>
      </c>
      <c r="AI74" s="694"/>
      <c r="AJ74" s="695"/>
      <c r="AK74" s="696" t="e">
        <f>SUM(AD74-AE74-#REF!-#REF!)</f>
        <v>#REF!</v>
      </c>
      <c r="AL74" s="675">
        <f>SUM(Q74-(AD74+X74))/Q74</f>
        <v>1</v>
      </c>
      <c r="AM74" s="748"/>
      <c r="AN74" s="750">
        <f>SUM(AN72:AN73)</f>
        <v>2950025</v>
      </c>
      <c r="AO74" s="624"/>
      <c r="AP74" s="654"/>
      <c r="AQ74" s="654"/>
    </row>
    <row r="75" spans="1:43" s="376" customFormat="1" ht="39.75" customHeight="1" x14ac:dyDescent="0.2">
      <c r="A75" s="375"/>
      <c r="B75" s="886" t="s">
        <v>509</v>
      </c>
      <c r="C75" s="887"/>
      <c r="D75" s="887"/>
      <c r="E75" s="887"/>
      <c r="F75" s="887"/>
      <c r="G75" s="887"/>
      <c r="H75" s="887"/>
      <c r="I75" s="887"/>
      <c r="J75" s="887"/>
      <c r="K75" s="368"/>
      <c r="L75" s="368"/>
      <c r="M75" s="368"/>
      <c r="N75" s="368"/>
      <c r="O75" s="368"/>
      <c r="P75" s="368"/>
      <c r="Q75" s="368"/>
      <c r="R75" s="368"/>
      <c r="S75" s="368"/>
      <c r="T75" s="368"/>
      <c r="U75" s="368"/>
      <c r="V75" s="368"/>
      <c r="W75" s="368"/>
      <c r="X75" s="368"/>
      <c r="Y75" s="368"/>
      <c r="Z75" s="368"/>
      <c r="AA75" s="368"/>
      <c r="AB75" s="368"/>
      <c r="AC75" s="368"/>
      <c r="AD75" s="552"/>
      <c r="AE75" s="368"/>
      <c r="AF75" s="368"/>
      <c r="AG75" s="416"/>
      <c r="AH75" s="666"/>
      <c r="AI75" s="705"/>
      <c r="AJ75" s="706"/>
      <c r="AK75" s="669" t="e">
        <f>SUM(AD75-AE75-#REF!-#REF!)</f>
        <v>#REF!</v>
      </c>
      <c r="AL75" s="693"/>
      <c r="AM75" s="741"/>
      <c r="AN75" s="740"/>
      <c r="AO75" s="623"/>
      <c r="AP75" s="651"/>
      <c r="AQ75" s="651"/>
    </row>
    <row r="76" spans="1:43" s="376" customFormat="1" ht="36" x14ac:dyDescent="0.2">
      <c r="A76" s="375" t="s">
        <v>460</v>
      </c>
      <c r="B76" s="639" t="s">
        <v>461</v>
      </c>
      <c r="C76" s="639" t="s">
        <v>463</v>
      </c>
      <c r="D76" s="639" t="s">
        <v>454</v>
      </c>
      <c r="E76" s="639" t="s">
        <v>448</v>
      </c>
      <c r="F76" s="639" t="s">
        <v>443</v>
      </c>
      <c r="G76" s="639" t="s">
        <v>553</v>
      </c>
      <c r="H76" s="368">
        <v>10</v>
      </c>
      <c r="I76" s="368" t="s">
        <v>440</v>
      </c>
      <c r="J76" s="790" t="s">
        <v>487</v>
      </c>
      <c r="K76" s="889">
        <v>29008131.350000001</v>
      </c>
      <c r="L76" s="889">
        <v>20292720.050000001</v>
      </c>
      <c r="M76" s="395">
        <v>4233988</v>
      </c>
      <c r="N76" s="434">
        <v>6000000</v>
      </c>
      <c r="O76" s="434"/>
      <c r="P76" s="434"/>
      <c r="Q76" s="434">
        <f>SUM(N76+O76-P76)</f>
        <v>6000000</v>
      </c>
      <c r="R76" s="434"/>
      <c r="S76" s="434"/>
      <c r="T76" s="434"/>
      <c r="U76" s="434"/>
      <c r="V76" s="434"/>
      <c r="W76" s="434"/>
      <c r="X76" s="439">
        <f>SUM(U76)</f>
        <v>0</v>
      </c>
      <c r="Y76" s="439"/>
      <c r="Z76" s="434">
        <f>SUM(Q76-R76-T76-V76-W76-X76-Y76)</f>
        <v>6000000</v>
      </c>
      <c r="AA76" s="434">
        <v>6000000</v>
      </c>
      <c r="AB76" s="434">
        <v>6000000</v>
      </c>
      <c r="AC76" s="434">
        <f t="shared" si="33"/>
        <v>0</v>
      </c>
      <c r="AD76" s="545">
        <f t="shared" si="35"/>
        <v>0</v>
      </c>
      <c r="AE76" s="439">
        <v>0</v>
      </c>
      <c r="AF76" s="439">
        <f>SUM(AD76-AE76)</f>
        <v>0</v>
      </c>
      <c r="AG76" s="439"/>
      <c r="AH76" s="666">
        <f>AB76/(AB76+AE76+AF76)</f>
        <v>1</v>
      </c>
      <c r="AI76" s="667"/>
      <c r="AJ76" s="668"/>
      <c r="AK76" s="669" t="e">
        <f>SUM(AD76-AE76-#REF!-#REF!)</f>
        <v>#REF!</v>
      </c>
      <c r="AL76" s="670">
        <f>SUM(Q76-(AD76+X76))/Q76</f>
        <v>1</v>
      </c>
      <c r="AM76" s="733"/>
      <c r="AN76" s="740"/>
      <c r="AO76" s="620"/>
      <c r="AP76" s="651"/>
      <c r="AQ76" s="651"/>
    </row>
    <row r="77" spans="1:43" s="376" customFormat="1" ht="36" x14ac:dyDescent="0.2">
      <c r="A77" s="375" t="s">
        <v>460</v>
      </c>
      <c r="B77" s="639" t="s">
        <v>461</v>
      </c>
      <c r="C77" s="639" t="s">
        <v>463</v>
      </c>
      <c r="D77" s="639" t="s">
        <v>454</v>
      </c>
      <c r="E77" s="639" t="s">
        <v>448</v>
      </c>
      <c r="F77" s="639" t="s">
        <v>443</v>
      </c>
      <c r="G77" s="639" t="s">
        <v>553</v>
      </c>
      <c r="H77" s="368">
        <v>10</v>
      </c>
      <c r="I77" s="368" t="s">
        <v>440</v>
      </c>
      <c r="J77" s="422" t="s">
        <v>488</v>
      </c>
      <c r="K77" s="889"/>
      <c r="L77" s="889"/>
      <c r="M77" s="395">
        <v>4799781.63</v>
      </c>
      <c r="N77" s="434">
        <v>4000000</v>
      </c>
      <c r="O77" s="434"/>
      <c r="P77" s="434"/>
      <c r="Q77" s="434">
        <v>4000000</v>
      </c>
      <c r="R77" s="434"/>
      <c r="S77" s="434"/>
      <c r="T77" s="434"/>
      <c r="U77" s="434"/>
      <c r="V77" s="434">
        <v>4000000</v>
      </c>
      <c r="W77" s="434"/>
      <c r="X77" s="439">
        <f>SUM(U77)</f>
        <v>0</v>
      </c>
      <c r="Y77" s="439"/>
      <c r="Z77" s="434">
        <f>SUM(Q77-R77-T77-V77-W77-X77-Y77)</f>
        <v>0</v>
      </c>
      <c r="AA77" s="434"/>
      <c r="AB77" s="434"/>
      <c r="AC77" s="434">
        <f t="shared" si="33"/>
        <v>0</v>
      </c>
      <c r="AD77" s="545"/>
      <c r="AE77" s="439"/>
      <c r="AF77" s="439">
        <f>SUM(AD77-AE77)</f>
        <v>0</v>
      </c>
      <c r="AG77" s="439"/>
      <c r="AH77" s="666" t="e">
        <f>AB77/(AB77+AE77+AF77)</f>
        <v>#DIV/0!</v>
      </c>
      <c r="AI77" s="667"/>
      <c r="AJ77" s="668"/>
      <c r="AK77" s="669" t="e">
        <f>SUM(AD77-AE77-#REF!-#REF!)</f>
        <v>#REF!</v>
      </c>
      <c r="AL77" s="670">
        <f>SUM(Q77-(AD77+X77))/Q77</f>
        <v>1</v>
      </c>
      <c r="AM77" s="735"/>
      <c r="AN77" s="736">
        <v>4000000</v>
      </c>
      <c r="AO77" s="621"/>
      <c r="AP77" s="651"/>
      <c r="AQ77" s="651"/>
    </row>
    <row r="78" spans="1:43" s="376" customFormat="1" ht="36" x14ac:dyDescent="0.2">
      <c r="A78" s="375" t="s">
        <v>460</v>
      </c>
      <c r="B78" s="639" t="s">
        <v>461</v>
      </c>
      <c r="C78" s="639" t="s">
        <v>463</v>
      </c>
      <c r="D78" s="639" t="s">
        <v>454</v>
      </c>
      <c r="E78" s="639" t="s">
        <v>448</v>
      </c>
      <c r="F78" s="639" t="s">
        <v>461</v>
      </c>
      <c r="G78" s="639" t="s">
        <v>553</v>
      </c>
      <c r="H78" s="368">
        <v>10</v>
      </c>
      <c r="I78" s="368" t="s">
        <v>440</v>
      </c>
      <c r="J78" s="790" t="s">
        <v>489</v>
      </c>
      <c r="K78" s="889">
        <v>19651579</v>
      </c>
      <c r="L78" s="889">
        <v>37367844.5</v>
      </c>
      <c r="M78" s="716">
        <v>11937409</v>
      </c>
      <c r="N78" s="434">
        <v>9000000</v>
      </c>
      <c r="O78" s="434"/>
      <c r="P78" s="434"/>
      <c r="Q78" s="434">
        <f>SUM(N78+O78-P78)</f>
        <v>9000000</v>
      </c>
      <c r="R78" s="434"/>
      <c r="S78" s="434"/>
      <c r="T78" s="434"/>
      <c r="U78" s="434"/>
      <c r="V78" s="434"/>
      <c r="W78" s="434"/>
      <c r="X78" s="439">
        <f>SUM(U78)</f>
        <v>0</v>
      </c>
      <c r="Y78" s="439"/>
      <c r="Z78" s="434">
        <f>SUM(Q78-R78-T78-V78-W78-X78-Y78)</f>
        <v>9000000</v>
      </c>
      <c r="AA78" s="434">
        <v>9000000</v>
      </c>
      <c r="AB78" s="434">
        <v>9000000</v>
      </c>
      <c r="AC78" s="434">
        <f t="shared" si="33"/>
        <v>0</v>
      </c>
      <c r="AD78" s="545">
        <f t="shared" si="35"/>
        <v>0</v>
      </c>
      <c r="AE78" s="439">
        <v>0</v>
      </c>
      <c r="AF78" s="439">
        <f>SUM(AD78-AE78)</f>
        <v>0</v>
      </c>
      <c r="AG78" s="439"/>
      <c r="AH78" s="666">
        <f>AB78/(AB78+AE78+AF78)</f>
        <v>1</v>
      </c>
      <c r="AI78" s="667"/>
      <c r="AJ78" s="668"/>
      <c r="AK78" s="669" t="e">
        <f>SUM(AD78-AE78-#REF!-#REF!)</f>
        <v>#REF!</v>
      </c>
      <c r="AL78" s="670">
        <f>SUM(Q78-(AD78+X78))/Q78</f>
        <v>1</v>
      </c>
      <c r="AM78" s="733"/>
      <c r="AN78" s="740"/>
      <c r="AO78" s="620"/>
      <c r="AP78" s="651"/>
      <c r="AQ78" s="651"/>
    </row>
    <row r="79" spans="1:43" s="376" customFormat="1" ht="36" x14ac:dyDescent="0.2">
      <c r="A79" s="375" t="s">
        <v>460</v>
      </c>
      <c r="B79" s="639" t="s">
        <v>461</v>
      </c>
      <c r="C79" s="639" t="s">
        <v>463</v>
      </c>
      <c r="D79" s="639" t="s">
        <v>454</v>
      </c>
      <c r="E79" s="639" t="s">
        <v>448</v>
      </c>
      <c r="F79" s="639" t="s">
        <v>461</v>
      </c>
      <c r="G79" s="639" t="s">
        <v>553</v>
      </c>
      <c r="H79" s="368">
        <v>10</v>
      </c>
      <c r="I79" s="368" t="s">
        <v>440</v>
      </c>
      <c r="J79" s="422" t="s">
        <v>490</v>
      </c>
      <c r="K79" s="889"/>
      <c r="L79" s="889"/>
      <c r="M79" s="716">
        <v>12823734</v>
      </c>
      <c r="N79" s="463">
        <v>15800000</v>
      </c>
      <c r="O79" s="434"/>
      <c r="P79" s="663"/>
      <c r="Q79" s="434">
        <f>SUM(N79+O79-P79)</f>
        <v>15800000</v>
      </c>
      <c r="R79" s="467">
        <v>5000000</v>
      </c>
      <c r="S79" s="455">
        <v>7800000</v>
      </c>
      <c r="T79" s="446">
        <f>1086510+0+0+525706+872107+255013+1251512+903522</f>
        <v>4894370</v>
      </c>
      <c r="U79" s="434">
        <f>SUM(S79-T79)</f>
        <v>2905630</v>
      </c>
      <c r="V79" s="434"/>
      <c r="W79" s="434"/>
      <c r="X79" s="439">
        <f>SUM(U79)</f>
        <v>2905630</v>
      </c>
      <c r="Y79" s="439"/>
      <c r="Z79" s="434">
        <f>SUM(Q79-R79-T79-V79-W79-X79-Y79)</f>
        <v>3000000</v>
      </c>
      <c r="AA79" s="434"/>
      <c r="AB79" s="434"/>
      <c r="AC79" s="434">
        <f t="shared" si="33"/>
        <v>0</v>
      </c>
      <c r="AD79" s="545">
        <f t="shared" si="35"/>
        <v>3000000</v>
      </c>
      <c r="AE79" s="439">
        <v>0</v>
      </c>
      <c r="AF79" s="439">
        <f>SUM(AD79-AE79)</f>
        <v>3000000</v>
      </c>
      <c r="AG79" s="439"/>
      <c r="AH79" s="666">
        <f>AB79/(AB79+AE79+AF79)</f>
        <v>0</v>
      </c>
      <c r="AI79" s="667"/>
      <c r="AJ79" s="668"/>
      <c r="AK79" s="669" t="e">
        <f>SUM(AD79-AE79-#REF!-#REF!)</f>
        <v>#REF!</v>
      </c>
      <c r="AL79" s="670">
        <f>SUM(Q79-(AD79+X79))/Q79</f>
        <v>0.62622594936708864</v>
      </c>
      <c r="AM79" s="735"/>
      <c r="AN79" s="736">
        <v>3809152</v>
      </c>
      <c r="AO79" s="621"/>
      <c r="AP79" s="651"/>
      <c r="AQ79" s="651">
        <v>3000000</v>
      </c>
    </row>
    <row r="80" spans="1:43" s="388" customFormat="1" ht="28.5" x14ac:dyDescent="0.2">
      <c r="A80" s="384"/>
      <c r="B80" s="385"/>
      <c r="C80" s="385"/>
      <c r="D80" s="385"/>
      <c r="E80" s="385"/>
      <c r="F80" s="385"/>
      <c r="G80" s="385"/>
      <c r="H80" s="386"/>
      <c r="I80" s="386"/>
      <c r="J80" s="421" t="s">
        <v>533</v>
      </c>
      <c r="K80" s="387">
        <f t="shared" ref="K80:S80" si="40">SUM(K76:K79)</f>
        <v>48659710.350000001</v>
      </c>
      <c r="L80" s="387">
        <f t="shared" si="40"/>
        <v>57660564.549999997</v>
      </c>
      <c r="M80" s="387">
        <f t="shared" si="40"/>
        <v>33794912.629999995</v>
      </c>
      <c r="N80" s="457">
        <f t="shared" si="40"/>
        <v>34800000</v>
      </c>
      <c r="O80" s="457">
        <f t="shared" si="40"/>
        <v>0</v>
      </c>
      <c r="P80" s="457">
        <f t="shared" si="40"/>
        <v>0</v>
      </c>
      <c r="Q80" s="457">
        <f t="shared" si="40"/>
        <v>34800000</v>
      </c>
      <c r="R80" s="458">
        <f t="shared" si="40"/>
        <v>5000000</v>
      </c>
      <c r="S80" s="458">
        <f t="shared" si="40"/>
        <v>7800000</v>
      </c>
      <c r="T80" s="459">
        <f t="shared" ref="T80:AB80" si="41">SUM(T76:T79)</f>
        <v>4894370</v>
      </c>
      <c r="U80" s="459">
        <f t="shared" si="41"/>
        <v>2905630</v>
      </c>
      <c r="V80" s="457">
        <f t="shared" si="41"/>
        <v>4000000</v>
      </c>
      <c r="W80" s="457">
        <f t="shared" si="41"/>
        <v>0</v>
      </c>
      <c r="X80" s="775">
        <f t="shared" si="41"/>
        <v>2905630</v>
      </c>
      <c r="Y80" s="460">
        <f t="shared" si="41"/>
        <v>0</v>
      </c>
      <c r="Z80" s="457">
        <f t="shared" si="41"/>
        <v>18000000</v>
      </c>
      <c r="AA80" s="457">
        <f t="shared" si="41"/>
        <v>15000000</v>
      </c>
      <c r="AB80" s="457">
        <f t="shared" si="41"/>
        <v>15000000</v>
      </c>
      <c r="AC80" s="457">
        <f t="shared" si="33"/>
        <v>0</v>
      </c>
      <c r="AD80" s="551">
        <f>SUM(AD76:AD79)</f>
        <v>3000000</v>
      </c>
      <c r="AE80" s="460">
        <f>SUM(AE76:AE79)</f>
        <v>0</v>
      </c>
      <c r="AF80" s="460">
        <f>SUM(AF76:AF79)</f>
        <v>3000000</v>
      </c>
      <c r="AG80" s="461"/>
      <c r="AH80" s="697">
        <f>SUM(AB80/Z80)</f>
        <v>0.83333333333333337</v>
      </c>
      <c r="AI80" s="694"/>
      <c r="AJ80" s="695"/>
      <c r="AK80" s="696" t="e">
        <f>SUM(AD80-AE80-#REF!-#REF!)</f>
        <v>#REF!</v>
      </c>
      <c r="AL80" s="678">
        <v>0.71452223892019795</v>
      </c>
      <c r="AM80" s="748"/>
      <c r="AN80" s="749">
        <f>SUM(AN76:AN79)</f>
        <v>7809152</v>
      </c>
      <c r="AO80" s="624"/>
      <c r="AP80" s="654"/>
      <c r="AQ80" s="654"/>
    </row>
    <row r="81" spans="1:44" s="376" customFormat="1" ht="46.5" customHeight="1" x14ac:dyDescent="0.2">
      <c r="A81" s="375"/>
      <c r="B81" s="886" t="s">
        <v>512</v>
      </c>
      <c r="C81" s="887"/>
      <c r="D81" s="887"/>
      <c r="E81" s="887"/>
      <c r="F81" s="887"/>
      <c r="G81" s="887"/>
      <c r="H81" s="887"/>
      <c r="I81" s="887"/>
      <c r="J81" s="887"/>
      <c r="K81" s="368"/>
      <c r="L81" s="368"/>
      <c r="M81" s="368"/>
      <c r="N81" s="368"/>
      <c r="O81" s="368"/>
      <c r="P81" s="368"/>
      <c r="Q81" s="368"/>
      <c r="R81" s="368"/>
      <c r="S81" s="368"/>
      <c r="T81" s="368"/>
      <c r="U81" s="368"/>
      <c r="V81" s="368"/>
      <c r="W81" s="368"/>
      <c r="X81" s="368"/>
      <c r="Y81" s="368"/>
      <c r="Z81" s="368"/>
      <c r="AA81" s="368"/>
      <c r="AB81" s="368"/>
      <c r="AC81" s="368"/>
      <c r="AD81" s="552"/>
      <c r="AE81" s="368"/>
      <c r="AF81" s="368"/>
      <c r="AG81" s="416"/>
      <c r="AH81" s="666"/>
      <c r="AI81" s="701"/>
      <c r="AJ81" s="668"/>
      <c r="AK81" s="669" t="e">
        <f>SUM(AD81-AE81-#REF!-#REF!)</f>
        <v>#REF!</v>
      </c>
      <c r="AL81" s="684"/>
      <c r="AM81" s="741"/>
      <c r="AN81" s="738"/>
      <c r="AO81" s="622"/>
      <c r="AP81" s="651"/>
      <c r="AQ81" s="651"/>
    </row>
    <row r="82" spans="1:44" s="376" customFormat="1" ht="36" x14ac:dyDescent="0.2">
      <c r="A82" s="375" t="s">
        <v>460</v>
      </c>
      <c r="B82" s="639" t="s">
        <v>461</v>
      </c>
      <c r="C82" s="639" t="s">
        <v>463</v>
      </c>
      <c r="D82" s="639" t="s">
        <v>454</v>
      </c>
      <c r="E82" s="639" t="s">
        <v>552</v>
      </c>
      <c r="F82" s="639" t="s">
        <v>454</v>
      </c>
      <c r="G82" s="639" t="s">
        <v>553</v>
      </c>
      <c r="H82" s="368">
        <v>10</v>
      </c>
      <c r="I82" s="368" t="s">
        <v>440</v>
      </c>
      <c r="J82" s="790" t="s">
        <v>510</v>
      </c>
      <c r="K82" s="716">
        <v>17194000</v>
      </c>
      <c r="L82" s="716">
        <v>19420850</v>
      </c>
      <c r="M82" s="716">
        <v>12708216</v>
      </c>
      <c r="N82" s="434">
        <v>14000000</v>
      </c>
      <c r="O82" s="434"/>
      <c r="P82" s="434"/>
      <c r="Q82" s="434">
        <f>SUM(N82+O82-P82)</f>
        <v>14000000</v>
      </c>
      <c r="R82" s="434"/>
      <c r="S82" s="434"/>
      <c r="T82" s="434"/>
      <c r="U82" s="434"/>
      <c r="V82" s="434"/>
      <c r="W82" s="434"/>
      <c r="X82" s="439">
        <f>SUM(U82)</f>
        <v>0</v>
      </c>
      <c r="Y82" s="439"/>
      <c r="Z82" s="434">
        <f>SUM(Q82-R82-T82-V82-W82-X82-Y82)</f>
        <v>14000000</v>
      </c>
      <c r="AA82" s="434">
        <v>14000000</v>
      </c>
      <c r="AB82" s="434">
        <v>4000000</v>
      </c>
      <c r="AC82" s="434">
        <f t="shared" si="33"/>
        <v>10000000</v>
      </c>
      <c r="AD82" s="545">
        <f t="shared" si="35"/>
        <v>10000000</v>
      </c>
      <c r="AE82" s="439">
        <v>9000000</v>
      </c>
      <c r="AF82" s="439">
        <f>SUM(AD82-AE82)</f>
        <v>1000000</v>
      </c>
      <c r="AG82" s="439"/>
      <c r="AH82" s="666">
        <f>AB82/(AB82+AE82+AF82)</f>
        <v>0.2857142857142857</v>
      </c>
      <c r="AI82" s="667"/>
      <c r="AJ82" s="668"/>
      <c r="AK82" s="669" t="e">
        <f>SUM(AD82-AE82-#REF!-#REF!)</f>
        <v>#REF!</v>
      </c>
      <c r="AL82" s="670">
        <f>SUM(Q82-(AD82+X82))/Q82</f>
        <v>0.2857142857142857</v>
      </c>
      <c r="AM82" s="733"/>
      <c r="AN82" s="738"/>
      <c r="AO82" s="620"/>
      <c r="AP82" s="651"/>
      <c r="AQ82" s="651">
        <v>1000000</v>
      </c>
    </row>
    <row r="83" spans="1:44" s="376" customFormat="1" ht="36" x14ac:dyDescent="0.2">
      <c r="A83" s="375" t="s">
        <v>460</v>
      </c>
      <c r="B83" s="639" t="s">
        <v>461</v>
      </c>
      <c r="C83" s="639" t="s">
        <v>463</v>
      </c>
      <c r="D83" s="639" t="s">
        <v>454</v>
      </c>
      <c r="E83" s="639" t="s">
        <v>552</v>
      </c>
      <c r="F83" s="639">
        <v>5</v>
      </c>
      <c r="G83" s="639" t="s">
        <v>553</v>
      </c>
      <c r="H83" s="368">
        <v>10</v>
      </c>
      <c r="I83" s="368" t="s">
        <v>440</v>
      </c>
      <c r="J83" s="790" t="s">
        <v>572</v>
      </c>
      <c r="K83" s="716">
        <v>0</v>
      </c>
      <c r="L83" s="716">
        <v>110312960</v>
      </c>
      <c r="M83" s="716"/>
      <c r="N83" s="434"/>
      <c r="O83" s="434"/>
      <c r="P83" s="434"/>
      <c r="Q83" s="434">
        <f>SUM(N83+O83-P83)</f>
        <v>0</v>
      </c>
      <c r="R83" s="434"/>
      <c r="S83" s="434"/>
      <c r="T83" s="434"/>
      <c r="U83" s="434"/>
      <c r="V83" s="434"/>
      <c r="W83" s="434"/>
      <c r="X83" s="439">
        <f>SUM(U83)</f>
        <v>0</v>
      </c>
      <c r="Y83" s="439"/>
      <c r="Z83" s="434">
        <f>SUM(Q83-R83-T83-V83-W83-X83-Y83)</f>
        <v>0</v>
      </c>
      <c r="AA83" s="434"/>
      <c r="AB83" s="434"/>
      <c r="AC83" s="434">
        <f t="shared" si="33"/>
        <v>0</v>
      </c>
      <c r="AD83" s="545">
        <f t="shared" si="35"/>
        <v>0</v>
      </c>
      <c r="AE83" s="439"/>
      <c r="AF83" s="439">
        <f>SUM(AD83-AE83)</f>
        <v>0</v>
      </c>
      <c r="AG83" s="439"/>
      <c r="AH83" s="666" t="e">
        <f>AB83/(AB83+AE83+AF83)</f>
        <v>#DIV/0!</v>
      </c>
      <c r="AI83" s="667"/>
      <c r="AJ83" s="668"/>
      <c r="AK83" s="669" t="e">
        <f>SUM(AD83-AE83-#REF!-#REF!)</f>
        <v>#REF!</v>
      </c>
      <c r="AL83" s="670" t="e">
        <f>SUM(Q83-(AD83+X83))/Q83</f>
        <v>#DIV/0!</v>
      </c>
      <c r="AM83" s="733"/>
      <c r="AN83" s="738"/>
      <c r="AO83" s="620"/>
      <c r="AP83" s="651"/>
      <c r="AQ83" s="651"/>
    </row>
    <row r="84" spans="1:44" s="376" customFormat="1" ht="36" x14ac:dyDescent="0.2">
      <c r="A84" s="375" t="s">
        <v>460</v>
      </c>
      <c r="B84" s="639" t="s">
        <v>461</v>
      </c>
      <c r="C84" s="639" t="s">
        <v>463</v>
      </c>
      <c r="D84" s="639" t="s">
        <v>454</v>
      </c>
      <c r="E84" s="639" t="s">
        <v>552</v>
      </c>
      <c r="F84" s="639" t="s">
        <v>544</v>
      </c>
      <c r="G84" s="639" t="s">
        <v>553</v>
      </c>
      <c r="H84" s="368">
        <v>10</v>
      </c>
      <c r="I84" s="368" t="s">
        <v>440</v>
      </c>
      <c r="J84" s="790" t="s">
        <v>511</v>
      </c>
      <c r="K84" s="716">
        <v>14847202</v>
      </c>
      <c r="L84" s="716">
        <v>17200000</v>
      </c>
      <c r="M84" s="716">
        <v>15676513</v>
      </c>
      <c r="N84" s="434">
        <v>10000000</v>
      </c>
      <c r="O84" s="434"/>
      <c r="P84" s="434"/>
      <c r="Q84" s="434">
        <f>SUM(N84+O84-P84)</f>
        <v>10000000</v>
      </c>
      <c r="R84" s="434"/>
      <c r="S84" s="434"/>
      <c r="T84" s="434"/>
      <c r="U84" s="434"/>
      <c r="V84" s="434"/>
      <c r="W84" s="434"/>
      <c r="X84" s="439">
        <f>SUM(U84)</f>
        <v>0</v>
      </c>
      <c r="Y84" s="439"/>
      <c r="Z84" s="434">
        <f>SUM(Q84-R84-T84-V84-W84-X84-Y84)</f>
        <v>10000000</v>
      </c>
      <c r="AA84" s="434">
        <v>10000000</v>
      </c>
      <c r="AB84" s="434"/>
      <c r="AC84" s="434">
        <f t="shared" si="33"/>
        <v>10000000</v>
      </c>
      <c r="AD84" s="545">
        <f t="shared" si="35"/>
        <v>10000000</v>
      </c>
      <c r="AE84" s="439">
        <v>10000000</v>
      </c>
      <c r="AF84" s="439">
        <f>SUM(AD84-AE84)</f>
        <v>0</v>
      </c>
      <c r="AG84" s="439"/>
      <c r="AH84" s="666">
        <f>AB84/(AB84+AE84+AF84)</f>
        <v>0</v>
      </c>
      <c r="AI84" s="667"/>
      <c r="AJ84" s="668"/>
      <c r="AK84" s="669" t="e">
        <f>SUM(AD84-AE84-#REF!-#REF!)</f>
        <v>#REF!</v>
      </c>
      <c r="AL84" s="670">
        <f>SUM(Q84-(AD84+X84))/Q84</f>
        <v>0</v>
      </c>
      <c r="AM84" s="733"/>
      <c r="AN84" s="738"/>
      <c r="AO84" s="620"/>
      <c r="AP84" s="651"/>
      <c r="AQ84" s="651"/>
    </row>
    <row r="85" spans="1:44" s="388" customFormat="1" ht="28.5" x14ac:dyDescent="0.2">
      <c r="A85" s="384"/>
      <c r="B85" s="385"/>
      <c r="C85" s="385"/>
      <c r="D85" s="385"/>
      <c r="E85" s="385"/>
      <c r="F85" s="385"/>
      <c r="G85" s="385"/>
      <c r="H85" s="386"/>
      <c r="I85" s="386"/>
      <c r="J85" s="421" t="s">
        <v>536</v>
      </c>
      <c r="K85" s="387">
        <f t="shared" ref="K85:Q85" si="42">SUM(K82:K84)</f>
        <v>32041202</v>
      </c>
      <c r="L85" s="387">
        <f t="shared" si="42"/>
        <v>146933810</v>
      </c>
      <c r="M85" s="387">
        <f t="shared" si="42"/>
        <v>28384729</v>
      </c>
      <c r="N85" s="457">
        <f t="shared" si="42"/>
        <v>24000000</v>
      </c>
      <c r="O85" s="457">
        <f t="shared" si="42"/>
        <v>0</v>
      </c>
      <c r="P85" s="457">
        <f t="shared" si="42"/>
        <v>0</v>
      </c>
      <c r="Q85" s="457">
        <f t="shared" si="42"/>
        <v>24000000</v>
      </c>
      <c r="R85" s="459"/>
      <c r="S85" s="459">
        <f t="shared" ref="S85:AF85" si="43">SUM(S82:S84)</f>
        <v>0</v>
      </c>
      <c r="T85" s="459">
        <f t="shared" si="43"/>
        <v>0</v>
      </c>
      <c r="U85" s="459">
        <f t="shared" si="43"/>
        <v>0</v>
      </c>
      <c r="V85" s="457">
        <f t="shared" si="43"/>
        <v>0</v>
      </c>
      <c r="W85" s="457">
        <f t="shared" si="43"/>
        <v>0</v>
      </c>
      <c r="X85" s="470">
        <f t="shared" si="43"/>
        <v>0</v>
      </c>
      <c r="Y85" s="457">
        <f t="shared" si="43"/>
        <v>0</v>
      </c>
      <c r="Z85" s="457">
        <f t="shared" si="43"/>
        <v>24000000</v>
      </c>
      <c r="AA85" s="457">
        <f t="shared" si="43"/>
        <v>24000000</v>
      </c>
      <c r="AB85" s="457">
        <f t="shared" si="43"/>
        <v>4000000</v>
      </c>
      <c r="AC85" s="457">
        <f t="shared" si="43"/>
        <v>20000000</v>
      </c>
      <c r="AD85" s="555">
        <f t="shared" si="43"/>
        <v>20000000</v>
      </c>
      <c r="AE85" s="457">
        <f t="shared" si="43"/>
        <v>19000000</v>
      </c>
      <c r="AF85" s="457">
        <f t="shared" si="43"/>
        <v>1000000</v>
      </c>
      <c r="AG85" s="467"/>
      <c r="AH85" s="697">
        <f>SUM(AB85/Z85)</f>
        <v>0.16666666666666666</v>
      </c>
      <c r="AI85" s="695"/>
      <c r="AJ85" s="695"/>
      <c r="AK85" s="696" t="e">
        <f>SUM(AD85-AE85-#REF!-#REF!)</f>
        <v>#REF!</v>
      </c>
      <c r="AL85" s="675">
        <f>SUM(Q85-(AD85+X85))/Q85</f>
        <v>0.16666666666666666</v>
      </c>
      <c r="AM85" s="739"/>
      <c r="AN85" s="744"/>
      <c r="AO85" s="624"/>
      <c r="AP85" s="654"/>
      <c r="AQ85" s="654"/>
    </row>
    <row r="86" spans="1:44" s="374" customFormat="1" ht="51" customHeight="1" x14ac:dyDescent="0.2">
      <c r="A86" s="886" t="s">
        <v>1767</v>
      </c>
      <c r="B86" s="887"/>
      <c r="C86" s="887"/>
      <c r="D86" s="887"/>
      <c r="E86" s="887"/>
      <c r="F86" s="887"/>
      <c r="G86" s="887"/>
      <c r="H86" s="887"/>
      <c r="I86" s="887"/>
      <c r="J86" s="888"/>
      <c r="K86" s="716"/>
      <c r="L86" s="716"/>
      <c r="M86" s="716"/>
      <c r="N86" s="434"/>
      <c r="O86" s="434"/>
      <c r="P86" s="434"/>
      <c r="Q86" s="434"/>
      <c r="R86" s="434"/>
      <c r="S86" s="434"/>
      <c r="T86" s="434"/>
      <c r="U86" s="434"/>
      <c r="V86" s="434"/>
      <c r="W86" s="434"/>
      <c r="X86" s="468"/>
      <c r="Y86" s="468"/>
      <c r="Z86" s="434"/>
      <c r="AA86" s="434"/>
      <c r="AB86" s="434"/>
      <c r="AC86" s="434"/>
      <c r="AD86" s="468"/>
      <c r="AE86" s="468"/>
      <c r="AF86" s="468"/>
      <c r="AG86" s="468"/>
      <c r="AH86" s="666"/>
      <c r="AI86" s="667"/>
      <c r="AJ86" s="668"/>
      <c r="AK86" s="669"/>
      <c r="AL86" s="670"/>
      <c r="AM86" s="733"/>
      <c r="AN86" s="736"/>
      <c r="AO86" s="620"/>
      <c r="AP86" s="652"/>
      <c r="AQ86" s="652"/>
    </row>
    <row r="87" spans="1:44" s="374" customFormat="1" ht="51" customHeight="1" x14ac:dyDescent="0.2">
      <c r="A87" s="647"/>
      <c r="B87" s="369">
        <v>2</v>
      </c>
      <c r="C87" s="369">
        <v>0</v>
      </c>
      <c r="D87" s="369">
        <v>4</v>
      </c>
      <c r="E87" s="369">
        <v>41</v>
      </c>
      <c r="F87" s="369">
        <v>13</v>
      </c>
      <c r="G87" s="369"/>
      <c r="H87" s="369">
        <v>10</v>
      </c>
      <c r="I87" s="369" t="s">
        <v>440</v>
      </c>
      <c r="J87" s="422" t="s">
        <v>1767</v>
      </c>
      <c r="K87" s="716"/>
      <c r="L87" s="716"/>
      <c r="M87" s="716"/>
      <c r="N87" s="434"/>
      <c r="O87" s="434">
        <v>338800</v>
      </c>
      <c r="P87" s="434"/>
      <c r="Q87" s="434">
        <f>SUM(N87+O87-P87)</f>
        <v>338800</v>
      </c>
      <c r="R87" s="434"/>
      <c r="S87" s="434"/>
      <c r="T87" s="434"/>
      <c r="U87" s="434"/>
      <c r="V87" s="434">
        <v>338800</v>
      </c>
      <c r="W87" s="434"/>
      <c r="X87" s="439">
        <f>SUM(U87)</f>
        <v>0</v>
      </c>
      <c r="Y87" s="468"/>
      <c r="Z87" s="434">
        <f>SUM(Q87-R87-T87-V87-W87-X87-Y87)</f>
        <v>0</v>
      </c>
      <c r="AA87" s="434"/>
      <c r="AB87" s="434"/>
      <c r="AC87" s="434">
        <f>SUM(AA87-AB87)</f>
        <v>0</v>
      </c>
      <c r="AD87" s="468">
        <f>SUM(Z87-AB87)</f>
        <v>0</v>
      </c>
      <c r="AE87" s="468"/>
      <c r="AF87" s="439">
        <f>SUM(AD87-AE87)</f>
        <v>0</v>
      </c>
      <c r="AG87" s="468"/>
      <c r="AH87" s="666" t="e">
        <f>AB87/(AB87+AE87+AF87)</f>
        <v>#DIV/0!</v>
      </c>
      <c r="AI87" s="667"/>
      <c r="AJ87" s="668"/>
      <c r="AK87" s="669" t="e">
        <f>SUM(AD87-AE87-#REF!-#REF!)</f>
        <v>#REF!</v>
      </c>
      <c r="AL87" s="670">
        <f t="shared" ref="AL87:AL92" si="44">SUM(Q87-(AD87+X87))/Q87</f>
        <v>1</v>
      </c>
      <c r="AM87" s="733"/>
      <c r="AN87" s="736"/>
      <c r="AO87" s="620"/>
      <c r="AP87" s="652"/>
      <c r="AQ87" s="652"/>
    </row>
    <row r="88" spans="1:44" s="374" customFormat="1" ht="51" customHeight="1" x14ac:dyDescent="0.2">
      <c r="A88" s="647"/>
      <c r="B88" s="385"/>
      <c r="C88" s="385"/>
      <c r="D88" s="385"/>
      <c r="E88" s="385"/>
      <c r="F88" s="385"/>
      <c r="G88" s="385"/>
      <c r="H88" s="386"/>
      <c r="I88" s="386"/>
      <c r="J88" s="421" t="s">
        <v>2896</v>
      </c>
      <c r="K88" s="387"/>
      <c r="L88" s="387"/>
      <c r="M88" s="387"/>
      <c r="N88" s="457">
        <f>SUM(N87)</f>
        <v>0</v>
      </c>
      <c r="O88" s="457">
        <f>SUM(O87)</f>
        <v>338800</v>
      </c>
      <c r="P88" s="457">
        <f>SUM(P87)</f>
        <v>0</v>
      </c>
      <c r="Q88" s="457">
        <f>SUM(Q87)</f>
        <v>338800</v>
      </c>
      <c r="R88" s="459"/>
      <c r="S88" s="459"/>
      <c r="T88" s="459"/>
      <c r="U88" s="459"/>
      <c r="V88" s="457">
        <f>SUM(V87)</f>
        <v>338800</v>
      </c>
      <c r="W88" s="457">
        <f t="shared" ref="W88:AF88" si="45">SUM(W87)</f>
        <v>0</v>
      </c>
      <c r="X88" s="470">
        <f t="shared" si="45"/>
        <v>0</v>
      </c>
      <c r="Y88" s="457">
        <f t="shared" si="45"/>
        <v>0</v>
      </c>
      <c r="Z88" s="457">
        <f t="shared" si="45"/>
        <v>0</v>
      </c>
      <c r="AA88" s="457">
        <f t="shared" si="45"/>
        <v>0</v>
      </c>
      <c r="AB88" s="457">
        <f t="shared" si="45"/>
        <v>0</v>
      </c>
      <c r="AC88" s="457">
        <f t="shared" si="45"/>
        <v>0</v>
      </c>
      <c r="AD88" s="457">
        <f t="shared" si="45"/>
        <v>0</v>
      </c>
      <c r="AE88" s="457">
        <f t="shared" si="45"/>
        <v>0</v>
      </c>
      <c r="AF88" s="457">
        <f t="shared" si="45"/>
        <v>0</v>
      </c>
      <c r="AG88" s="467"/>
      <c r="AH88" s="697"/>
      <c r="AI88" s="695"/>
      <c r="AJ88" s="695"/>
      <c r="AK88" s="696"/>
      <c r="AL88" s="675">
        <f t="shared" si="44"/>
        <v>1</v>
      </c>
      <c r="AM88" s="739"/>
      <c r="AN88" s="744"/>
      <c r="AO88" s="624"/>
      <c r="AP88" s="654"/>
      <c r="AQ88" s="654"/>
    </row>
    <row r="89" spans="1:44" s="376" customFormat="1" ht="29.25" customHeight="1" x14ac:dyDescent="0.2">
      <c r="A89" s="375"/>
      <c r="B89" s="369"/>
      <c r="C89" s="369"/>
      <c r="D89" s="369"/>
      <c r="E89" s="369"/>
      <c r="F89" s="369"/>
      <c r="G89" s="369"/>
      <c r="H89" s="369"/>
      <c r="I89" s="369"/>
      <c r="J89" s="422" t="s">
        <v>964</v>
      </c>
      <c r="K89" s="336"/>
      <c r="L89" s="336"/>
      <c r="M89" s="336"/>
      <c r="N89" s="341">
        <f>SUM(N22+N25+N36+N45+N51+N57+N70+N74+N80+N85+N86)</f>
        <v>1528404110</v>
      </c>
      <c r="O89" s="341">
        <f>SUM(O22+O25+O36+O45+O51+O57+O70+O74+O80+O85+O86)</f>
        <v>1041563860</v>
      </c>
      <c r="P89" s="341">
        <f>SUM(P22+P25+P36+P45+P51+P57+P70+P74+P80+P85+P86)</f>
        <v>124377422</v>
      </c>
      <c r="Q89" s="341">
        <f>SUM(Q22+Q25+Q36+Q45+Q51+Q57+Q70+Q74+Q80+Q85+Q86)</f>
        <v>2445590548</v>
      </c>
      <c r="R89" s="453">
        <f>SUM(R22+R25+R36+R45+R51+R57+R63+R70+R74+R80+R85)</f>
        <v>13400000</v>
      </c>
      <c r="S89" s="453">
        <f>SUM(S22+S25+S36+S45+S51+S57+S63+S70+S74+S80+S85)</f>
        <v>38707150</v>
      </c>
      <c r="T89" s="453">
        <f>SUM(T22+T25+T36+T45+T51+T57+T63+T70+T74+T80+T85)</f>
        <v>25894505</v>
      </c>
      <c r="U89" s="453">
        <f>SUM(U22+U25+U36+U45+U51+U57+U63+U70+U74+U80+U85)</f>
        <v>12812645</v>
      </c>
      <c r="V89" s="341">
        <f t="shared" ref="V89:AF89" si="46">SUM(V22+V25+V36+V45+V51+V57+V70+V74+V80+V85+V86)</f>
        <v>9900000</v>
      </c>
      <c r="W89" s="341">
        <f t="shared" si="46"/>
        <v>1027639825.5600001</v>
      </c>
      <c r="X89" s="341">
        <f t="shared" si="46"/>
        <v>12812645</v>
      </c>
      <c r="Y89" s="341">
        <f t="shared" si="46"/>
        <v>113876134.5</v>
      </c>
      <c r="Z89" s="341">
        <f t="shared" si="46"/>
        <v>1242067437.9400001</v>
      </c>
      <c r="AA89" s="341">
        <f t="shared" si="46"/>
        <v>1097315761</v>
      </c>
      <c r="AB89" s="341">
        <f t="shared" si="46"/>
        <v>367930700.43000001</v>
      </c>
      <c r="AC89" s="341">
        <f t="shared" si="46"/>
        <v>729385060.56999993</v>
      </c>
      <c r="AD89" s="341">
        <f t="shared" si="46"/>
        <v>874136737.50999999</v>
      </c>
      <c r="AE89" s="341">
        <f t="shared" si="46"/>
        <v>718322296</v>
      </c>
      <c r="AF89" s="341">
        <f t="shared" si="46"/>
        <v>155814441.50999993</v>
      </c>
      <c r="AG89" s="468"/>
      <c r="AH89" s="666">
        <f>AB89/(AB89+AE89+AF89)</f>
        <v>0.29622441518974385</v>
      </c>
      <c r="AI89" s="667"/>
      <c r="AJ89" s="668"/>
      <c r="AK89" s="669" t="e">
        <f>SUM(AD89-AE89-#REF!-#REF!)</f>
        <v>#REF!</v>
      </c>
      <c r="AL89" s="670">
        <f t="shared" si="44"/>
        <v>0.63732711379860962</v>
      </c>
      <c r="AM89" s="751"/>
      <c r="AN89" s="738"/>
      <c r="AO89" s="620"/>
      <c r="AP89" s="651"/>
      <c r="AQ89" s="651"/>
    </row>
    <row r="90" spans="1:44" s="376" customFormat="1" ht="30" x14ac:dyDescent="0.2">
      <c r="A90" s="375"/>
      <c r="B90" s="369"/>
      <c r="C90" s="369"/>
      <c r="D90" s="369"/>
      <c r="E90" s="369"/>
      <c r="F90" s="369"/>
      <c r="G90" s="369"/>
      <c r="H90" s="369"/>
      <c r="I90" s="369"/>
      <c r="J90" s="422" t="s">
        <v>965</v>
      </c>
      <c r="K90" s="336"/>
      <c r="L90" s="336"/>
      <c r="M90" s="336"/>
      <c r="N90" s="341">
        <f>SUM(N8)</f>
        <v>133850300</v>
      </c>
      <c r="O90" s="341">
        <f>SUM(O8)</f>
        <v>1338503</v>
      </c>
      <c r="P90" s="341">
        <f>SUM(P8)</f>
        <v>8031018</v>
      </c>
      <c r="Q90" s="341">
        <f>SUM(Q8)</f>
        <v>127157785</v>
      </c>
      <c r="R90" s="453"/>
      <c r="S90" s="453">
        <f t="shared" ref="S90:AF90" si="47">SUM(S8)</f>
        <v>0</v>
      </c>
      <c r="T90" s="453">
        <f t="shared" si="47"/>
        <v>0</v>
      </c>
      <c r="U90" s="453">
        <f t="shared" si="47"/>
        <v>0</v>
      </c>
      <c r="V90" s="341">
        <f t="shared" si="47"/>
        <v>1000000</v>
      </c>
      <c r="W90" s="341">
        <f t="shared" si="47"/>
        <v>0</v>
      </c>
      <c r="X90" s="341">
        <f t="shared" si="47"/>
        <v>0</v>
      </c>
      <c r="Y90" s="341">
        <f t="shared" si="47"/>
        <v>0</v>
      </c>
      <c r="Z90" s="341">
        <f t="shared" si="47"/>
        <v>126157785</v>
      </c>
      <c r="AA90" s="341">
        <f t="shared" si="47"/>
        <v>134930005</v>
      </c>
      <c r="AB90" s="341">
        <f t="shared" si="47"/>
        <v>118200004</v>
      </c>
      <c r="AC90" s="341">
        <f t="shared" si="47"/>
        <v>16730001</v>
      </c>
      <c r="AD90" s="341">
        <f t="shared" si="47"/>
        <v>7957781</v>
      </c>
      <c r="AE90" s="341">
        <f t="shared" si="47"/>
        <v>4467890</v>
      </c>
      <c r="AF90" s="341">
        <f t="shared" si="47"/>
        <v>3489891</v>
      </c>
      <c r="AG90" s="468"/>
      <c r="AH90" s="666">
        <f>AB90/(AB90+AE90+AF90)</f>
        <v>0.93692199811529664</v>
      </c>
      <c r="AI90" s="667"/>
      <c r="AJ90" s="668"/>
      <c r="AK90" s="669" t="e">
        <f>SUM(AD90-AE90-#REF!-#REF!)</f>
        <v>#REF!</v>
      </c>
      <c r="AL90" s="670">
        <f t="shared" si="44"/>
        <v>0.93741805898868091</v>
      </c>
      <c r="AM90" s="751"/>
      <c r="AN90" s="738"/>
      <c r="AO90" s="620"/>
      <c r="AP90" s="651"/>
      <c r="AQ90" s="651"/>
    </row>
    <row r="91" spans="1:44" s="376" customFormat="1" x14ac:dyDescent="0.2">
      <c r="A91" s="375"/>
      <c r="B91" s="369"/>
      <c r="C91" s="369"/>
      <c r="D91" s="369"/>
      <c r="E91" s="369"/>
      <c r="F91" s="369"/>
      <c r="G91" s="369"/>
      <c r="H91" s="369"/>
      <c r="I91" s="369"/>
      <c r="J91" s="422" t="s">
        <v>802</v>
      </c>
      <c r="K91" s="336"/>
      <c r="L91" s="336"/>
      <c r="M91" s="336"/>
      <c r="N91" s="341">
        <f>SUM(N13)</f>
        <v>29000000</v>
      </c>
      <c r="O91" s="341">
        <f>SUM(O13)</f>
        <v>8525000</v>
      </c>
      <c r="P91" s="341">
        <f>SUM(P13)</f>
        <v>1433000</v>
      </c>
      <c r="Q91" s="341">
        <f>SUM(Q13)</f>
        <v>36092000</v>
      </c>
      <c r="R91" s="453">
        <f>SUM(R13)</f>
        <v>0</v>
      </c>
      <c r="S91" s="453">
        <f t="shared" ref="S91:AF91" si="48">SUM(S13)</f>
        <v>0</v>
      </c>
      <c r="T91" s="453">
        <f t="shared" si="48"/>
        <v>0</v>
      </c>
      <c r="U91" s="453">
        <f t="shared" si="48"/>
        <v>0</v>
      </c>
      <c r="V91" s="341">
        <f t="shared" si="48"/>
        <v>35794000</v>
      </c>
      <c r="W91" s="341">
        <f t="shared" si="48"/>
        <v>0</v>
      </c>
      <c r="X91" s="341">
        <f t="shared" si="48"/>
        <v>0</v>
      </c>
      <c r="Y91" s="341">
        <f t="shared" si="48"/>
        <v>0</v>
      </c>
      <c r="Z91" s="341">
        <f t="shared" si="48"/>
        <v>0</v>
      </c>
      <c r="AA91" s="341">
        <f t="shared" si="48"/>
        <v>0</v>
      </c>
      <c r="AB91" s="341">
        <f t="shared" si="48"/>
        <v>0</v>
      </c>
      <c r="AC91" s="341">
        <f t="shared" si="48"/>
        <v>0</v>
      </c>
      <c r="AD91" s="341">
        <f t="shared" si="48"/>
        <v>0</v>
      </c>
      <c r="AE91" s="341">
        <f t="shared" si="48"/>
        <v>0</v>
      </c>
      <c r="AF91" s="341">
        <f t="shared" si="48"/>
        <v>0</v>
      </c>
      <c r="AG91" s="468"/>
      <c r="AH91" s="666" t="e">
        <f>AB91/(AB91+AE91+AF91)</f>
        <v>#DIV/0!</v>
      </c>
      <c r="AI91" s="667"/>
      <c r="AJ91" s="668"/>
      <c r="AK91" s="669" t="e">
        <f>SUM(AD91-AE91-#REF!-#REF!)</f>
        <v>#REF!</v>
      </c>
      <c r="AL91" s="670">
        <f t="shared" si="44"/>
        <v>1</v>
      </c>
      <c r="AM91" s="751"/>
      <c r="AN91" s="738"/>
      <c r="AO91" s="620"/>
      <c r="AP91" s="651"/>
      <c r="AQ91" s="651"/>
    </row>
    <row r="92" spans="1:44" s="376" customFormat="1" x14ac:dyDescent="0.2">
      <c r="A92" s="375"/>
      <c r="B92" s="369"/>
      <c r="C92" s="369"/>
      <c r="D92" s="369"/>
      <c r="E92" s="369"/>
      <c r="F92" s="369"/>
      <c r="G92" s="369"/>
      <c r="H92" s="369"/>
      <c r="I92" s="369"/>
      <c r="J92" s="422" t="s">
        <v>1004</v>
      </c>
      <c r="K92" s="336"/>
      <c r="L92" s="336"/>
      <c r="M92" s="336"/>
      <c r="N92" s="341">
        <f>SUM(N89:N91)</f>
        <v>1691254410</v>
      </c>
      <c r="O92" s="341">
        <f>SUM(O89:O91)</f>
        <v>1051427363</v>
      </c>
      <c r="P92" s="341">
        <f>SUM(P89:P91)</f>
        <v>133841440</v>
      </c>
      <c r="Q92" s="341">
        <f>SUM(Q89:Q91)</f>
        <v>2608840333</v>
      </c>
      <c r="R92" s="453"/>
      <c r="S92" s="453">
        <f t="shared" ref="S92:AE92" si="49">SUM(S89:S91)</f>
        <v>38707150</v>
      </c>
      <c r="T92" s="453">
        <f t="shared" si="49"/>
        <v>25894505</v>
      </c>
      <c r="U92" s="453">
        <f t="shared" si="49"/>
        <v>12812645</v>
      </c>
      <c r="V92" s="341">
        <f t="shared" si="49"/>
        <v>46694000</v>
      </c>
      <c r="W92" s="341">
        <f t="shared" si="49"/>
        <v>1027639825.5600001</v>
      </c>
      <c r="X92" s="341">
        <f t="shared" si="49"/>
        <v>12812645</v>
      </c>
      <c r="Y92" s="341">
        <f t="shared" si="49"/>
        <v>113876134.5</v>
      </c>
      <c r="Z92" s="341">
        <f t="shared" si="49"/>
        <v>1368225222.9400001</v>
      </c>
      <c r="AA92" s="341">
        <f t="shared" si="49"/>
        <v>1232245766</v>
      </c>
      <c r="AB92" s="341">
        <f t="shared" si="49"/>
        <v>486130704.43000001</v>
      </c>
      <c r="AC92" s="341">
        <f t="shared" si="49"/>
        <v>746115061.56999993</v>
      </c>
      <c r="AD92" s="341">
        <f t="shared" si="49"/>
        <v>882094518.50999999</v>
      </c>
      <c r="AE92" s="341">
        <f t="shared" si="49"/>
        <v>722790186</v>
      </c>
      <c r="AF92" s="341">
        <f>SUM(AD92-AE92)</f>
        <v>159304332.50999999</v>
      </c>
      <c r="AG92" s="468"/>
      <c r="AH92" s="666">
        <f>AB92/(AB92+AE92+AF92)</f>
        <v>0.355300206632222</v>
      </c>
      <c r="AI92" s="667"/>
      <c r="AJ92" s="668"/>
      <c r="AK92" s="669" t="e">
        <f>SUM(AD92-AE92-#REF!-#REF!)</f>
        <v>#REF!</v>
      </c>
      <c r="AL92" s="670">
        <f t="shared" si="44"/>
        <v>0.65697127869802829</v>
      </c>
      <c r="AM92" s="751"/>
      <c r="AN92" s="738"/>
      <c r="AO92" s="622"/>
      <c r="AP92" s="651"/>
      <c r="AQ92" s="651"/>
    </row>
    <row r="93" spans="1:44" s="376" customFormat="1" ht="15" customHeight="1" x14ac:dyDescent="0.25">
      <c r="A93" s="382"/>
      <c r="B93" s="895" t="s">
        <v>1422</v>
      </c>
      <c r="C93" s="896"/>
      <c r="D93" s="896"/>
      <c r="E93" s="896"/>
      <c r="F93" s="896"/>
      <c r="G93" s="896"/>
      <c r="H93" s="896"/>
      <c r="I93" s="897"/>
      <c r="J93" s="421"/>
      <c r="K93" s="387"/>
      <c r="L93" s="387"/>
      <c r="M93" s="891" t="s">
        <v>809</v>
      </c>
      <c r="N93" s="457"/>
      <c r="O93" s="457"/>
      <c r="P93" s="457"/>
      <c r="Q93" s="457">
        <f>SUM(N89+O89-P89)</f>
        <v>2445590548</v>
      </c>
      <c r="R93" s="469"/>
      <c r="S93" s="469"/>
      <c r="T93" s="469"/>
      <c r="U93" s="469">
        <f>SUM(S92-T92)</f>
        <v>12812645</v>
      </c>
      <c r="V93" s="470">
        <f>SUM(V92)</f>
        <v>46694000</v>
      </c>
      <c r="W93" s="457"/>
      <c r="X93" s="776"/>
      <c r="Y93" s="471"/>
      <c r="Z93" s="457">
        <f>SUM(Q89-R89-T89-V89-W89-X89-Y89)</f>
        <v>1242067437.9400001</v>
      </c>
      <c r="AA93" s="470"/>
      <c r="AB93" s="457"/>
      <c r="AC93" s="457">
        <f>SUM(AA92-AB92)</f>
        <v>746115061.56999993</v>
      </c>
      <c r="AD93" s="471">
        <f>SUM(Z89-AB89)</f>
        <v>874136737.50999999</v>
      </c>
      <c r="AE93" s="471">
        <f>SUM(AE8+AE22+AE36+AE45+AE51+AE57+AE70+AE80+AE85)</f>
        <v>722790186</v>
      </c>
      <c r="AF93" s="471">
        <f>SUM(AF86:AF91)</f>
        <v>159304332.50999993</v>
      </c>
      <c r="AG93" s="472"/>
      <c r="AH93" s="473"/>
      <c r="AI93" s="370"/>
      <c r="AJ93" s="371"/>
      <c r="AK93" s="391" t="e">
        <f>SUM(AD93-AE93-#REF!-#REF!)</f>
        <v>#REF!</v>
      </c>
      <c r="AL93" s="473"/>
      <c r="AM93" s="733"/>
      <c r="AN93" s="738"/>
      <c r="AO93" s="626"/>
      <c r="AP93" s="651"/>
      <c r="AQ93" s="651"/>
    </row>
    <row r="94" spans="1:44" s="376" customFormat="1" ht="17.25" customHeight="1" x14ac:dyDescent="0.25">
      <c r="A94" s="382"/>
      <c r="B94" s="898"/>
      <c r="C94" s="899"/>
      <c r="D94" s="899"/>
      <c r="E94" s="899"/>
      <c r="F94" s="899"/>
      <c r="G94" s="899"/>
      <c r="H94" s="899"/>
      <c r="I94" s="900"/>
      <c r="J94" s="421"/>
      <c r="K94" s="387"/>
      <c r="L94" s="387"/>
      <c r="M94" s="891"/>
      <c r="N94" s="457"/>
      <c r="O94" s="457"/>
      <c r="P94" s="457"/>
      <c r="Q94" s="457">
        <f>SUM(N90+O90-P90)</f>
        <v>127157785</v>
      </c>
      <c r="R94" s="469"/>
      <c r="S94" s="469"/>
      <c r="T94" s="469"/>
      <c r="U94" s="469"/>
      <c r="V94" s="470"/>
      <c r="W94" s="457"/>
      <c r="X94" s="777"/>
      <c r="Y94" s="475"/>
      <c r="Z94" s="457">
        <f>SUM(Q90-R90-T90-V90-W90-X90-Y90)</f>
        <v>126157785</v>
      </c>
      <c r="AA94" s="470"/>
      <c r="AB94" s="457"/>
      <c r="AC94" s="457"/>
      <c r="AD94" s="471">
        <f>SUM(Z90-AB90)</f>
        <v>7957781</v>
      </c>
      <c r="AE94" s="474"/>
      <c r="AF94" s="475"/>
      <c r="AG94" s="476"/>
      <c r="AH94" s="477"/>
      <c r="AI94" s="372"/>
      <c r="AJ94" s="371"/>
      <c r="AK94" s="391" t="e">
        <f>SUM(AD94-AE94-#REF!-#REF!)</f>
        <v>#REF!</v>
      </c>
      <c r="AL94" s="399"/>
      <c r="AM94" s="752"/>
      <c r="AN94" s="738"/>
      <c r="AO94" s="371"/>
      <c r="AP94" s="651"/>
      <c r="AQ94" s="651"/>
    </row>
    <row r="95" spans="1:44" s="376" customFormat="1" ht="17.25" customHeight="1" x14ac:dyDescent="0.25">
      <c r="A95" s="382"/>
      <c r="B95" s="901"/>
      <c r="C95" s="902"/>
      <c r="D95" s="902"/>
      <c r="E95" s="902"/>
      <c r="F95" s="902"/>
      <c r="G95" s="902"/>
      <c r="H95" s="902"/>
      <c r="I95" s="903"/>
      <c r="J95" s="421"/>
      <c r="K95" s="387"/>
      <c r="L95" s="387"/>
      <c r="M95" s="891"/>
      <c r="N95" s="457"/>
      <c r="O95" s="457"/>
      <c r="P95" s="457">
        <f>SUM(N92+O92-P92)</f>
        <v>2608840333</v>
      </c>
      <c r="Q95" s="457">
        <f>SUM(N91+O91-P91)</f>
        <v>36092000</v>
      </c>
      <c r="R95" s="469"/>
      <c r="S95" s="469"/>
      <c r="T95" s="469"/>
      <c r="U95" s="469"/>
      <c r="V95" s="470"/>
      <c r="W95" s="457"/>
      <c r="X95" s="777"/>
      <c r="Y95" s="475"/>
      <c r="Z95" s="457">
        <f>SUM(Q91-R91-T91-V91-W91-X91-Y91)</f>
        <v>298000</v>
      </c>
      <c r="AA95" s="470"/>
      <c r="AB95" s="457"/>
      <c r="AC95" s="457"/>
      <c r="AD95" s="471">
        <f>SUM(Z91-AB91)</f>
        <v>0</v>
      </c>
      <c r="AE95" s="474" t="e">
        <f>SUM(Z91-AB91-#REF!)</f>
        <v>#REF!</v>
      </c>
      <c r="AF95" s="475"/>
      <c r="AG95" s="476"/>
      <c r="AH95" s="477"/>
      <c r="AI95" s="372"/>
      <c r="AJ95" s="371"/>
      <c r="AK95" s="391" t="e">
        <f>SUM(AD95-AE95-#REF!-#REF!)</f>
        <v>#REF!</v>
      </c>
      <c r="AL95" s="399"/>
      <c r="AM95" s="752"/>
      <c r="AN95" s="738"/>
      <c r="AO95" s="371"/>
      <c r="AP95" s="651"/>
      <c r="AQ95" s="651"/>
    </row>
    <row r="96" spans="1:44" s="334" customFormat="1" ht="30" x14ac:dyDescent="0.4">
      <c r="A96" s="352"/>
      <c r="B96" s="359"/>
      <c r="C96" s="359"/>
      <c r="D96" s="359"/>
      <c r="E96" s="359"/>
      <c r="F96" s="359"/>
      <c r="G96" s="359"/>
      <c r="H96" s="359"/>
      <c r="I96" s="359"/>
      <c r="J96" s="423" t="s">
        <v>479</v>
      </c>
      <c r="K96" s="360"/>
      <c r="L96" s="360"/>
      <c r="M96" s="360"/>
      <c r="N96" s="361">
        <f t="shared" ref="N96:V96" si="50">SUM(N13+N89)</f>
        <v>1557404110</v>
      </c>
      <c r="O96" s="361">
        <f t="shared" si="50"/>
        <v>1050088860</v>
      </c>
      <c r="P96" s="361">
        <f t="shared" si="50"/>
        <v>125810422</v>
      </c>
      <c r="Q96" s="361">
        <f t="shared" si="50"/>
        <v>2481682548</v>
      </c>
      <c r="R96" s="361">
        <f t="shared" si="50"/>
        <v>13400000</v>
      </c>
      <c r="S96" s="361">
        <f t="shared" si="50"/>
        <v>38707150</v>
      </c>
      <c r="T96" s="361">
        <f t="shared" si="50"/>
        <v>25894505</v>
      </c>
      <c r="U96" s="361">
        <f t="shared" si="50"/>
        <v>12812645</v>
      </c>
      <c r="V96" s="361">
        <f t="shared" si="50"/>
        <v>45694000</v>
      </c>
      <c r="W96" s="361">
        <f t="shared" ref="W96:AB96" si="51">SUM(W13+W89)</f>
        <v>1027639825.5600001</v>
      </c>
      <c r="X96" s="361">
        <f t="shared" si="51"/>
        <v>12812645</v>
      </c>
      <c r="Y96" s="361">
        <f t="shared" si="51"/>
        <v>113876134.5</v>
      </c>
      <c r="Z96" s="361">
        <f>SUM(Z13+Z89)</f>
        <v>1242067437.9400001</v>
      </c>
      <c r="AA96" s="361">
        <f t="shared" si="51"/>
        <v>1097315761</v>
      </c>
      <c r="AB96" s="361">
        <f t="shared" si="51"/>
        <v>367930700.43000001</v>
      </c>
      <c r="AC96" s="361"/>
      <c r="AD96" s="362">
        <f>SUM(Z96-AB96)</f>
        <v>874136737.50999999</v>
      </c>
      <c r="AE96" s="361">
        <f>SUM(AE13+AE89)</f>
        <v>718322296</v>
      </c>
      <c r="AF96" s="361">
        <f>SUM(AF13+AF89)</f>
        <v>155814441.50999993</v>
      </c>
      <c r="AG96" s="358"/>
      <c r="AH96" s="753">
        <f>AB96/(AB96+AE96+AF96)</f>
        <v>0.29622441518974385</v>
      </c>
      <c r="AI96" s="754"/>
      <c r="AJ96" s="755"/>
      <c r="AK96" s="756" t="e">
        <f>SUM(AD96-AE96-#REF!-#REF!)</f>
        <v>#REF!</v>
      </c>
      <c r="AL96" s="757">
        <f>SUM(Q96-(AD96+X96))/Q96</f>
        <v>0.64260159575011044</v>
      </c>
      <c r="AM96" s="720"/>
      <c r="AN96" s="758"/>
      <c r="AO96" s="627" t="s">
        <v>2899</v>
      </c>
      <c r="AP96" s="656">
        <f>SUM(AP6:AP95)</f>
        <v>70290453</v>
      </c>
      <c r="AQ96" s="656">
        <f>SUM(AQ6:AQ95)</f>
        <v>56690705</v>
      </c>
      <c r="AR96" s="661">
        <f>SUM(AQ96-AP96)</f>
        <v>-13599748</v>
      </c>
    </row>
    <row r="97" spans="1:43" s="55" customFormat="1" ht="57.75" customHeight="1" x14ac:dyDescent="0.25">
      <c r="A97" s="640"/>
      <c r="B97" s="886" t="s">
        <v>456</v>
      </c>
      <c r="C97" s="887"/>
      <c r="D97" s="887"/>
      <c r="E97" s="887"/>
      <c r="F97" s="887"/>
      <c r="G97" s="887"/>
      <c r="H97" s="887"/>
      <c r="I97" s="887"/>
      <c r="J97" s="887"/>
      <c r="K97" s="336"/>
      <c r="L97" s="336"/>
      <c r="M97" s="336"/>
      <c r="N97" s="341"/>
      <c r="O97" s="341"/>
      <c r="P97" s="341"/>
      <c r="Q97" s="341"/>
      <c r="R97" s="341"/>
      <c r="S97" s="341"/>
      <c r="T97" s="341"/>
      <c r="U97" s="341"/>
      <c r="V97" s="341"/>
      <c r="W97" s="341"/>
      <c r="X97" s="358"/>
      <c r="Y97" s="358"/>
      <c r="Z97" s="341"/>
      <c r="AA97" s="341"/>
      <c r="AB97" s="341"/>
      <c r="AC97" s="341"/>
      <c r="AD97" s="358"/>
      <c r="AE97" s="358"/>
      <c r="AF97" s="358"/>
      <c r="AG97" s="358"/>
      <c r="AH97" s="401"/>
      <c r="AI97" s="358"/>
      <c r="AJ97" s="641"/>
      <c r="AK97" s="392"/>
      <c r="AL97" s="642"/>
      <c r="AM97" s="720"/>
      <c r="AN97" s="466"/>
      <c r="AO97" s="643"/>
      <c r="AP97" s="652"/>
      <c r="AQ97" s="652"/>
    </row>
    <row r="98" spans="1:43" ht="40.5" customHeight="1" x14ac:dyDescent="0.25">
      <c r="A98" s="346" t="s">
        <v>460</v>
      </c>
      <c r="B98" s="330" t="s">
        <v>458</v>
      </c>
      <c r="C98" s="330" t="s">
        <v>459</v>
      </c>
      <c r="D98" s="330" t="s">
        <v>458</v>
      </c>
      <c r="E98" s="330" t="s">
        <v>457</v>
      </c>
      <c r="F98" s="330"/>
      <c r="G98" s="330" t="s">
        <v>442</v>
      </c>
      <c r="H98" s="330" t="s">
        <v>441</v>
      </c>
      <c r="I98" s="330" t="s">
        <v>440</v>
      </c>
      <c r="J98" s="418" t="s">
        <v>456</v>
      </c>
      <c r="K98" s="363"/>
      <c r="L98" s="363"/>
      <c r="M98" s="363"/>
      <c r="N98" s="478">
        <v>1174750619</v>
      </c>
      <c r="O98" s="478">
        <v>0</v>
      </c>
      <c r="P98" s="478">
        <v>1174750619</v>
      </c>
      <c r="Q98" s="478">
        <f>SUM(N98+O98-P98)</f>
        <v>0</v>
      </c>
      <c r="R98" s="478"/>
      <c r="S98" s="341"/>
      <c r="T98" s="341"/>
      <c r="U98" s="341"/>
      <c r="V98" s="341"/>
      <c r="W98" s="341"/>
      <c r="X98" s="358"/>
      <c r="Y98" s="358"/>
      <c r="Z98" s="434">
        <f>SUM(Q98-R98-T98-V98-W98-X98-Y98)</f>
        <v>0</v>
      </c>
      <c r="AA98" s="341"/>
      <c r="AB98" s="341"/>
      <c r="AC98" s="341"/>
      <c r="AD98" s="358"/>
      <c r="AE98" s="358"/>
      <c r="AF98" s="358"/>
      <c r="AG98" s="358"/>
      <c r="AH98" s="401"/>
      <c r="AI98" s="358"/>
      <c r="AJ98" s="113"/>
      <c r="AK98" s="392" t="e">
        <f>SUM(AD98-AE98-#REF!-#REF!)</f>
        <v>#REF!</v>
      </c>
      <c r="AL98" s="403"/>
      <c r="AN98" s="52"/>
      <c r="AO98" s="78"/>
      <c r="AP98" s="651"/>
      <c r="AQ98" s="651"/>
    </row>
    <row r="99" spans="1:43" s="334" customFormat="1" ht="28.5" customHeight="1" x14ac:dyDescent="0.25">
      <c r="A99" s="352"/>
      <c r="B99" s="359"/>
      <c r="C99" s="359"/>
      <c r="D99" s="359"/>
      <c r="E99" s="359"/>
      <c r="F99" s="359"/>
      <c r="G99" s="359"/>
      <c r="H99" s="359"/>
      <c r="I99" s="364">
        <f>SUBTOTAL(9,Q101:Q108)</f>
        <v>12195120000</v>
      </c>
      <c r="J99" s="423" t="s">
        <v>482</v>
      </c>
      <c r="K99" s="360"/>
      <c r="L99" s="360"/>
      <c r="M99" s="360"/>
      <c r="N99" s="361">
        <f>SUM(N98:N98)</f>
        <v>1174750619</v>
      </c>
      <c r="O99" s="361">
        <f>SUM(O98:O98)</f>
        <v>0</v>
      </c>
      <c r="P99" s="361">
        <f>SUM(P98:P98)</f>
        <v>1174750619</v>
      </c>
      <c r="Q99" s="361">
        <f>SUM(Q98:Q98)</f>
        <v>0</v>
      </c>
      <c r="R99" s="361"/>
      <c r="S99" s="361"/>
      <c r="T99" s="361">
        <f>SUM(T98:T98)</f>
        <v>0</v>
      </c>
      <c r="U99" s="361"/>
      <c r="V99" s="361">
        <f>SUM(V98:V98)</f>
        <v>0</v>
      </c>
      <c r="W99" s="361"/>
      <c r="X99" s="362"/>
      <c r="Y99" s="362"/>
      <c r="Z99" s="361">
        <f>SUM(Z98:Z98)</f>
        <v>0</v>
      </c>
      <c r="AA99" s="361">
        <f>SUM(AA98:AA98)</f>
        <v>0</v>
      </c>
      <c r="AB99" s="361"/>
      <c r="AC99" s="361"/>
      <c r="AD99" s="362">
        <f t="shared" si="35"/>
        <v>0</v>
      </c>
      <c r="AE99" s="362"/>
      <c r="AF99" s="362"/>
      <c r="AG99" s="358"/>
      <c r="AH99" s="400"/>
      <c r="AI99" s="362"/>
      <c r="AJ99" s="338"/>
      <c r="AK99" s="392" t="e">
        <f>SUM(AD99-AE99-#REF!-#REF!)</f>
        <v>#REF!</v>
      </c>
      <c r="AL99" s="404"/>
      <c r="AM99" s="720"/>
      <c r="AN99" s="758"/>
      <c r="AO99" s="627"/>
      <c r="AP99" s="656"/>
      <c r="AQ99" s="656"/>
    </row>
    <row r="100" spans="1:43" s="334" customFormat="1" ht="28.5" customHeight="1" x14ac:dyDescent="0.25">
      <c r="A100" s="352"/>
      <c r="B100" s="892" t="s">
        <v>1833</v>
      </c>
      <c r="C100" s="893"/>
      <c r="D100" s="893"/>
      <c r="E100" s="893"/>
      <c r="F100" s="893"/>
      <c r="G100" s="893"/>
      <c r="H100" s="893"/>
      <c r="I100" s="893"/>
      <c r="J100" s="894"/>
      <c r="K100" s="360"/>
      <c r="L100" s="360"/>
      <c r="M100" s="360"/>
      <c r="N100" s="361"/>
      <c r="O100" s="361"/>
      <c r="P100" s="361"/>
      <c r="Q100" s="361"/>
      <c r="R100" s="361"/>
      <c r="S100" s="361"/>
      <c r="T100" s="361"/>
      <c r="U100" s="361"/>
      <c r="V100" s="361"/>
      <c r="W100" s="361"/>
      <c r="X100" s="362"/>
      <c r="Y100" s="362"/>
      <c r="Z100" s="361"/>
      <c r="AA100" s="361"/>
      <c r="AB100" s="361"/>
      <c r="AC100" s="361"/>
      <c r="AD100" s="362"/>
      <c r="AE100" s="362"/>
      <c r="AF100" s="362"/>
      <c r="AG100" s="358"/>
      <c r="AH100" s="400"/>
      <c r="AI100" s="362"/>
      <c r="AJ100" s="338"/>
      <c r="AK100" s="392"/>
      <c r="AL100" s="404"/>
      <c r="AM100" s="720"/>
      <c r="AN100" s="758"/>
      <c r="AO100" s="627"/>
      <c r="AP100" s="656"/>
      <c r="AQ100" s="656"/>
    </row>
    <row r="101" spans="1:43" ht="60" x14ac:dyDescent="0.25">
      <c r="A101" s="346" t="s">
        <v>446</v>
      </c>
      <c r="B101" s="343" t="s">
        <v>455</v>
      </c>
      <c r="C101" s="343" t="s">
        <v>449</v>
      </c>
      <c r="D101" s="343" t="s">
        <v>443</v>
      </c>
      <c r="E101" s="343" t="s">
        <v>438</v>
      </c>
      <c r="F101" s="343" t="s">
        <v>438</v>
      </c>
      <c r="G101" s="343" t="s">
        <v>442</v>
      </c>
      <c r="H101" s="343" t="s">
        <v>441</v>
      </c>
      <c r="I101" s="343" t="s">
        <v>440</v>
      </c>
      <c r="J101" s="793" t="s">
        <v>429</v>
      </c>
      <c r="K101" s="365"/>
      <c r="L101" s="365"/>
      <c r="M101" s="365"/>
      <c r="N101" s="341">
        <v>800000000</v>
      </c>
      <c r="O101" s="341">
        <v>0</v>
      </c>
      <c r="P101" s="341">
        <v>8000000</v>
      </c>
      <c r="Q101" s="341">
        <f>SUM(N101+O101-P101)</f>
        <v>792000000</v>
      </c>
      <c r="R101" s="341"/>
      <c r="S101" s="341"/>
      <c r="T101" s="341"/>
      <c r="U101" s="341"/>
      <c r="V101" s="341"/>
      <c r="W101" s="341"/>
      <c r="X101" s="439">
        <f t="shared" ref="X101:X109" si="52">SUM(U101)</f>
        <v>0</v>
      </c>
      <c r="Y101" s="358"/>
      <c r="Z101" s="434">
        <f t="shared" ref="Z101:Z109" si="53">SUM(Q101-R101-T101-V101-W101-X101-Y101)</f>
        <v>792000000</v>
      </c>
      <c r="AA101" s="341">
        <v>732000000</v>
      </c>
      <c r="AB101" s="341">
        <v>0</v>
      </c>
      <c r="AC101" s="341">
        <f t="shared" ref="AC101:AC109" si="54">SUM(AA101-AB101)</f>
        <v>732000000</v>
      </c>
      <c r="AD101" s="358">
        <f t="shared" si="35"/>
        <v>792000000</v>
      </c>
      <c r="AE101" s="358">
        <v>732000000</v>
      </c>
      <c r="AF101" s="479">
        <f t="shared" ref="AF101:AF109" si="55">SUM(AD101-AE101)</f>
        <v>60000000</v>
      </c>
      <c r="AG101" s="479"/>
      <c r="AH101" s="666">
        <f t="shared" ref="AH101:AH110" si="56">AB101/(AB101+AE101+AF101)</f>
        <v>0</v>
      </c>
      <c r="AI101" s="667"/>
      <c r="AJ101" s="668"/>
      <c r="AK101" s="669" t="e">
        <f>SUM(AD101-AE101-#REF!-#REF!)</f>
        <v>#REF!</v>
      </c>
      <c r="AL101" s="670">
        <f t="shared" ref="AL101:AL110" si="57">SUM(Q101-(AD101+X101))/Q101</f>
        <v>0</v>
      </c>
      <c r="AM101" s="759"/>
      <c r="AN101" s="52"/>
      <c r="AO101" s="620"/>
      <c r="AP101" s="651"/>
      <c r="AQ101" s="651"/>
    </row>
    <row r="102" spans="1:43" ht="90" x14ac:dyDescent="0.25">
      <c r="A102" s="346" t="s">
        <v>446</v>
      </c>
      <c r="B102" s="343" t="s">
        <v>451</v>
      </c>
      <c r="C102" s="343" t="s">
        <v>449</v>
      </c>
      <c r="D102" s="343" t="s">
        <v>454</v>
      </c>
      <c r="E102" s="343" t="s">
        <v>438</v>
      </c>
      <c r="F102" s="343" t="s">
        <v>438</v>
      </c>
      <c r="G102" s="343" t="s">
        <v>442</v>
      </c>
      <c r="H102" s="343" t="s">
        <v>441</v>
      </c>
      <c r="I102" s="343" t="s">
        <v>440</v>
      </c>
      <c r="J102" s="793" t="s">
        <v>452</v>
      </c>
      <c r="K102" s="357"/>
      <c r="L102" s="357"/>
      <c r="M102" s="357"/>
      <c r="N102" s="341">
        <v>2904153000</v>
      </c>
      <c r="O102" s="341">
        <v>0</v>
      </c>
      <c r="P102" s="341">
        <v>0</v>
      </c>
      <c r="Q102" s="341">
        <f t="shared" ref="Q102:Q109" si="58">SUM(N102+O102-P102)</f>
        <v>2904153000</v>
      </c>
      <c r="R102" s="341"/>
      <c r="S102" s="341"/>
      <c r="T102" s="341"/>
      <c r="U102" s="341"/>
      <c r="V102" s="341">
        <v>2554721905</v>
      </c>
      <c r="W102" s="341"/>
      <c r="X102" s="439">
        <f t="shared" si="52"/>
        <v>0</v>
      </c>
      <c r="Y102" s="358"/>
      <c r="Z102" s="434">
        <f t="shared" si="53"/>
        <v>349431095</v>
      </c>
      <c r="AA102" s="341">
        <v>339060000</v>
      </c>
      <c r="AB102" s="341">
        <v>349400000</v>
      </c>
      <c r="AC102" s="341">
        <f t="shared" si="54"/>
        <v>-10340000</v>
      </c>
      <c r="AD102" s="358">
        <f t="shared" si="35"/>
        <v>31095</v>
      </c>
      <c r="AE102" s="358">
        <v>0</v>
      </c>
      <c r="AF102" s="479">
        <f t="shared" si="55"/>
        <v>31095</v>
      </c>
      <c r="AG102" s="479"/>
      <c r="AH102" s="785">
        <f t="shared" si="56"/>
        <v>0.99991101249875891</v>
      </c>
      <c r="AI102" s="786"/>
      <c r="AJ102" s="787"/>
      <c r="AK102" s="788" t="e">
        <f>SUM(AD102-AE102-#REF!-#REF!)</f>
        <v>#REF!</v>
      </c>
      <c r="AL102" s="789">
        <f t="shared" si="57"/>
        <v>0.99998929291948457</v>
      </c>
      <c r="AM102" s="760"/>
      <c r="AN102" s="52"/>
      <c r="AO102" s="628"/>
      <c r="AP102" s="651"/>
      <c r="AQ102" s="651"/>
    </row>
    <row r="103" spans="1:43" ht="87" customHeight="1" x14ac:dyDescent="0.25">
      <c r="A103" s="346" t="s">
        <v>446</v>
      </c>
      <c r="B103" s="343" t="s">
        <v>451</v>
      </c>
      <c r="C103" s="343" t="s">
        <v>449</v>
      </c>
      <c r="D103" s="343" t="s">
        <v>454</v>
      </c>
      <c r="E103" s="343"/>
      <c r="F103" s="343"/>
      <c r="G103" s="343" t="s">
        <v>442</v>
      </c>
      <c r="H103" s="343">
        <v>11</v>
      </c>
      <c r="I103" s="343" t="s">
        <v>188</v>
      </c>
      <c r="J103" s="794" t="s">
        <v>452</v>
      </c>
      <c r="K103" s="365"/>
      <c r="L103" s="365"/>
      <c r="M103" s="365"/>
      <c r="N103" s="341">
        <v>3000000000</v>
      </c>
      <c r="O103" s="341"/>
      <c r="P103" s="341"/>
      <c r="Q103" s="341">
        <f t="shared" si="58"/>
        <v>3000000000</v>
      </c>
      <c r="R103" s="341"/>
      <c r="S103" s="341"/>
      <c r="T103" s="341"/>
      <c r="U103" s="341"/>
      <c r="V103" s="341">
        <v>15000000</v>
      </c>
      <c r="W103" s="341"/>
      <c r="X103" s="439">
        <f t="shared" si="52"/>
        <v>0</v>
      </c>
      <c r="Y103" s="358"/>
      <c r="Z103" s="434">
        <f t="shared" si="53"/>
        <v>2985000000</v>
      </c>
      <c r="AA103" s="341">
        <v>2984216500</v>
      </c>
      <c r="AB103" s="341">
        <v>2401788000</v>
      </c>
      <c r="AC103" s="341">
        <f t="shared" si="54"/>
        <v>582428500</v>
      </c>
      <c r="AD103" s="358">
        <f t="shared" si="35"/>
        <v>583212000</v>
      </c>
      <c r="AE103" s="358">
        <v>508065000</v>
      </c>
      <c r="AF103" s="479">
        <f t="shared" si="55"/>
        <v>75147000</v>
      </c>
      <c r="AG103" s="479"/>
      <c r="AH103" s="666">
        <f t="shared" si="56"/>
        <v>0.80461909547738697</v>
      </c>
      <c r="AI103" s="667"/>
      <c r="AJ103" s="668"/>
      <c r="AK103" s="669" t="e">
        <f>SUM(AD103-AE103-#REF!-#REF!)</f>
        <v>#REF!</v>
      </c>
      <c r="AL103" s="670">
        <f t="shared" si="57"/>
        <v>0.80559599999999998</v>
      </c>
      <c r="AM103" s="759"/>
      <c r="AN103" s="52"/>
      <c r="AO103" s="629"/>
      <c r="AP103" s="651"/>
      <c r="AQ103" s="651"/>
    </row>
    <row r="104" spans="1:43" ht="85.5" x14ac:dyDescent="0.25">
      <c r="A104" s="346" t="s">
        <v>446</v>
      </c>
      <c r="B104" s="343" t="s">
        <v>451</v>
      </c>
      <c r="C104" s="343" t="s">
        <v>449</v>
      </c>
      <c r="D104" s="343" t="s">
        <v>454</v>
      </c>
      <c r="E104" s="343" t="s">
        <v>438</v>
      </c>
      <c r="F104" s="343" t="s">
        <v>438</v>
      </c>
      <c r="G104" s="343" t="s">
        <v>442</v>
      </c>
      <c r="H104" s="343" t="s">
        <v>453</v>
      </c>
      <c r="I104" s="343" t="s">
        <v>188</v>
      </c>
      <c r="J104" s="794" t="s">
        <v>452</v>
      </c>
      <c r="K104" s="365"/>
      <c r="L104" s="365"/>
      <c r="M104" s="365"/>
      <c r="N104" s="341">
        <v>288000000</v>
      </c>
      <c r="O104" s="341">
        <v>0</v>
      </c>
      <c r="P104" s="341">
        <v>0</v>
      </c>
      <c r="Q104" s="341">
        <f t="shared" si="58"/>
        <v>288000000</v>
      </c>
      <c r="R104" s="341"/>
      <c r="S104" s="341"/>
      <c r="T104" s="341"/>
      <c r="U104" s="341"/>
      <c r="V104" s="341">
        <f>3315000+35560000</f>
        <v>38875000</v>
      </c>
      <c r="W104" s="341"/>
      <c r="X104" s="439">
        <f t="shared" si="52"/>
        <v>0</v>
      </c>
      <c r="Y104" s="358"/>
      <c r="Z104" s="434">
        <f t="shared" si="53"/>
        <v>249125000</v>
      </c>
      <c r="AA104" s="341">
        <v>242126500</v>
      </c>
      <c r="AB104" s="341">
        <v>190063654</v>
      </c>
      <c r="AC104" s="341">
        <f t="shared" si="54"/>
        <v>52062846</v>
      </c>
      <c r="AD104" s="358">
        <f t="shared" si="35"/>
        <v>59061346</v>
      </c>
      <c r="AE104" s="358">
        <v>52062846</v>
      </c>
      <c r="AF104" s="479">
        <f t="shared" si="55"/>
        <v>6998500</v>
      </c>
      <c r="AG104" s="479"/>
      <c r="AH104" s="666">
        <f t="shared" si="56"/>
        <v>0.7629248529854491</v>
      </c>
      <c r="AI104" s="667"/>
      <c r="AJ104" s="668"/>
      <c r="AK104" s="669" t="e">
        <f>SUM(AD104-AE104-#REF!-#REF!)</f>
        <v>#REF!</v>
      </c>
      <c r="AL104" s="670">
        <f t="shared" si="57"/>
        <v>0.79492588194444447</v>
      </c>
      <c r="AM104" s="759"/>
      <c r="AN104" s="52"/>
      <c r="AO104" s="629"/>
      <c r="AP104" s="651"/>
      <c r="AQ104" s="651"/>
    </row>
    <row r="105" spans="1:43" ht="42.75" x14ac:dyDescent="0.25">
      <c r="A105" s="346" t="s">
        <v>446</v>
      </c>
      <c r="B105" s="343" t="s">
        <v>451</v>
      </c>
      <c r="C105" s="343" t="s">
        <v>449</v>
      </c>
      <c r="D105" s="343" t="s">
        <v>450</v>
      </c>
      <c r="E105" s="343" t="s">
        <v>438</v>
      </c>
      <c r="F105" s="343" t="s">
        <v>438</v>
      </c>
      <c r="G105" s="343" t="s">
        <v>442</v>
      </c>
      <c r="H105" s="343" t="s">
        <v>441</v>
      </c>
      <c r="I105" s="343" t="s">
        <v>440</v>
      </c>
      <c r="J105" s="794" t="s">
        <v>430</v>
      </c>
      <c r="K105" s="365"/>
      <c r="L105" s="365"/>
      <c r="M105" s="365"/>
      <c r="N105" s="341">
        <v>45847000</v>
      </c>
      <c r="O105" s="341">
        <v>0</v>
      </c>
      <c r="P105" s="341">
        <v>458470</v>
      </c>
      <c r="Q105" s="341">
        <f t="shared" si="58"/>
        <v>45388530</v>
      </c>
      <c r="R105" s="341"/>
      <c r="S105" s="341"/>
      <c r="T105" s="341"/>
      <c r="U105" s="341"/>
      <c r="V105" s="761"/>
      <c r="W105" s="341"/>
      <c r="X105" s="439">
        <f t="shared" si="52"/>
        <v>0</v>
      </c>
      <c r="Y105" s="358"/>
      <c r="Z105" s="434">
        <f t="shared" si="53"/>
        <v>45388530</v>
      </c>
      <c r="AA105" s="341">
        <v>45300000</v>
      </c>
      <c r="AB105" s="341">
        <v>8000000</v>
      </c>
      <c r="AC105" s="341">
        <f t="shared" si="54"/>
        <v>37300000</v>
      </c>
      <c r="AD105" s="358">
        <f t="shared" si="35"/>
        <v>37388530</v>
      </c>
      <c r="AE105" s="358">
        <v>37300000</v>
      </c>
      <c r="AF105" s="479">
        <f t="shared" si="55"/>
        <v>88530</v>
      </c>
      <c r="AG105" s="479"/>
      <c r="AH105" s="666">
        <f t="shared" si="56"/>
        <v>0.17625598361524375</v>
      </c>
      <c r="AI105" s="667"/>
      <c r="AJ105" s="668"/>
      <c r="AK105" s="669" t="e">
        <f>SUM(AD105-AE105-#REF!-#REF!)</f>
        <v>#REF!</v>
      </c>
      <c r="AL105" s="670">
        <f t="shared" si="57"/>
        <v>0.17625598361524375</v>
      </c>
      <c r="AM105" s="759"/>
      <c r="AN105" s="52"/>
      <c r="AO105" s="629"/>
      <c r="AP105" s="651"/>
      <c r="AQ105" s="651"/>
    </row>
    <row r="106" spans="1:43" ht="98.25" customHeight="1" x14ac:dyDescent="0.25">
      <c r="A106" s="346" t="s">
        <v>446</v>
      </c>
      <c r="B106" s="343" t="s">
        <v>445</v>
      </c>
      <c r="C106" s="343" t="s">
        <v>449</v>
      </c>
      <c r="D106" s="343" t="s">
        <v>441</v>
      </c>
      <c r="E106" s="343" t="s">
        <v>438</v>
      </c>
      <c r="F106" s="343" t="s">
        <v>438</v>
      </c>
      <c r="G106" s="343" t="s">
        <v>442</v>
      </c>
      <c r="H106" s="343" t="s">
        <v>441</v>
      </c>
      <c r="I106" s="343" t="s">
        <v>440</v>
      </c>
      <c r="J106" s="794" t="s">
        <v>350</v>
      </c>
      <c r="K106" s="365"/>
      <c r="L106" s="365"/>
      <c r="M106" s="365"/>
      <c r="N106" s="341">
        <v>3000000000</v>
      </c>
      <c r="O106" s="341">
        <v>0</v>
      </c>
      <c r="P106" s="341">
        <v>30000000</v>
      </c>
      <c r="Q106" s="341">
        <f t="shared" si="58"/>
        <v>2970000000</v>
      </c>
      <c r="R106" s="341"/>
      <c r="S106" s="341"/>
      <c r="T106" s="341"/>
      <c r="U106" s="341"/>
      <c r="V106" s="341">
        <v>1261923632.72</v>
      </c>
      <c r="W106" s="341"/>
      <c r="X106" s="439">
        <f t="shared" si="52"/>
        <v>0</v>
      </c>
      <c r="Y106" s="358"/>
      <c r="Z106" s="434">
        <f t="shared" si="53"/>
        <v>1708076367.28</v>
      </c>
      <c r="AA106" s="341">
        <v>1708076367.2800002</v>
      </c>
      <c r="AB106" s="341">
        <v>1392862544</v>
      </c>
      <c r="AC106" s="341">
        <f t="shared" si="54"/>
        <v>315213823.28000021</v>
      </c>
      <c r="AD106" s="358">
        <f t="shared" si="35"/>
        <v>315213823.27999997</v>
      </c>
      <c r="AE106" s="358">
        <v>280990888</v>
      </c>
      <c r="AF106" s="479">
        <f t="shared" si="55"/>
        <v>34222935.279999971</v>
      </c>
      <c r="AG106" s="479"/>
      <c r="AH106" s="666">
        <f t="shared" si="56"/>
        <v>0.81545683242374145</v>
      </c>
      <c r="AI106" s="667"/>
      <c r="AJ106" s="668"/>
      <c r="AK106" s="669" t="e">
        <f>SUM(AD106-AE106-#REF!-#REF!)</f>
        <v>#REF!</v>
      </c>
      <c r="AL106" s="670">
        <f t="shared" si="57"/>
        <v>0.89386739956902361</v>
      </c>
      <c r="AM106" s="759"/>
      <c r="AN106" s="52"/>
      <c r="AO106" s="629"/>
      <c r="AP106" s="651"/>
      <c r="AQ106" s="651"/>
    </row>
    <row r="107" spans="1:43" ht="85.5" x14ac:dyDescent="0.25">
      <c r="A107" s="346" t="s">
        <v>446</v>
      </c>
      <c r="B107" s="343" t="s">
        <v>445</v>
      </c>
      <c r="C107" s="343" t="s">
        <v>449</v>
      </c>
      <c r="D107" s="343" t="s">
        <v>448</v>
      </c>
      <c r="E107" s="343" t="s">
        <v>438</v>
      </c>
      <c r="F107" s="343" t="s">
        <v>438</v>
      </c>
      <c r="G107" s="343" t="s">
        <v>442</v>
      </c>
      <c r="H107" s="343" t="s">
        <v>441</v>
      </c>
      <c r="I107" s="343" t="s">
        <v>440</v>
      </c>
      <c r="J107" s="794" t="s">
        <v>447</v>
      </c>
      <c r="K107" s="365"/>
      <c r="L107" s="365"/>
      <c r="M107" s="365"/>
      <c r="N107" s="341">
        <v>1000000000</v>
      </c>
      <c r="O107" s="341">
        <v>0</v>
      </c>
      <c r="P107" s="341">
        <v>41921530</v>
      </c>
      <c r="Q107" s="341">
        <f t="shared" si="58"/>
        <v>958078470</v>
      </c>
      <c r="R107" s="341"/>
      <c r="S107" s="341"/>
      <c r="T107" s="341"/>
      <c r="U107" s="341"/>
      <c r="V107" s="341"/>
      <c r="W107" s="341"/>
      <c r="X107" s="439">
        <f t="shared" si="52"/>
        <v>0</v>
      </c>
      <c r="Y107" s="358"/>
      <c r="Z107" s="434">
        <f t="shared" si="53"/>
        <v>958078470</v>
      </c>
      <c r="AA107" s="341">
        <v>938100000</v>
      </c>
      <c r="AB107" s="341">
        <v>850000000</v>
      </c>
      <c r="AC107" s="341">
        <f t="shared" si="54"/>
        <v>88100000</v>
      </c>
      <c r="AD107" s="358">
        <f t="shared" si="35"/>
        <v>108078470</v>
      </c>
      <c r="AE107" s="358">
        <v>88100000</v>
      </c>
      <c r="AF107" s="479">
        <f t="shared" si="55"/>
        <v>19978470</v>
      </c>
      <c r="AG107" s="479"/>
      <c r="AH107" s="666">
        <f t="shared" si="56"/>
        <v>0.88719246556078024</v>
      </c>
      <c r="AI107" s="667"/>
      <c r="AJ107" s="668"/>
      <c r="AK107" s="669" t="e">
        <f>SUM(AD107-AE107-#REF!-#REF!)</f>
        <v>#REF!</v>
      </c>
      <c r="AL107" s="670">
        <f t="shared" si="57"/>
        <v>0.88719246556078024</v>
      </c>
      <c r="AM107" s="759"/>
      <c r="AN107" s="762"/>
      <c r="AO107" s="629"/>
      <c r="AP107" s="651"/>
      <c r="AQ107" s="651"/>
    </row>
    <row r="108" spans="1:43" ht="60" x14ac:dyDescent="0.25">
      <c r="A108" s="346" t="s">
        <v>446</v>
      </c>
      <c r="B108" s="343" t="s">
        <v>445</v>
      </c>
      <c r="C108" s="343" t="s">
        <v>444</v>
      </c>
      <c r="D108" s="343" t="s">
        <v>443</v>
      </c>
      <c r="E108" s="343" t="s">
        <v>438</v>
      </c>
      <c r="F108" s="343" t="s">
        <v>438</v>
      </c>
      <c r="G108" s="343" t="s">
        <v>442</v>
      </c>
      <c r="H108" s="343" t="s">
        <v>441</v>
      </c>
      <c r="I108" s="343" t="s">
        <v>440</v>
      </c>
      <c r="J108" s="793" t="s">
        <v>439</v>
      </c>
      <c r="K108" s="365"/>
      <c r="L108" s="365"/>
      <c r="M108" s="365"/>
      <c r="N108" s="341">
        <v>1250000000</v>
      </c>
      <c r="O108" s="341">
        <v>0</v>
      </c>
      <c r="P108" s="341">
        <v>12500000</v>
      </c>
      <c r="Q108" s="341">
        <f t="shared" si="58"/>
        <v>1237500000</v>
      </c>
      <c r="R108" s="341"/>
      <c r="S108" s="341"/>
      <c r="T108" s="341"/>
      <c r="U108" s="341"/>
      <c r="V108" s="341">
        <v>76906732</v>
      </c>
      <c r="W108" s="341"/>
      <c r="X108" s="439">
        <f t="shared" si="52"/>
        <v>0</v>
      </c>
      <c r="Y108" s="358"/>
      <c r="Z108" s="434">
        <f t="shared" si="53"/>
        <v>1160593268</v>
      </c>
      <c r="AA108" s="341">
        <v>1068001000</v>
      </c>
      <c r="AB108" s="341">
        <v>1060661000</v>
      </c>
      <c r="AC108" s="341">
        <f t="shared" si="54"/>
        <v>7340000</v>
      </c>
      <c r="AD108" s="358">
        <f t="shared" si="35"/>
        <v>99932268</v>
      </c>
      <c r="AE108" s="358">
        <v>0</v>
      </c>
      <c r="AF108" s="479">
        <f t="shared" si="55"/>
        <v>99932268</v>
      </c>
      <c r="AG108" s="479"/>
      <c r="AH108" s="666">
        <f t="shared" si="56"/>
        <v>0.91389553019533798</v>
      </c>
      <c r="AI108" s="667"/>
      <c r="AJ108" s="668"/>
      <c r="AK108" s="669" t="e">
        <f>SUM(AD108-AE108-#REF!-#REF!)</f>
        <v>#REF!</v>
      </c>
      <c r="AL108" s="670">
        <f t="shared" si="57"/>
        <v>0.91924665212121215</v>
      </c>
      <c r="AM108" s="759"/>
      <c r="AN108" s="762"/>
      <c r="AO108" s="629"/>
      <c r="AP108" s="651"/>
      <c r="AQ108" s="651"/>
    </row>
    <row r="109" spans="1:43" ht="109.5" customHeight="1" x14ac:dyDescent="0.25">
      <c r="A109" s="346" t="s">
        <v>446</v>
      </c>
      <c r="B109" s="343" t="s">
        <v>445</v>
      </c>
      <c r="C109" s="343">
        <v>1000</v>
      </c>
      <c r="D109" s="343">
        <v>10</v>
      </c>
      <c r="E109" s="343" t="s">
        <v>438</v>
      </c>
      <c r="F109" s="343" t="s">
        <v>438</v>
      </c>
      <c r="G109" s="343" t="s">
        <v>442</v>
      </c>
      <c r="H109" s="343" t="s">
        <v>448</v>
      </c>
      <c r="I109" s="343" t="s">
        <v>188</v>
      </c>
      <c r="J109" s="794" t="s">
        <v>350</v>
      </c>
      <c r="K109" s="365"/>
      <c r="L109" s="365"/>
      <c r="M109" s="365"/>
      <c r="N109" s="341">
        <v>3000000000</v>
      </c>
      <c r="O109" s="341"/>
      <c r="P109" s="341"/>
      <c r="Q109" s="341">
        <f t="shared" si="58"/>
        <v>3000000000</v>
      </c>
      <c r="R109" s="341"/>
      <c r="S109" s="341"/>
      <c r="T109" s="341"/>
      <c r="U109" s="341"/>
      <c r="V109" s="341"/>
      <c r="W109" s="341"/>
      <c r="X109" s="439">
        <f t="shared" si="52"/>
        <v>0</v>
      </c>
      <c r="Y109" s="358"/>
      <c r="Z109" s="434">
        <f t="shared" si="53"/>
        <v>3000000000</v>
      </c>
      <c r="AA109" s="341">
        <v>3004311658.0009999</v>
      </c>
      <c r="AB109" s="341">
        <v>201594671.13999999</v>
      </c>
      <c r="AC109" s="341">
        <f t="shared" si="54"/>
        <v>2802716986.8610001</v>
      </c>
      <c r="AD109" s="358">
        <f t="shared" si="35"/>
        <v>2798405328.8600001</v>
      </c>
      <c r="AE109" s="358">
        <v>2782008812.0009999</v>
      </c>
      <c r="AF109" s="439">
        <f t="shared" si="55"/>
        <v>16396516.859000206</v>
      </c>
      <c r="AG109" s="479"/>
      <c r="AH109" s="666">
        <f t="shared" si="56"/>
        <v>6.7198223713333324E-2</v>
      </c>
      <c r="AI109" s="667"/>
      <c r="AJ109" s="668"/>
      <c r="AK109" s="669" t="e">
        <f>SUM(AD109-AE109-#REF!-#REF!)</f>
        <v>#REF!</v>
      </c>
      <c r="AL109" s="670">
        <f t="shared" si="57"/>
        <v>6.7198223713333283E-2</v>
      </c>
      <c r="AM109" s="759"/>
      <c r="AN109" s="52"/>
      <c r="AO109" s="629"/>
      <c r="AP109" s="651"/>
      <c r="AQ109" s="651"/>
    </row>
    <row r="110" spans="1:43" s="339" customFormat="1" ht="53.25" customHeight="1" x14ac:dyDescent="0.2">
      <c r="A110" s="352"/>
      <c r="B110" s="359"/>
      <c r="C110" s="359"/>
      <c r="D110" s="359"/>
      <c r="E110" s="359"/>
      <c r="F110" s="359"/>
      <c r="G110" s="359"/>
      <c r="H110" s="359"/>
      <c r="I110" s="359"/>
      <c r="J110" s="423" t="s">
        <v>483</v>
      </c>
      <c r="K110" s="360"/>
      <c r="L110" s="360"/>
      <c r="M110" s="360"/>
      <c r="N110" s="361">
        <f t="shared" ref="N110:V110" si="59">SUM(N101:N109)</f>
        <v>15288000000</v>
      </c>
      <c r="O110" s="361">
        <f t="shared" si="59"/>
        <v>0</v>
      </c>
      <c r="P110" s="361">
        <f t="shared" si="59"/>
        <v>92880000</v>
      </c>
      <c r="Q110" s="361">
        <f t="shared" si="59"/>
        <v>15195120000</v>
      </c>
      <c r="R110" s="361"/>
      <c r="S110" s="361"/>
      <c r="T110" s="361">
        <f t="shared" si="59"/>
        <v>0</v>
      </c>
      <c r="U110" s="361"/>
      <c r="V110" s="361">
        <f t="shared" si="59"/>
        <v>3947427269.7200003</v>
      </c>
      <c r="W110" s="361">
        <f>SUM(W101:W109)</f>
        <v>0</v>
      </c>
      <c r="X110" s="362">
        <f t="shared" ref="X110:AF110" si="60">SUM(X101:X109)</f>
        <v>0</v>
      </c>
      <c r="Y110" s="362">
        <f t="shared" si="60"/>
        <v>0</v>
      </c>
      <c r="Z110" s="361">
        <f t="shared" si="60"/>
        <v>11247692730.279999</v>
      </c>
      <c r="AA110" s="361">
        <f t="shared" si="60"/>
        <v>11061192025.281</v>
      </c>
      <c r="AB110" s="361">
        <f t="shared" si="60"/>
        <v>6454369869.1400003</v>
      </c>
      <c r="AC110" s="361">
        <f t="shared" si="60"/>
        <v>4606822156.1410007</v>
      </c>
      <c r="AD110" s="362">
        <f t="shared" si="60"/>
        <v>4793322861.1400003</v>
      </c>
      <c r="AE110" s="362">
        <f t="shared" si="60"/>
        <v>4480527546.0009995</v>
      </c>
      <c r="AF110" s="362">
        <f t="shared" si="60"/>
        <v>312795315.13900018</v>
      </c>
      <c r="AG110" s="358"/>
      <c r="AH110" s="753">
        <f t="shared" si="56"/>
        <v>0.57383945524793212</v>
      </c>
      <c r="AI110" s="754"/>
      <c r="AJ110" s="755"/>
      <c r="AK110" s="756" t="e">
        <f>SUM(AD110-AE110-#REF!-#REF!)</f>
        <v>#REF!</v>
      </c>
      <c r="AL110" s="757">
        <f t="shared" si="57"/>
        <v>0.68454853524421</v>
      </c>
      <c r="AM110" s="759"/>
      <c r="AN110" s="763"/>
      <c r="AO110" s="630"/>
      <c r="AP110" s="656"/>
      <c r="AQ110" s="656"/>
    </row>
    <row r="111" spans="1:43" s="51" customFormat="1" x14ac:dyDescent="0.25">
      <c r="A111" s="353" t="s">
        <v>438</v>
      </c>
      <c r="B111" s="366" t="s">
        <v>438</v>
      </c>
      <c r="C111" s="366" t="s">
        <v>438</v>
      </c>
      <c r="D111" s="366" t="s">
        <v>438</v>
      </c>
      <c r="E111" s="366" t="s">
        <v>438</v>
      </c>
      <c r="F111" s="366" t="s">
        <v>438</v>
      </c>
      <c r="G111" s="366" t="s">
        <v>438</v>
      </c>
      <c r="H111" s="366" t="s">
        <v>438</v>
      </c>
      <c r="I111" s="366" t="s">
        <v>438</v>
      </c>
      <c r="J111" s="424"/>
      <c r="K111" s="363"/>
      <c r="L111" s="363"/>
      <c r="M111" s="363"/>
      <c r="N111" s="478"/>
      <c r="O111" s="478"/>
      <c r="P111" s="54"/>
      <c r="Q111" s="54"/>
      <c r="R111" s="54"/>
      <c r="S111" s="54"/>
      <c r="T111" s="54"/>
      <c r="U111" s="54"/>
      <c r="V111" s="54"/>
      <c r="W111" s="54"/>
      <c r="X111" s="484" t="s">
        <v>2909</v>
      </c>
      <c r="Y111" s="482"/>
      <c r="Z111" s="54"/>
      <c r="AA111" s="54"/>
      <c r="AB111" s="54"/>
      <c r="AC111" s="480">
        <f>SUM(Z110-AB110)</f>
        <v>4793322861.1399984</v>
      </c>
      <c r="AD111" s="481">
        <f>SUM(Z110-AB110)</f>
        <v>4793322861.1399984</v>
      </c>
      <c r="AE111" s="482"/>
      <c r="AF111" s="482">
        <f>SUM(AD110-AE110)</f>
        <v>312795315.13900089</v>
      </c>
      <c r="AG111" s="483"/>
      <c r="AH111" s="484"/>
      <c r="AI111" s="367"/>
      <c r="AJ111" s="114"/>
      <c r="AK111" s="393"/>
      <c r="AL111" s="405"/>
      <c r="AM111" s="764"/>
      <c r="AO111" s="765"/>
      <c r="AP111" s="651"/>
      <c r="AQ111" s="651"/>
    </row>
    <row r="112" spans="1:43" s="51" customFormat="1" ht="27.75" customHeight="1" x14ac:dyDescent="0.25">
      <c r="A112" s="46"/>
      <c r="B112" s="46"/>
      <c r="C112" s="46"/>
      <c r="D112" s="46"/>
      <c r="E112" s="46"/>
      <c r="F112" s="46"/>
      <c r="G112" s="46"/>
      <c r="H112" s="46"/>
      <c r="I112" s="46"/>
      <c r="J112" s="425"/>
      <c r="K112" s="46"/>
      <c r="L112" s="46"/>
      <c r="M112" s="75"/>
      <c r="N112" s="97"/>
      <c r="O112" s="97"/>
      <c r="P112" s="97"/>
      <c r="Q112" s="96" t="e">
        <f>SUM(#REF!+Q14+Q98+Q108)</f>
        <v>#REF!</v>
      </c>
      <c r="R112" s="96"/>
      <c r="S112" s="96"/>
      <c r="T112" s="98"/>
      <c r="U112" s="98"/>
      <c r="V112" s="98"/>
      <c r="W112" s="97"/>
      <c r="X112" s="797"/>
      <c r="Y112" s="797"/>
      <c r="Z112" s="97"/>
      <c r="AA112" s="99"/>
      <c r="AB112" s="99"/>
      <c r="AC112" s="99"/>
      <c r="AD112" s="797"/>
      <c r="AE112" s="797"/>
      <c r="AF112" s="797"/>
      <c r="AG112" s="100"/>
      <c r="AH112" s="798"/>
      <c r="AI112" s="797"/>
      <c r="AJ112" s="799"/>
      <c r="AL112" s="406"/>
      <c r="AM112" s="764"/>
      <c r="AP112" s="650"/>
      <c r="AQ112" s="650"/>
    </row>
    <row r="113" spans="1:43" s="51" customFormat="1" ht="66" customHeight="1" x14ac:dyDescent="0.25">
      <c r="A113" s="46"/>
      <c r="B113" s="46"/>
      <c r="C113" s="46"/>
      <c r="D113" s="46"/>
      <c r="E113" s="46"/>
      <c r="F113" s="46"/>
      <c r="G113" s="46"/>
      <c r="H113" s="46"/>
      <c r="I113" s="46"/>
      <c r="J113" s="425"/>
      <c r="K113" s="46"/>
      <c r="L113" s="46"/>
      <c r="M113" s="75"/>
      <c r="N113" s="97"/>
      <c r="O113" s="97"/>
      <c r="P113" s="97"/>
      <c r="Q113" s="96"/>
      <c r="R113" s="96"/>
      <c r="S113" s="96"/>
      <c r="T113" s="98"/>
      <c r="U113" s="98"/>
      <c r="V113" s="98"/>
      <c r="W113" s="913" t="s">
        <v>2966</v>
      </c>
      <c r="X113" s="913"/>
      <c r="Y113" s="913"/>
      <c r="Z113" s="913"/>
      <c r="AA113" s="913"/>
      <c r="AB113" s="913"/>
      <c r="AC113" s="913"/>
      <c r="AD113" s="913"/>
      <c r="AE113" s="913"/>
      <c r="AF113" s="913"/>
      <c r="AG113" s="913"/>
      <c r="AH113" s="913"/>
      <c r="AI113" s="913"/>
      <c r="AJ113" s="913"/>
      <c r="AK113" s="913"/>
      <c r="AL113" s="913"/>
      <c r="AM113" s="764"/>
      <c r="AP113" s="650"/>
      <c r="AQ113" s="650"/>
    </row>
    <row r="114" spans="1:43" s="51" customFormat="1" ht="81.75" customHeight="1" x14ac:dyDescent="0.25">
      <c r="A114" s="46"/>
      <c r="B114" s="46"/>
      <c r="C114" s="46"/>
      <c r="D114" s="46"/>
      <c r="E114" s="46"/>
      <c r="F114" s="46"/>
      <c r="G114" s="46"/>
      <c r="H114" s="46"/>
      <c r="I114" s="46"/>
      <c r="J114" s="425" t="s">
        <v>437</v>
      </c>
      <c r="K114" s="46"/>
      <c r="L114" s="46"/>
      <c r="M114" s="75"/>
      <c r="N114" s="97"/>
      <c r="O114" s="97"/>
      <c r="P114" s="96">
        <f>SUM(N111+O111-P111)</f>
        <v>0</v>
      </c>
      <c r="Q114" s="96"/>
      <c r="R114" s="96"/>
      <c r="S114" s="96"/>
      <c r="T114" s="97"/>
      <c r="U114" s="97"/>
      <c r="V114" s="97"/>
      <c r="W114" s="910" t="s">
        <v>2963</v>
      </c>
      <c r="X114" s="911"/>
      <c r="Y114" s="912"/>
      <c r="Z114" s="800" t="s">
        <v>804</v>
      </c>
      <c r="AA114" s="801" t="s">
        <v>836</v>
      </c>
      <c r="AB114" s="802" t="s">
        <v>833</v>
      </c>
      <c r="AC114" s="803" t="s">
        <v>834</v>
      </c>
      <c r="AD114" s="345" t="s">
        <v>1527</v>
      </c>
      <c r="AE114" s="345" t="s">
        <v>1785</v>
      </c>
      <c r="AF114" s="345" t="s">
        <v>1531</v>
      </c>
      <c r="AG114" s="342"/>
      <c r="AH114" s="433" t="s">
        <v>2967</v>
      </c>
      <c r="AI114" s="433" t="s">
        <v>1528</v>
      </c>
      <c r="AJ114" s="433" t="s">
        <v>1528</v>
      </c>
      <c r="AK114" s="433" t="s">
        <v>1528</v>
      </c>
      <c r="AL114" s="433" t="s">
        <v>1765</v>
      </c>
      <c r="AM114" s="764"/>
      <c r="AP114" s="650"/>
      <c r="AQ114" s="650"/>
    </row>
    <row r="115" spans="1:43" s="51" customFormat="1" ht="60.75" customHeight="1" x14ac:dyDescent="0.25">
      <c r="A115" s="46"/>
      <c r="B115" s="46"/>
      <c r="C115" s="46"/>
      <c r="D115" s="46"/>
      <c r="E115" s="46"/>
      <c r="F115" s="46"/>
      <c r="G115" s="46"/>
      <c r="H115" s="46"/>
      <c r="I115" s="46"/>
      <c r="J115" s="426" t="s">
        <v>538</v>
      </c>
      <c r="K115" s="53"/>
      <c r="L115" s="53"/>
      <c r="M115" s="76"/>
      <c r="N115" s="397"/>
      <c r="O115" s="397"/>
      <c r="P115" s="397"/>
      <c r="Q115" s="719" t="s">
        <v>465</v>
      </c>
      <c r="R115" s="430"/>
      <c r="S115" s="430"/>
      <c r="T115" s="100"/>
      <c r="U115" s="104"/>
      <c r="V115" s="104"/>
      <c r="W115" s="905" t="s">
        <v>539</v>
      </c>
      <c r="X115" s="905"/>
      <c r="Y115" s="905"/>
      <c r="Z115" s="766">
        <f>SUM(Z92)</f>
        <v>1368225222.9400001</v>
      </c>
      <c r="AA115" s="766">
        <f>SUM(AA92)</f>
        <v>1232245766</v>
      </c>
      <c r="AB115" s="766">
        <f>SUM(AB92)</f>
        <v>486130704.43000001</v>
      </c>
      <c r="AC115" s="766">
        <f>SUM(AC92)</f>
        <v>746115061.56999993</v>
      </c>
      <c r="AD115" s="401">
        <f>SUM(Z115-AB115)</f>
        <v>882094518.50999999</v>
      </c>
      <c r="AE115" s="766">
        <f>SUM(AE92)</f>
        <v>722790186</v>
      </c>
      <c r="AF115" s="766">
        <f>SUM(AF92)</f>
        <v>159304332.50999999</v>
      </c>
      <c r="AG115" s="101"/>
      <c r="AH115" s="767">
        <f>AB115/(AB115+AE115+AF115)</f>
        <v>0.355300206632222</v>
      </c>
      <c r="AI115" s="768"/>
      <c r="AJ115" s="769"/>
      <c r="AK115" s="770"/>
      <c r="AL115" s="771">
        <f>SUM(AL96)</f>
        <v>0.64260159575011044</v>
      </c>
      <c r="AM115" s="772"/>
      <c r="AP115" s="650"/>
      <c r="AQ115" s="650"/>
    </row>
    <row r="116" spans="1:43" s="51" customFormat="1" ht="45" customHeight="1" x14ac:dyDescent="0.25">
      <c r="A116" s="46"/>
      <c r="B116" s="46"/>
      <c r="C116" s="46"/>
      <c r="D116" s="46"/>
      <c r="E116" s="46"/>
      <c r="F116" s="46"/>
      <c r="G116" s="46"/>
      <c r="H116" s="46"/>
      <c r="I116" s="46"/>
      <c r="J116" s="427" t="s">
        <v>808</v>
      </c>
      <c r="K116" s="48"/>
      <c r="L116" s="48"/>
      <c r="M116" s="48"/>
      <c r="N116" s="54">
        <f>SUM(N90)</f>
        <v>133850300</v>
      </c>
      <c r="O116" s="54">
        <f>SUM(O90)</f>
        <v>1338503</v>
      </c>
      <c r="P116" s="54">
        <f>SUM(P90)</f>
        <v>8031018</v>
      </c>
      <c r="Q116" s="54">
        <f>SUM(N116+O116-P116)</f>
        <v>127157785</v>
      </c>
      <c r="R116" s="139"/>
      <c r="S116" s="139"/>
      <c r="T116" s="108" t="s">
        <v>811</v>
      </c>
      <c r="U116" s="144"/>
      <c r="V116" s="102"/>
      <c r="W116" s="906" t="s">
        <v>540</v>
      </c>
      <c r="X116" s="906"/>
      <c r="Y116" s="906"/>
      <c r="Z116" s="766">
        <f>SUM(Z110)</f>
        <v>11247692730.279999</v>
      </c>
      <c r="AA116" s="766">
        <f>SUM(AA110)</f>
        <v>11061192025.281</v>
      </c>
      <c r="AB116" s="766">
        <f>SUM(AB110)</f>
        <v>6454369869.1400003</v>
      </c>
      <c r="AC116" s="766">
        <f>SUM(AC110)</f>
        <v>4606822156.1410007</v>
      </c>
      <c r="AD116" s="401">
        <f>SUM(Z116-AB116)</f>
        <v>4793322861.1399984</v>
      </c>
      <c r="AE116" s="766">
        <f>SUM(AE110)</f>
        <v>4480527546.0009995</v>
      </c>
      <c r="AF116" s="766">
        <f>SUM(AF110)</f>
        <v>312795315.13900018</v>
      </c>
      <c r="AG116" s="119"/>
      <c r="AH116" s="767">
        <f>AB116/(AB116+AE116+AF116)</f>
        <v>0.57383945524793212</v>
      </c>
      <c r="AI116" s="768"/>
      <c r="AJ116" s="769"/>
      <c r="AK116" s="770"/>
      <c r="AL116" s="771">
        <f>SUM(AL110)</f>
        <v>0.68454853524421</v>
      </c>
      <c r="AM116" s="772"/>
      <c r="AP116" s="650"/>
      <c r="AQ116" s="650"/>
    </row>
    <row r="117" spans="1:43" s="51" customFormat="1" ht="45.75" customHeight="1" x14ac:dyDescent="0.25">
      <c r="A117" s="46"/>
      <c r="B117" s="46"/>
      <c r="C117" s="46"/>
      <c r="D117" s="46"/>
      <c r="E117" s="46"/>
      <c r="F117" s="46"/>
      <c r="G117" s="46"/>
      <c r="H117" s="46"/>
      <c r="I117" s="46"/>
      <c r="J117" s="428" t="s">
        <v>436</v>
      </c>
      <c r="K117" s="48"/>
      <c r="L117" s="48"/>
      <c r="M117" s="48"/>
      <c r="N117" s="54">
        <f>SUM(N89+N91)</f>
        <v>1557404110</v>
      </c>
      <c r="O117" s="54">
        <f>SUM(O89+O91)</f>
        <v>1050088860</v>
      </c>
      <c r="P117" s="54">
        <f>SUM(P89+P91)</f>
        <v>125810422</v>
      </c>
      <c r="Q117" s="54">
        <f>SUM(N117+O117-P117)</f>
        <v>2481682548</v>
      </c>
      <c r="R117" s="139"/>
      <c r="S117" s="139"/>
      <c r="T117" s="108"/>
      <c r="U117" s="144"/>
      <c r="V117" s="102"/>
      <c r="W117" s="907" t="s">
        <v>541</v>
      </c>
      <c r="X117" s="908"/>
      <c r="Y117" s="909"/>
      <c r="Z117" s="766">
        <f>SUM(Z115:Z116)</f>
        <v>12615917953.219999</v>
      </c>
      <c r="AA117" s="766">
        <f>SUM(AA115:AA116)</f>
        <v>12293437791.281</v>
      </c>
      <c r="AB117" s="766">
        <f>SUM(AB115:AB116)</f>
        <v>6940500573.5700006</v>
      </c>
      <c r="AC117" s="766">
        <f>SUM(AC115:AC116)</f>
        <v>5352937217.7110004</v>
      </c>
      <c r="AD117" s="401">
        <f>SUM(Z117-AB117)</f>
        <v>5675417379.6499987</v>
      </c>
      <c r="AE117" s="766">
        <f>SUM(AE115:AE116)</f>
        <v>5203317732.0009995</v>
      </c>
      <c r="AF117" s="766">
        <f>SUM(AF115:AF116)</f>
        <v>472099647.64900017</v>
      </c>
      <c r="AG117" s="101"/>
      <c r="AH117" s="767">
        <f>AVERAGE(AH115:AH116)</f>
        <v>0.46456983094007709</v>
      </c>
      <c r="AI117" s="767" t="e">
        <f>AVERAGE(AI115:AI116)</f>
        <v>#DIV/0!</v>
      </c>
      <c r="AJ117" s="767" t="e">
        <f>AVERAGE(AJ115:AJ116)</f>
        <v>#DIV/0!</v>
      </c>
      <c r="AK117" s="767" t="e">
        <f>AVERAGE(AK115:AK116)</f>
        <v>#DIV/0!</v>
      </c>
      <c r="AL117" s="767">
        <f>AVERAGE(AL115:AL116)</f>
        <v>0.66357506549716017</v>
      </c>
      <c r="AM117" s="764"/>
      <c r="AP117" s="650"/>
      <c r="AQ117" s="650"/>
    </row>
    <row r="118" spans="1:43" s="51" customFormat="1" ht="24" thickBot="1" x14ac:dyDescent="0.3">
      <c r="A118" s="46"/>
      <c r="B118" s="46"/>
      <c r="C118" s="46"/>
      <c r="D118" s="46"/>
      <c r="E118" s="46"/>
      <c r="F118" s="46"/>
      <c r="G118" s="46"/>
      <c r="H118" s="46"/>
      <c r="I118" s="46"/>
      <c r="J118" s="428" t="s">
        <v>435</v>
      </c>
      <c r="K118" s="48"/>
      <c r="L118" s="48"/>
      <c r="M118" s="48"/>
      <c r="N118" s="54">
        <f>SUM(N98)</f>
        <v>1174750619</v>
      </c>
      <c r="O118" s="54">
        <f>SUM(O98:O98)</f>
        <v>0</v>
      </c>
      <c r="P118" s="54">
        <f>SUM(P98)</f>
        <v>1174750619</v>
      </c>
      <c r="Q118" s="54">
        <f>SUM(N118+O118-P118)</f>
        <v>0</v>
      </c>
      <c r="R118" s="139"/>
      <c r="S118" s="139"/>
      <c r="T118" s="108"/>
      <c r="U118" s="144"/>
      <c r="V118" s="102"/>
      <c r="W118" s="102"/>
      <c r="X118" s="102"/>
      <c r="Y118" s="102"/>
      <c r="Z118" s="103"/>
      <c r="AA118" s="104"/>
      <c r="AB118" s="104"/>
      <c r="AC118" s="104"/>
      <c r="AD118" s="104"/>
      <c r="AE118" s="104"/>
      <c r="AF118" s="104"/>
      <c r="AG118" s="104"/>
      <c r="AH118" s="103"/>
      <c r="AI118" s="104"/>
      <c r="AJ118" s="113"/>
      <c r="AL118" s="406"/>
      <c r="AM118" s="764"/>
      <c r="AP118" s="650"/>
      <c r="AQ118" s="650"/>
    </row>
    <row r="119" spans="1:43" s="51" customFormat="1" x14ac:dyDescent="0.25">
      <c r="A119" s="46"/>
      <c r="B119" s="46"/>
      <c r="C119" s="46"/>
      <c r="D119" s="46"/>
      <c r="E119" s="46"/>
      <c r="F119" s="46"/>
      <c r="G119" s="46"/>
      <c r="H119" s="46"/>
      <c r="I119" s="46"/>
      <c r="J119" s="429" t="s">
        <v>810</v>
      </c>
      <c r="K119" s="54"/>
      <c r="L119" s="54"/>
      <c r="M119" s="54"/>
      <c r="N119" s="54">
        <f>SUM(N116:N118)</f>
        <v>2866005029</v>
      </c>
      <c r="O119" s="54">
        <f>SUM(O116:O118)</f>
        <v>1051427363</v>
      </c>
      <c r="P119" s="54">
        <f>SUM(P116:P118)</f>
        <v>1308592059</v>
      </c>
      <c r="Q119" s="121">
        <f>SUM(Q116:Q118)</f>
        <v>2608840333</v>
      </c>
      <c r="R119" s="140"/>
      <c r="S119" s="140"/>
      <c r="T119" s="108">
        <f>SUM(N119+O119-P119)</f>
        <v>2608840333</v>
      </c>
      <c r="U119" s="144"/>
      <c r="V119" s="102"/>
      <c r="W119" s="102"/>
      <c r="X119" s="102"/>
      <c r="Y119" s="102"/>
      <c r="Z119" s="820">
        <f>SUBTOTAL(9,Z101:Z109)</f>
        <v>11247692730.279999</v>
      </c>
      <c r="AA119" s="821">
        <f>SUBTOTAL(9,AA101:AA109)</f>
        <v>11061192025.281</v>
      </c>
      <c r="AB119" s="821">
        <f>SUBTOTAL(9,AB101:AB109)</f>
        <v>6454369869.1400003</v>
      </c>
      <c r="AC119" s="821">
        <f>SUM(AA117-AB117)</f>
        <v>5352937217.7109995</v>
      </c>
      <c r="AD119" s="821">
        <f>SUM(Z117-AB117)</f>
        <v>5675417379.6499987</v>
      </c>
      <c r="AE119" s="821"/>
      <c r="AF119" s="822">
        <f>SUM(AD116-AE116)</f>
        <v>312795315.13899899</v>
      </c>
      <c r="AG119" s="102"/>
      <c r="AH119" s="402"/>
      <c r="AI119" s="340"/>
      <c r="AJ119" s="113"/>
      <c r="AL119" s="406"/>
      <c r="AM119" s="764"/>
      <c r="AP119" s="650"/>
      <c r="AQ119" s="650"/>
    </row>
    <row r="120" spans="1:43" s="51" customFormat="1" x14ac:dyDescent="0.25">
      <c r="A120" s="46"/>
      <c r="B120" s="46"/>
      <c r="C120" s="46"/>
      <c r="D120" s="46"/>
      <c r="E120" s="46"/>
      <c r="F120" s="46"/>
      <c r="G120" s="46"/>
      <c r="H120" s="46"/>
      <c r="I120" s="46"/>
      <c r="J120" s="428"/>
      <c r="K120" s="52"/>
      <c r="L120" s="52"/>
      <c r="M120" s="52"/>
      <c r="N120" s="105"/>
      <c r="O120" s="105"/>
      <c r="P120" s="105"/>
      <c r="Q120" s="106"/>
      <c r="R120" s="141"/>
      <c r="S120" s="141"/>
      <c r="T120" s="101"/>
      <c r="U120" s="102"/>
      <c r="V120" s="104"/>
      <c r="W120" s="104"/>
      <c r="X120" s="104"/>
      <c r="Y120" s="104"/>
      <c r="Z120" s="823"/>
      <c r="AA120" s="102"/>
      <c r="AB120" s="102"/>
      <c r="AC120" s="102"/>
      <c r="AD120" s="102"/>
      <c r="AE120" s="102"/>
      <c r="AF120" s="824">
        <f>SUM(AD115-AE115)</f>
        <v>159304332.50999999</v>
      </c>
      <c r="AG120" s="102"/>
      <c r="AH120" s="402"/>
      <c r="AI120" s="340"/>
      <c r="AJ120" s="113"/>
      <c r="AL120" s="406"/>
      <c r="AM120" s="764"/>
      <c r="AP120" s="650"/>
      <c r="AQ120" s="650"/>
    </row>
    <row r="121" spans="1:43" s="51" customFormat="1" ht="24" thickBot="1" x14ac:dyDescent="0.3">
      <c r="A121" s="46"/>
      <c r="B121" s="46"/>
      <c r="C121" s="46"/>
      <c r="D121" s="46"/>
      <c r="E121" s="46"/>
      <c r="F121" s="46"/>
      <c r="G121" s="46"/>
      <c r="H121" s="46"/>
      <c r="I121" s="46"/>
      <c r="J121" s="428" t="s">
        <v>434</v>
      </c>
      <c r="K121" s="48"/>
      <c r="L121" s="48"/>
      <c r="M121" s="48"/>
      <c r="N121" s="54">
        <f>SUM(N101+N102+N105+N106+N107+N108)</f>
        <v>9000000000</v>
      </c>
      <c r="O121" s="54">
        <f>SUM(O101+O102+O105+O106+O107+O108)</f>
        <v>0</v>
      </c>
      <c r="P121" s="54">
        <f>SUM(P101+P102+P105+P106+P107+P108)</f>
        <v>92880000</v>
      </c>
      <c r="Q121" s="74">
        <f>SUM(Q101+Q102+Q105+Q106+Q107+Q108)</f>
        <v>8907120000</v>
      </c>
      <c r="R121" s="142"/>
      <c r="S121" s="142"/>
      <c r="T121" s="101"/>
      <c r="U121" s="102"/>
      <c r="V121" s="102"/>
      <c r="W121" s="102"/>
      <c r="X121" s="102"/>
      <c r="Y121" s="102"/>
      <c r="Z121" s="825" t="s">
        <v>1422</v>
      </c>
      <c r="AA121" s="826"/>
      <c r="AB121" s="826"/>
      <c r="AC121" s="826"/>
      <c r="AD121" s="826"/>
      <c r="AE121" s="826">
        <f>SUM(AF121-AF117)</f>
        <v>-9.5367431640625E-7</v>
      </c>
      <c r="AF121" s="827">
        <f>SUM(AD117-AE117)</f>
        <v>472099647.64899921</v>
      </c>
      <c r="AG121" s="102"/>
      <c r="AH121" s="402"/>
      <c r="AI121" s="340"/>
      <c r="AJ121" s="113"/>
      <c r="AL121" s="406"/>
      <c r="AM121" s="764"/>
      <c r="AP121" s="650"/>
      <c r="AQ121" s="650"/>
    </row>
    <row r="122" spans="1:43" s="51" customFormat="1" x14ac:dyDescent="0.25">
      <c r="A122" s="46"/>
      <c r="B122" s="46"/>
      <c r="C122" s="46"/>
      <c r="D122" s="46"/>
      <c r="E122" s="46"/>
      <c r="F122" s="46"/>
      <c r="G122" s="46"/>
      <c r="H122" s="46"/>
      <c r="I122" s="46"/>
      <c r="J122" s="428" t="s">
        <v>433</v>
      </c>
      <c r="K122" s="48"/>
      <c r="L122" s="48"/>
      <c r="M122" s="48"/>
      <c r="N122" s="54">
        <f>SUM(N104+N103+N109)</f>
        <v>6288000000</v>
      </c>
      <c r="O122" s="54">
        <f>SUM(O104+O103+O109)</f>
        <v>0</v>
      </c>
      <c r="P122" s="54">
        <f>SUM(P104+P103+P109)</f>
        <v>0</v>
      </c>
      <c r="Q122" s="54">
        <f>SUM(Q104+Q103+Q109)</f>
        <v>6288000000</v>
      </c>
      <c r="R122" s="139"/>
      <c r="S122" s="139"/>
      <c r="T122" s="101"/>
      <c r="U122" s="102"/>
      <c r="V122" s="102"/>
      <c r="W122" s="102"/>
      <c r="X122" s="102"/>
      <c r="Y122" s="102"/>
      <c r="Z122" s="104"/>
      <c r="AA122" s="124"/>
      <c r="AB122" s="104"/>
      <c r="AC122" s="104"/>
      <c r="AD122" s="104"/>
      <c r="AE122" s="104"/>
      <c r="AF122" s="104"/>
      <c r="AG122" s="104"/>
      <c r="AH122" s="103"/>
      <c r="AI122" s="104"/>
      <c r="AJ122" s="805"/>
      <c r="AL122" s="406"/>
      <c r="AM122" s="764"/>
      <c r="AP122" s="650"/>
      <c r="AQ122" s="650"/>
    </row>
    <row r="123" spans="1:43" s="51" customFormat="1" ht="25.5" customHeight="1" x14ac:dyDescent="0.25">
      <c r="A123" s="46"/>
      <c r="B123" s="46"/>
      <c r="C123" s="46"/>
      <c r="D123" s="46"/>
      <c r="E123" s="46"/>
      <c r="F123" s="46"/>
      <c r="G123" s="46"/>
      <c r="H123" s="46"/>
      <c r="I123" s="46"/>
      <c r="J123" s="429" t="s">
        <v>432</v>
      </c>
      <c r="K123" s="54"/>
      <c r="L123" s="54"/>
      <c r="M123" s="54"/>
      <c r="N123" s="54">
        <f>SUM(N121:N122)</f>
        <v>15288000000</v>
      </c>
      <c r="O123" s="54">
        <f>SUM(O121:O122)</f>
        <v>0</v>
      </c>
      <c r="P123" s="54">
        <f>SUM(P121:P122)</f>
        <v>92880000</v>
      </c>
      <c r="Q123" s="122">
        <f>SUM(Q121:Q122)</f>
        <v>15195120000</v>
      </c>
      <c r="R123" s="143"/>
      <c r="S123" s="143"/>
      <c r="T123" s="101">
        <f>SUM(N123+O123-P123)</f>
        <v>15195120000</v>
      </c>
      <c r="U123" s="102"/>
      <c r="V123" s="102"/>
      <c r="W123" s="102"/>
      <c r="X123" s="102"/>
      <c r="Y123" s="904"/>
      <c r="Z123" s="904"/>
      <c r="AA123" s="904"/>
      <c r="AB123" s="904"/>
      <c r="AC123" s="904"/>
      <c r="AD123" s="904"/>
      <c r="AE123" s="904"/>
      <c r="AF123" s="104"/>
      <c r="AG123" s="104"/>
      <c r="AH123" s="103"/>
      <c r="AI123" s="55"/>
      <c r="AJ123" s="807"/>
      <c r="AK123" s="55"/>
      <c r="AL123" s="890"/>
      <c r="AM123" s="764"/>
      <c r="AP123" s="650"/>
      <c r="AQ123" s="650"/>
    </row>
    <row r="124" spans="1:43" s="51" customFormat="1" ht="72" customHeight="1" x14ac:dyDescent="0.25">
      <c r="A124" s="46"/>
      <c r="B124" s="46"/>
      <c r="C124" s="46"/>
      <c r="D124" s="46"/>
      <c r="E124" s="46"/>
      <c r="F124" s="46"/>
      <c r="G124" s="46"/>
      <c r="H124" s="46"/>
      <c r="I124" s="46"/>
      <c r="J124" s="428"/>
      <c r="K124" s="52"/>
      <c r="L124" s="52"/>
      <c r="M124" s="52"/>
      <c r="N124" s="105"/>
      <c r="O124" s="105"/>
      <c r="P124" s="105"/>
      <c r="Q124" s="106"/>
      <c r="R124" s="141"/>
      <c r="S124" s="141"/>
      <c r="T124" s="100"/>
      <c r="U124" s="104"/>
      <c r="V124" s="104"/>
      <c r="W124" s="104"/>
      <c r="X124" s="104"/>
      <c r="Y124" s="808"/>
      <c r="Z124" s="809"/>
      <c r="AA124" s="809"/>
      <c r="AB124" s="809"/>
      <c r="AC124" s="809"/>
      <c r="AD124" s="810"/>
      <c r="AE124" s="810"/>
      <c r="AF124" s="810"/>
      <c r="AG124" s="810"/>
      <c r="AH124" s="811"/>
      <c r="AI124" s="811"/>
      <c r="AJ124" s="807"/>
      <c r="AK124" s="804"/>
      <c r="AL124" s="890"/>
      <c r="AM124" s="764"/>
      <c r="AP124" s="650"/>
      <c r="AQ124" s="650"/>
    </row>
    <row r="125" spans="1:43" s="51" customFormat="1" ht="51" customHeight="1" x14ac:dyDescent="0.25">
      <c r="A125" s="46"/>
      <c r="B125" s="46"/>
      <c r="C125" s="46"/>
      <c r="D125" s="46"/>
      <c r="E125" s="46"/>
      <c r="F125" s="46"/>
      <c r="G125" s="46"/>
      <c r="H125" s="46"/>
      <c r="I125" s="46"/>
      <c r="J125" s="429" t="s">
        <v>431</v>
      </c>
      <c r="K125" s="54"/>
      <c r="L125" s="54"/>
      <c r="M125" s="54"/>
      <c r="N125" s="54">
        <f>SUM(N119+N123)</f>
        <v>18154005029</v>
      </c>
      <c r="O125" s="54">
        <f>SUM(O119+O123)</f>
        <v>1051427363</v>
      </c>
      <c r="P125" s="54">
        <f>SUM(P119+P123)</f>
        <v>1401472059</v>
      </c>
      <c r="Q125" s="121">
        <f>SUM(Q119+Q123)</f>
        <v>17803960333</v>
      </c>
      <c r="R125" s="140"/>
      <c r="S125" s="140"/>
      <c r="T125" s="108">
        <f>SUM(N125+O125-P125)</f>
        <v>17803960333</v>
      </c>
      <c r="U125" s="144"/>
      <c r="V125" s="102"/>
      <c r="W125" s="102"/>
      <c r="X125" s="102"/>
      <c r="Y125" s="812"/>
      <c r="Z125" s="813"/>
      <c r="AA125" s="813"/>
      <c r="AB125" s="813"/>
      <c r="AC125" s="813"/>
      <c r="AD125" s="814"/>
      <c r="AE125" s="813"/>
      <c r="AF125" s="813"/>
      <c r="AG125" s="102"/>
      <c r="AH125" s="815"/>
      <c r="AI125" s="816"/>
      <c r="AJ125" s="742"/>
      <c r="AK125" s="816"/>
      <c r="AL125" s="817"/>
      <c r="AM125" s="764"/>
      <c r="AP125" s="650"/>
      <c r="AQ125" s="650"/>
    </row>
    <row r="126" spans="1:43" s="51" customFormat="1" ht="42.75" customHeight="1" x14ac:dyDescent="0.25">
      <c r="A126" s="46"/>
      <c r="B126" s="46"/>
      <c r="C126" s="46"/>
      <c r="D126" s="46"/>
      <c r="E126" s="46"/>
      <c r="F126" s="46"/>
      <c r="G126" s="46"/>
      <c r="H126" s="46"/>
      <c r="I126" s="46"/>
      <c r="J126" s="46"/>
      <c r="K126" s="46"/>
      <c r="L126" s="46"/>
      <c r="M126" s="46"/>
      <c r="N126" s="46"/>
      <c r="O126" s="46"/>
      <c r="P126" s="46"/>
      <c r="Q126" s="47"/>
      <c r="R126" s="47"/>
      <c r="S126" s="47"/>
      <c r="T126" s="46"/>
      <c r="U126" s="46"/>
      <c r="V126" s="46"/>
      <c r="W126" s="55"/>
      <c r="X126" s="55"/>
      <c r="Y126" s="818"/>
      <c r="Z126" s="813"/>
      <c r="AA126" s="813"/>
      <c r="AB126" s="813"/>
      <c r="AC126" s="813"/>
      <c r="AD126" s="814"/>
      <c r="AE126" s="813"/>
      <c r="AF126" s="813"/>
      <c r="AG126" s="819"/>
      <c r="AH126" s="815"/>
      <c r="AI126" s="816"/>
      <c r="AJ126" s="742"/>
      <c r="AK126" s="816"/>
      <c r="AL126" s="817"/>
      <c r="AM126" s="764"/>
      <c r="AP126" s="650"/>
      <c r="AQ126" s="650"/>
    </row>
    <row r="127" spans="1:43" x14ac:dyDescent="0.25">
      <c r="O127" s="47">
        <f>SUM(P125-O125)</f>
        <v>350044696</v>
      </c>
      <c r="Y127" s="102"/>
      <c r="Z127" s="813"/>
      <c r="AA127" s="813"/>
      <c r="AB127" s="813"/>
      <c r="AC127" s="813"/>
      <c r="AD127" s="813"/>
      <c r="AE127" s="813"/>
      <c r="AF127" s="813"/>
      <c r="AG127" s="102"/>
      <c r="AH127" s="815"/>
      <c r="AI127" s="816"/>
      <c r="AJ127" s="742"/>
      <c r="AK127" s="816"/>
      <c r="AL127" s="817"/>
    </row>
    <row r="128" spans="1:43" x14ac:dyDescent="0.25">
      <c r="AJ128" s="806"/>
    </row>
    <row r="129" spans="28:32" x14ac:dyDescent="0.25">
      <c r="AD129" s="778"/>
      <c r="AF129" s="778"/>
    </row>
    <row r="130" spans="28:32" x14ac:dyDescent="0.25">
      <c r="AB130" s="778"/>
    </row>
    <row r="131" spans="28:32" x14ac:dyDescent="0.25">
      <c r="AD131" s="778"/>
    </row>
    <row r="132" spans="28:32" x14ac:dyDescent="0.25">
      <c r="AE132" s="778"/>
    </row>
  </sheetData>
  <mergeCells count="34">
    <mergeCell ref="AL123:AL124"/>
    <mergeCell ref="M93:M95"/>
    <mergeCell ref="B97:J97"/>
    <mergeCell ref="B100:J100"/>
    <mergeCell ref="B93:I95"/>
    <mergeCell ref="Y123:AE123"/>
    <mergeCell ref="W115:Y115"/>
    <mergeCell ref="W116:Y116"/>
    <mergeCell ref="W117:Y117"/>
    <mergeCell ref="W114:Y114"/>
    <mergeCell ref="W113:AL113"/>
    <mergeCell ref="L76:L77"/>
    <mergeCell ref="K78:K79"/>
    <mergeCell ref="L78:L79"/>
    <mergeCell ref="B81:J81"/>
    <mergeCell ref="A86:J86"/>
    <mergeCell ref="K76:K77"/>
    <mergeCell ref="B52:J52"/>
    <mergeCell ref="B58:J58"/>
    <mergeCell ref="B64:J64"/>
    <mergeCell ref="A71:J71"/>
    <mergeCell ref="B75:J75"/>
    <mergeCell ref="AL4:AL5"/>
    <mergeCell ref="AP5:AQ5"/>
    <mergeCell ref="B17:J17"/>
    <mergeCell ref="B26:J26"/>
    <mergeCell ref="B37:J37"/>
    <mergeCell ref="B46:J46"/>
    <mergeCell ref="A1:AA1"/>
    <mergeCell ref="A2:AA2"/>
    <mergeCell ref="K4:K5"/>
    <mergeCell ref="L4:L5"/>
    <mergeCell ref="M4:M5"/>
    <mergeCell ref="AA4:AE4"/>
  </mergeCells>
  <pageMargins left="1.299212598425197" right="0" top="0.39370078740157483" bottom="0" header="0.78740157480314965" footer="0.78740157480314965"/>
  <pageSetup paperSize="5" scale="75"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305"/>
  <sheetViews>
    <sheetView showGridLines="0" tabSelected="1" view="pageBreakPreview" zoomScale="10" zoomScaleNormal="10" zoomScaleSheetLayoutView="10" workbookViewId="0">
      <selection activeCell="A21" sqref="A21:XFD290"/>
    </sheetView>
  </sheetViews>
  <sheetFormatPr baseColWidth="10" defaultColWidth="0" defaultRowHeight="0" customHeight="1" zeroHeight="1" x14ac:dyDescent="0.25"/>
  <cols>
    <col min="1" max="1" width="8.5703125" style="601" customWidth="1"/>
    <col min="2" max="2" width="26" style="604" customWidth="1"/>
    <col min="3" max="3" width="33.28515625" style="604" customWidth="1"/>
    <col min="4" max="4" width="76.28515625" style="605" customWidth="1"/>
    <col min="5" max="5" width="17.7109375" style="318" customWidth="1"/>
    <col min="6" max="6" width="15.5703125" style="318" customWidth="1"/>
    <col min="7" max="7" width="22.28515625" style="606" customWidth="1"/>
    <col min="8" max="8" width="18.5703125" style="604" customWidth="1"/>
    <col min="9" max="9" width="27.7109375" style="318" customWidth="1"/>
    <col min="10" max="10" width="30.140625" style="606" customWidth="1"/>
    <col min="11" max="11" width="23" style="606" customWidth="1"/>
    <col min="12" max="12" width="37" style="607" customWidth="1"/>
    <col min="13" max="13" width="36.7109375" style="608" customWidth="1"/>
    <col min="14" max="14" width="13.85546875" style="606" customWidth="1"/>
    <col min="15" max="15" width="12.140625" style="606" customWidth="1"/>
    <col min="16" max="16" width="36.140625" style="318" customWidth="1"/>
    <col min="17" max="17" width="3" style="15" customWidth="1"/>
    <col min="18" max="18" width="20" style="15" customWidth="1"/>
    <col min="19" max="19" width="45.5703125" style="37" customWidth="1"/>
    <col min="20" max="20" width="18.28515625" style="15" customWidth="1"/>
    <col min="21" max="21" width="66.140625" style="15" customWidth="1"/>
    <col min="22" max="22" width="24.42578125" style="15" customWidth="1"/>
    <col min="23" max="23" width="37.140625" style="15" customWidth="1"/>
    <col min="24" max="24" width="33.42578125" style="15" customWidth="1"/>
    <col min="25" max="25" width="36.42578125" style="15" customWidth="1"/>
    <col min="26" max="26" width="94.85546875" style="15" customWidth="1"/>
    <col min="27" max="27" width="30.140625" style="15" customWidth="1"/>
    <col min="28" max="28" width="35" style="15" customWidth="1"/>
    <col min="29" max="29" width="26.28515625" style="15" customWidth="1"/>
    <col min="30" max="30" width="38.85546875" style="15" customWidth="1"/>
    <col min="31" max="31" width="23.42578125" style="15" customWidth="1"/>
    <col min="32" max="32" width="25" style="15" customWidth="1"/>
    <col min="33" max="33" width="29.140625" style="15" customWidth="1"/>
    <col min="34" max="34" width="24.7109375" style="15" customWidth="1"/>
    <col min="35" max="35" width="25.5703125" style="15" customWidth="1"/>
    <col min="36" max="36" width="24" style="15" customWidth="1"/>
    <col min="37" max="37" width="41.140625" style="176" customWidth="1"/>
    <col min="38" max="38" width="24.5703125" style="15" customWidth="1"/>
    <col min="39" max="39" width="25.7109375" style="15" customWidth="1"/>
    <col min="40" max="40" width="26.28515625" style="15" customWidth="1"/>
    <col min="41" max="41" width="30.85546875" style="15" customWidth="1"/>
    <col min="42" max="42" width="29.42578125" style="15" customWidth="1"/>
    <col min="43" max="43" width="26.5703125" style="15" customWidth="1"/>
    <col min="44" max="44" width="28.140625" style="15" customWidth="1"/>
    <col min="45" max="45" width="29" style="15" customWidth="1"/>
    <col min="46" max="46" width="23.5703125" style="15" customWidth="1"/>
    <col min="47" max="47" width="23.85546875" style="15" customWidth="1"/>
    <col min="48" max="49" width="23.28515625" style="15" customWidth="1"/>
    <col min="50" max="50" width="23.85546875" style="15" customWidth="1"/>
    <col min="51" max="51" width="23" style="15" customWidth="1"/>
    <col min="52" max="52" width="28.28515625" style="15" customWidth="1"/>
    <col min="53" max="273" width="11.42578125" style="45" hidden="1" customWidth="1"/>
    <col min="274" max="274" width="0" style="45" hidden="1" customWidth="1"/>
    <col min="275" max="16384" width="11.42578125" style="45" hidden="1"/>
  </cols>
  <sheetData>
    <row r="1" spans="1:49" s="6" customFormat="1" ht="26.25" x14ac:dyDescent="0.4">
      <c r="A1" s="145"/>
      <c r="B1" s="1"/>
      <c r="C1" s="2"/>
      <c r="D1" s="154"/>
      <c r="E1" s="2"/>
      <c r="F1" s="2"/>
      <c r="G1" s="2"/>
      <c r="H1" s="2"/>
      <c r="I1" s="2"/>
      <c r="J1" s="781"/>
      <c r="K1" s="2"/>
      <c r="L1" s="17"/>
      <c r="M1" s="18"/>
      <c r="N1" s="2"/>
      <c r="O1" s="2"/>
      <c r="P1" s="3"/>
      <c r="Q1" s="4"/>
      <c r="R1" s="4"/>
      <c r="S1" s="155"/>
      <c r="T1" s="5"/>
      <c r="U1" s="4"/>
      <c r="V1" s="4"/>
      <c r="W1" s="4"/>
      <c r="X1" s="4"/>
      <c r="Y1" s="4"/>
      <c r="Z1" s="4"/>
      <c r="AA1" s="4"/>
      <c r="AB1" s="4"/>
      <c r="AC1" s="4"/>
      <c r="AD1" s="4"/>
      <c r="AE1" s="4"/>
      <c r="AF1" s="4"/>
      <c r="AG1" s="4"/>
      <c r="AH1" s="4"/>
      <c r="AI1" s="4"/>
      <c r="AJ1" s="4"/>
      <c r="AK1" s="156"/>
      <c r="AL1" s="4"/>
      <c r="AM1" s="4"/>
      <c r="AN1" s="4"/>
      <c r="AO1" s="4"/>
      <c r="AP1" s="4"/>
      <c r="AQ1" s="4"/>
      <c r="AR1" s="4"/>
      <c r="AS1" s="4"/>
      <c r="AT1" s="4"/>
      <c r="AU1" s="4"/>
      <c r="AV1" s="4"/>
      <c r="AW1" s="4"/>
    </row>
    <row r="2" spans="1:49" s="6" customFormat="1" ht="26.25" customHeight="1" x14ac:dyDescent="0.4">
      <c r="A2" s="146"/>
      <c r="B2" s="914" t="s">
        <v>0</v>
      </c>
      <c r="C2" s="914"/>
      <c r="D2" s="914"/>
      <c r="E2" s="914"/>
      <c r="F2" s="914"/>
      <c r="G2" s="914"/>
      <c r="H2" s="914"/>
      <c r="I2" s="914"/>
      <c r="J2" s="914"/>
      <c r="K2" s="914"/>
      <c r="L2" s="914"/>
      <c r="M2" s="914"/>
      <c r="N2" s="914"/>
      <c r="O2" s="914"/>
      <c r="P2" s="914"/>
      <c r="Q2" s="4"/>
      <c r="R2" s="4"/>
      <c r="S2" s="155"/>
      <c r="T2" s="5"/>
      <c r="U2" s="4"/>
      <c r="V2" s="4"/>
      <c r="W2" s="4"/>
      <c r="X2" s="4"/>
      <c r="Y2" s="4"/>
      <c r="Z2" s="4"/>
      <c r="AA2" s="4"/>
      <c r="AB2" s="4"/>
      <c r="AC2" s="4"/>
      <c r="AD2" s="4"/>
      <c r="AE2" s="4"/>
      <c r="AF2" s="4"/>
      <c r="AG2" s="4"/>
      <c r="AH2" s="4"/>
      <c r="AI2" s="4"/>
      <c r="AJ2" s="4"/>
      <c r="AK2" s="156"/>
      <c r="AL2" s="4"/>
      <c r="AM2" s="4"/>
      <c r="AN2" s="4"/>
      <c r="AO2" s="4"/>
      <c r="AP2" s="4"/>
      <c r="AQ2" s="4"/>
      <c r="AR2" s="4"/>
      <c r="AS2" s="4"/>
      <c r="AT2" s="4"/>
      <c r="AU2" s="4"/>
      <c r="AV2" s="4"/>
      <c r="AW2" s="4"/>
    </row>
    <row r="3" spans="1:49" s="6" customFormat="1" ht="26.25" x14ac:dyDescent="0.4">
      <c r="A3" s="145"/>
      <c r="B3" s="1"/>
      <c r="C3" s="779"/>
      <c r="D3" s="157"/>
      <c r="E3" s="2"/>
      <c r="F3" s="2"/>
      <c r="G3" s="2"/>
      <c r="H3" s="2"/>
      <c r="I3" s="2"/>
      <c r="J3" s="781"/>
      <c r="K3" s="2"/>
      <c r="L3" s="17"/>
      <c r="M3" s="18"/>
      <c r="N3" s="2"/>
      <c r="O3" s="2"/>
      <c r="P3" s="3"/>
      <c r="Q3" s="4"/>
      <c r="R3" s="4"/>
      <c r="S3" s="155"/>
      <c r="T3" s="5"/>
      <c r="U3" s="4"/>
      <c r="V3" s="4"/>
      <c r="W3" s="4"/>
      <c r="X3" s="4"/>
      <c r="Y3" s="4"/>
      <c r="Z3" s="4"/>
      <c r="AA3" s="4"/>
      <c r="AB3" s="4"/>
      <c r="AC3" s="4"/>
      <c r="AD3" s="4"/>
      <c r="AE3" s="4"/>
      <c r="AF3" s="4"/>
      <c r="AG3" s="4"/>
      <c r="AH3" s="4"/>
      <c r="AI3" s="4"/>
      <c r="AJ3" s="4"/>
      <c r="AK3" s="156"/>
      <c r="AL3" s="4"/>
      <c r="AM3" s="4"/>
      <c r="AN3" s="4"/>
      <c r="AO3" s="4"/>
      <c r="AP3" s="4"/>
      <c r="AQ3" s="4"/>
      <c r="AR3" s="4"/>
      <c r="AS3" s="4"/>
      <c r="AT3" s="4"/>
      <c r="AU3" s="4"/>
      <c r="AV3" s="4"/>
      <c r="AW3" s="4"/>
    </row>
    <row r="4" spans="1:49" s="6" customFormat="1" ht="26.25" x14ac:dyDescent="0.4">
      <c r="A4" s="145"/>
      <c r="B4" s="1"/>
      <c r="C4" s="915" t="s">
        <v>1</v>
      </c>
      <c r="D4" s="915"/>
      <c r="E4" s="2"/>
      <c r="F4" s="2"/>
      <c r="G4" s="2"/>
      <c r="H4" s="2"/>
      <c r="I4" s="2"/>
      <c r="J4" s="781"/>
      <c r="K4" s="2"/>
      <c r="L4" s="17"/>
      <c r="M4" s="18"/>
      <c r="N4" s="2"/>
      <c r="O4" s="2"/>
      <c r="P4" s="3"/>
      <c r="Q4" s="4"/>
      <c r="R4" s="4"/>
      <c r="S4" s="155"/>
      <c r="T4" s="5"/>
      <c r="U4" s="4"/>
      <c r="V4" s="4"/>
      <c r="W4" s="4"/>
      <c r="X4" s="4"/>
      <c r="Y4" s="4"/>
      <c r="Z4" s="4"/>
      <c r="AA4" s="4"/>
      <c r="AB4" s="4"/>
      <c r="AC4" s="4"/>
      <c r="AD4" s="4"/>
      <c r="AE4" s="4"/>
      <c r="AF4" s="4"/>
      <c r="AG4" s="4"/>
      <c r="AH4" s="4"/>
      <c r="AI4" s="4"/>
      <c r="AJ4" s="4"/>
      <c r="AK4" s="156"/>
      <c r="AL4" s="4"/>
      <c r="AM4" s="4"/>
      <c r="AN4" s="4"/>
      <c r="AO4" s="4"/>
      <c r="AP4" s="4"/>
      <c r="AQ4" s="4"/>
      <c r="AR4" s="4"/>
      <c r="AS4" s="4"/>
      <c r="AT4" s="4"/>
      <c r="AU4" s="4"/>
      <c r="AV4" s="4"/>
      <c r="AW4" s="4"/>
    </row>
    <row r="5" spans="1:49" s="6" customFormat="1" ht="26.25" x14ac:dyDescent="0.4">
      <c r="A5" s="147"/>
      <c r="B5" s="79"/>
      <c r="C5" s="780" t="s">
        <v>2</v>
      </c>
      <c r="D5" s="916" t="s">
        <v>3</v>
      </c>
      <c r="E5" s="916"/>
      <c r="F5" s="2"/>
      <c r="G5" s="8"/>
      <c r="H5" s="8"/>
      <c r="I5" s="917" t="s">
        <v>4</v>
      </c>
      <c r="J5" s="917"/>
      <c r="K5" s="917"/>
      <c r="L5" s="917"/>
      <c r="M5" s="917"/>
      <c r="N5" s="8"/>
      <c r="O5" s="8"/>
      <c r="P5" s="9"/>
      <c r="Q5" s="4"/>
      <c r="R5" s="4"/>
      <c r="S5" s="155"/>
      <c r="T5" s="5"/>
      <c r="U5" s="4"/>
      <c r="V5" s="4"/>
      <c r="W5" s="4"/>
      <c r="X5" s="4"/>
      <c r="Y5" s="4"/>
      <c r="Z5" s="4"/>
      <c r="AA5" s="4"/>
      <c r="AB5" s="4"/>
      <c r="AC5" s="4"/>
      <c r="AD5" s="4"/>
      <c r="AE5" s="4"/>
      <c r="AF5" s="4"/>
      <c r="AG5" s="4"/>
      <c r="AH5" s="4"/>
      <c r="AI5" s="4"/>
      <c r="AJ5" s="4"/>
      <c r="AK5" s="156"/>
      <c r="AL5" s="4"/>
      <c r="AM5" s="4"/>
      <c r="AN5" s="4"/>
      <c r="AO5" s="4"/>
      <c r="AP5" s="4"/>
      <c r="AQ5" s="4"/>
      <c r="AR5" s="4"/>
      <c r="AS5" s="4"/>
      <c r="AT5" s="4"/>
      <c r="AU5" s="4"/>
      <c r="AV5" s="4"/>
      <c r="AW5" s="4"/>
    </row>
    <row r="6" spans="1:49" s="6" customFormat="1" ht="26.25" x14ac:dyDescent="0.4">
      <c r="A6" s="147"/>
      <c r="B6" s="79"/>
      <c r="C6" s="10" t="s">
        <v>5</v>
      </c>
      <c r="D6" s="916" t="s">
        <v>6</v>
      </c>
      <c r="E6" s="916"/>
      <c r="F6" s="2"/>
      <c r="G6" s="8"/>
      <c r="H6" s="8"/>
      <c r="I6" s="917"/>
      <c r="J6" s="917"/>
      <c r="K6" s="917"/>
      <c r="L6" s="917"/>
      <c r="M6" s="917"/>
      <c r="N6" s="8"/>
      <c r="O6" s="8"/>
      <c r="P6" s="9"/>
      <c r="Q6" s="4"/>
      <c r="R6" s="4"/>
      <c r="S6" s="155"/>
      <c r="T6" s="5"/>
      <c r="U6" s="4"/>
      <c r="V6" s="4"/>
      <c r="W6" s="4"/>
      <c r="X6" s="4"/>
      <c r="Y6" s="4"/>
      <c r="Z6" s="4"/>
      <c r="AA6" s="4"/>
      <c r="AB6" s="4"/>
      <c r="AC6" s="4"/>
      <c r="AD6" s="4"/>
      <c r="AE6" s="4"/>
      <c r="AF6" s="4"/>
      <c r="AG6" s="4"/>
      <c r="AH6" s="4"/>
      <c r="AI6" s="4"/>
      <c r="AJ6" s="4"/>
      <c r="AK6" s="156"/>
      <c r="AL6" s="4"/>
      <c r="AM6" s="4"/>
      <c r="AN6" s="4"/>
      <c r="AO6" s="4"/>
      <c r="AP6" s="4"/>
      <c r="AQ6" s="4"/>
      <c r="AR6" s="4"/>
      <c r="AS6" s="4"/>
      <c r="AT6" s="4"/>
      <c r="AU6" s="4"/>
      <c r="AV6" s="4"/>
      <c r="AW6" s="4"/>
    </row>
    <row r="7" spans="1:49" s="6" customFormat="1" ht="26.25" x14ac:dyDescent="0.4">
      <c r="A7" s="147"/>
      <c r="B7" s="79"/>
      <c r="C7" s="10" t="s">
        <v>7</v>
      </c>
      <c r="D7" s="918">
        <v>3344080</v>
      </c>
      <c r="E7" s="918"/>
      <c r="F7" s="109"/>
      <c r="G7" s="8"/>
      <c r="H7" s="8"/>
      <c r="I7" s="917"/>
      <c r="J7" s="917"/>
      <c r="K7" s="917"/>
      <c r="L7" s="917"/>
      <c r="M7" s="917"/>
      <c r="N7" s="8"/>
      <c r="O7" s="8"/>
      <c r="P7" s="9"/>
      <c r="Q7" s="4"/>
      <c r="R7" s="4"/>
      <c r="S7" s="155"/>
      <c r="T7" s="5" t="s">
        <v>554</v>
      </c>
      <c r="U7" s="4"/>
      <c r="V7" s="4"/>
      <c r="W7" s="4"/>
      <c r="X7" s="4"/>
      <c r="Y7" s="4"/>
      <c r="Z7" s="4"/>
      <c r="AA7" s="4"/>
      <c r="AB7" s="4"/>
      <c r="AC7" s="4"/>
      <c r="AD7" s="4"/>
      <c r="AE7" s="4"/>
      <c r="AF7" s="4"/>
      <c r="AG7" s="4"/>
      <c r="AH7" s="4"/>
      <c r="AI7" s="4"/>
      <c r="AJ7" s="4"/>
      <c r="AK7" s="156"/>
      <c r="AL7" s="4"/>
      <c r="AM7" s="4"/>
      <c r="AN7" s="4"/>
      <c r="AO7" s="4"/>
      <c r="AP7" s="4"/>
      <c r="AQ7" s="4"/>
      <c r="AR7" s="4"/>
      <c r="AS7" s="4"/>
      <c r="AT7" s="4"/>
      <c r="AU7" s="4"/>
      <c r="AV7" s="4"/>
      <c r="AW7" s="4"/>
    </row>
    <row r="8" spans="1:49" s="6" customFormat="1" ht="26.25" x14ac:dyDescent="0.4">
      <c r="A8" s="147"/>
      <c r="B8" s="79"/>
      <c r="C8" s="10" t="s">
        <v>8</v>
      </c>
      <c r="D8" s="919" t="s">
        <v>75</v>
      </c>
      <c r="E8" s="919"/>
      <c r="F8" s="110"/>
      <c r="G8" s="8"/>
      <c r="H8" s="8"/>
      <c r="I8" s="917"/>
      <c r="J8" s="917"/>
      <c r="K8" s="917"/>
      <c r="L8" s="917"/>
      <c r="M8" s="917"/>
      <c r="N8" s="8"/>
      <c r="O8" s="8"/>
      <c r="P8" s="9"/>
      <c r="Q8" s="4"/>
      <c r="R8" s="4"/>
      <c r="S8" s="155"/>
      <c r="T8" s="5"/>
      <c r="U8" s="4"/>
      <c r="V8" s="4"/>
      <c r="W8" s="4"/>
      <c r="X8" s="4"/>
      <c r="Y8" s="4"/>
      <c r="Z8" s="4"/>
      <c r="AA8" s="4"/>
      <c r="AB8" s="4"/>
      <c r="AC8" s="4"/>
      <c r="AD8" s="4"/>
      <c r="AE8" s="4"/>
      <c r="AF8" s="4"/>
      <c r="AG8" s="4"/>
      <c r="AH8" s="4"/>
      <c r="AI8" s="4"/>
      <c r="AJ8" s="4"/>
      <c r="AK8" s="156"/>
      <c r="AL8" s="4"/>
      <c r="AM8" s="4"/>
      <c r="AN8" s="4"/>
      <c r="AO8" s="4"/>
      <c r="AP8" s="4"/>
      <c r="AQ8" s="4"/>
      <c r="AR8" s="4"/>
      <c r="AS8" s="4"/>
      <c r="AT8" s="4"/>
      <c r="AU8" s="4"/>
      <c r="AV8" s="4"/>
      <c r="AW8" s="4"/>
    </row>
    <row r="9" spans="1:49" s="6" customFormat="1" ht="101.25" customHeight="1" x14ac:dyDescent="0.4">
      <c r="A9" s="147"/>
      <c r="B9" s="79"/>
      <c r="C9" s="10" t="s">
        <v>9</v>
      </c>
      <c r="D9" s="916" t="s">
        <v>1340</v>
      </c>
      <c r="E9" s="916"/>
      <c r="F9" s="2"/>
      <c r="G9" s="8"/>
      <c r="H9" s="8"/>
      <c r="I9" s="917"/>
      <c r="J9" s="917"/>
      <c r="K9" s="917"/>
      <c r="L9" s="917"/>
      <c r="M9" s="917"/>
      <c r="N9" s="8"/>
      <c r="O9" s="8"/>
      <c r="P9" s="9"/>
      <c r="Q9" s="4"/>
      <c r="R9" s="4"/>
      <c r="S9" s="155"/>
      <c r="T9" s="5"/>
      <c r="U9" s="4"/>
      <c r="V9" s="4"/>
      <c r="W9" s="4"/>
      <c r="X9" s="4"/>
      <c r="Y9" s="4"/>
      <c r="Z9" s="4"/>
      <c r="AA9" s="4"/>
      <c r="AB9" s="4"/>
      <c r="AC9" s="4"/>
      <c r="AD9" s="4"/>
      <c r="AE9" s="4"/>
      <c r="AF9" s="4"/>
      <c r="AG9" s="4"/>
      <c r="AH9" s="4"/>
      <c r="AI9" s="4"/>
      <c r="AJ9" s="4"/>
      <c r="AK9" s="156"/>
      <c r="AL9" s="4"/>
      <c r="AM9" s="4"/>
      <c r="AN9" s="4"/>
      <c r="AO9" s="4"/>
      <c r="AP9" s="4"/>
      <c r="AQ9" s="4"/>
      <c r="AR9" s="4"/>
      <c r="AS9" s="4"/>
      <c r="AT9" s="4"/>
      <c r="AU9" s="4"/>
      <c r="AV9" s="4"/>
      <c r="AW9" s="4"/>
    </row>
    <row r="10" spans="1:49" s="6" customFormat="1" ht="147.75" customHeight="1" x14ac:dyDescent="0.4">
      <c r="A10" s="147"/>
      <c r="B10" s="79"/>
      <c r="C10" s="10" t="s">
        <v>10</v>
      </c>
      <c r="D10" s="921" t="s">
        <v>11</v>
      </c>
      <c r="E10" s="921"/>
      <c r="F10" s="1"/>
      <c r="G10" s="8"/>
      <c r="H10" s="8"/>
      <c r="I10" s="11"/>
      <c r="J10" s="11"/>
      <c r="K10" s="11"/>
      <c r="L10" s="19"/>
      <c r="M10" s="20"/>
      <c r="N10" s="8"/>
      <c r="O10" s="8"/>
      <c r="P10" s="9"/>
      <c r="Q10" s="4"/>
      <c r="R10" s="4"/>
      <c r="S10" s="155"/>
      <c r="T10" s="5"/>
      <c r="U10" s="4"/>
      <c r="V10" s="4"/>
      <c r="W10" s="4"/>
      <c r="X10" s="4"/>
      <c r="Y10" s="4"/>
      <c r="Z10" s="4"/>
      <c r="AA10" s="4"/>
      <c r="AB10" s="4"/>
      <c r="AC10" s="4"/>
      <c r="AD10" s="4"/>
      <c r="AE10" s="4"/>
      <c r="AF10" s="4"/>
      <c r="AG10" s="4"/>
      <c r="AH10" s="4"/>
      <c r="AI10" s="4"/>
      <c r="AJ10" s="4"/>
      <c r="AK10" s="156"/>
      <c r="AL10" s="4"/>
      <c r="AM10" s="4"/>
      <c r="AN10" s="4"/>
      <c r="AO10" s="4"/>
      <c r="AP10" s="4"/>
      <c r="AQ10" s="4"/>
      <c r="AR10" s="4"/>
      <c r="AS10" s="4"/>
      <c r="AT10" s="4"/>
      <c r="AU10" s="4"/>
      <c r="AV10" s="4"/>
      <c r="AW10" s="4"/>
    </row>
    <row r="11" spans="1:49" s="6" customFormat="1" ht="43.5" customHeight="1" x14ac:dyDescent="0.4">
      <c r="A11" s="147"/>
      <c r="B11" s="79"/>
      <c r="C11" s="10" t="s">
        <v>12</v>
      </c>
      <c r="D11" s="922" t="s">
        <v>653</v>
      </c>
      <c r="E11" s="923"/>
      <c r="F11" s="7"/>
      <c r="G11" s="8"/>
      <c r="H11" s="8"/>
      <c r="I11" s="924" t="s">
        <v>13</v>
      </c>
      <c r="J11" s="925"/>
      <c r="K11" s="925"/>
      <c r="L11" s="925"/>
      <c r="M11" s="926"/>
      <c r="N11" s="8"/>
      <c r="O11" s="8"/>
      <c r="P11" s="9"/>
      <c r="Q11" s="4"/>
      <c r="R11" s="4"/>
      <c r="S11" s="155"/>
      <c r="T11" s="5"/>
      <c r="U11" s="4"/>
      <c r="V11" s="4"/>
      <c r="W11" s="4"/>
      <c r="X11" s="4"/>
      <c r="Y11" s="4"/>
      <c r="Z11" s="4"/>
      <c r="AA11" s="4"/>
      <c r="AB11" s="4"/>
      <c r="AC11" s="4"/>
      <c r="AD11" s="4"/>
      <c r="AE11" s="4"/>
      <c r="AF11" s="4"/>
      <c r="AG11" s="4"/>
      <c r="AH11" s="4"/>
      <c r="AI11" s="4"/>
      <c r="AJ11" s="4"/>
      <c r="AK11" s="156"/>
      <c r="AL11" s="4"/>
      <c r="AM11" s="4"/>
      <c r="AN11" s="4"/>
      <c r="AO11" s="4"/>
      <c r="AP11" s="4"/>
      <c r="AQ11" s="4"/>
      <c r="AR11" s="4"/>
      <c r="AS11" s="4"/>
      <c r="AT11" s="4"/>
      <c r="AU11" s="4"/>
      <c r="AV11" s="4"/>
      <c r="AW11" s="4"/>
    </row>
    <row r="12" spans="1:49" s="6" customFormat="1" ht="48" customHeight="1" x14ac:dyDescent="0.4">
      <c r="A12" s="147"/>
      <c r="B12" s="79"/>
      <c r="C12" s="10" t="s">
        <v>14</v>
      </c>
      <c r="D12" s="933" t="s">
        <v>873</v>
      </c>
      <c r="E12" s="934"/>
      <c r="F12" s="111"/>
      <c r="G12" s="8"/>
      <c r="H12" s="8"/>
      <c r="I12" s="927"/>
      <c r="J12" s="928"/>
      <c r="K12" s="928"/>
      <c r="L12" s="928"/>
      <c r="M12" s="929"/>
      <c r="N12" s="8"/>
      <c r="O12" s="8"/>
      <c r="P12" s="9"/>
      <c r="Q12" s="4"/>
      <c r="R12" s="4"/>
      <c r="S12" s="155"/>
      <c r="T12" s="5"/>
      <c r="U12" s="4"/>
      <c r="V12" s="4"/>
      <c r="W12" s="4"/>
      <c r="X12" s="4"/>
      <c r="Y12" s="4"/>
      <c r="Z12" s="4"/>
      <c r="AA12" s="4"/>
      <c r="AB12" s="4"/>
      <c r="AC12" s="4"/>
      <c r="AD12" s="4"/>
      <c r="AE12" s="4"/>
      <c r="AF12" s="4"/>
      <c r="AG12" s="4"/>
      <c r="AH12" s="4"/>
      <c r="AI12" s="4"/>
      <c r="AJ12" s="4"/>
      <c r="AK12" s="156"/>
      <c r="AL12" s="4"/>
      <c r="AM12" s="4"/>
      <c r="AN12" s="4"/>
      <c r="AO12" s="4"/>
      <c r="AP12" s="4"/>
      <c r="AQ12" s="4"/>
      <c r="AR12" s="4"/>
      <c r="AS12" s="4"/>
      <c r="AT12" s="4"/>
      <c r="AU12" s="4"/>
      <c r="AV12" s="4"/>
      <c r="AW12" s="4"/>
    </row>
    <row r="13" spans="1:49" s="6" customFormat="1" ht="30" x14ac:dyDescent="0.4">
      <c r="A13" s="147"/>
      <c r="B13" s="79"/>
      <c r="C13" s="10" t="s">
        <v>15</v>
      </c>
      <c r="D13" s="935">
        <v>193047400</v>
      </c>
      <c r="E13" s="935"/>
      <c r="F13" s="112"/>
      <c r="G13" s="8"/>
      <c r="H13" s="8"/>
      <c r="I13" s="927"/>
      <c r="J13" s="928"/>
      <c r="K13" s="928"/>
      <c r="L13" s="928"/>
      <c r="M13" s="929"/>
      <c r="N13" s="8"/>
      <c r="O13" s="8"/>
      <c r="P13" s="9"/>
      <c r="Q13" s="4"/>
      <c r="R13" s="4"/>
      <c r="S13" s="155"/>
      <c r="T13" s="5"/>
      <c r="U13" s="4"/>
      <c r="V13" s="4"/>
      <c r="W13" s="4"/>
      <c r="X13" s="4"/>
      <c r="Y13" s="4"/>
      <c r="Z13" s="4"/>
      <c r="AA13" s="4"/>
      <c r="AB13" s="4"/>
      <c r="AC13" s="4"/>
      <c r="AD13" s="4"/>
      <c r="AE13" s="4"/>
      <c r="AF13" s="4"/>
      <c r="AG13" s="4"/>
      <c r="AH13" s="4"/>
      <c r="AI13" s="4"/>
      <c r="AJ13" s="4"/>
      <c r="AK13" s="156"/>
      <c r="AL13" s="4"/>
      <c r="AM13" s="4"/>
      <c r="AN13" s="4"/>
      <c r="AO13" s="4"/>
      <c r="AP13" s="4"/>
      <c r="AQ13" s="4"/>
      <c r="AR13" s="4"/>
      <c r="AS13" s="4"/>
      <c r="AT13" s="4"/>
      <c r="AU13" s="4"/>
      <c r="AV13" s="4"/>
      <c r="AW13" s="4"/>
    </row>
    <row r="14" spans="1:49" s="6" customFormat="1" ht="30" x14ac:dyDescent="0.4">
      <c r="A14" s="147"/>
      <c r="B14" s="79"/>
      <c r="C14" s="10" t="s">
        <v>16</v>
      </c>
      <c r="D14" s="935">
        <v>19304740</v>
      </c>
      <c r="E14" s="935"/>
      <c r="F14" s="112"/>
      <c r="G14" s="8"/>
      <c r="H14" s="8"/>
      <c r="I14" s="927"/>
      <c r="J14" s="928"/>
      <c r="K14" s="928"/>
      <c r="L14" s="928"/>
      <c r="M14" s="929"/>
      <c r="N14" s="8"/>
      <c r="O14" s="8"/>
      <c r="P14" s="9"/>
      <c r="Q14" s="4"/>
      <c r="R14" s="4"/>
      <c r="S14" s="155"/>
      <c r="T14" s="5"/>
      <c r="U14" s="4"/>
      <c r="V14" s="4"/>
      <c r="W14" s="4"/>
      <c r="X14" s="4"/>
      <c r="Y14" s="4"/>
      <c r="Z14" s="4"/>
      <c r="AA14" s="4"/>
      <c r="AB14" s="4"/>
      <c r="AC14" s="4"/>
      <c r="AD14" s="4"/>
      <c r="AE14" s="4"/>
      <c r="AF14" s="4"/>
      <c r="AG14" s="4"/>
      <c r="AH14" s="4"/>
      <c r="AI14" s="4"/>
      <c r="AJ14" s="4"/>
      <c r="AK14" s="156"/>
      <c r="AL14" s="4"/>
      <c r="AM14" s="4"/>
      <c r="AN14" s="4"/>
      <c r="AO14" s="4"/>
      <c r="AP14" s="4"/>
      <c r="AQ14" s="4"/>
      <c r="AR14" s="4"/>
      <c r="AS14" s="4"/>
      <c r="AT14" s="4"/>
      <c r="AU14" s="4"/>
      <c r="AV14" s="4"/>
      <c r="AW14" s="4"/>
    </row>
    <row r="15" spans="1:49" s="6" customFormat="1" ht="30.75" thickBot="1" x14ac:dyDescent="0.45">
      <c r="A15" s="147"/>
      <c r="B15" s="79"/>
      <c r="C15" s="13" t="s">
        <v>17</v>
      </c>
      <c r="D15" s="936">
        <v>42594</v>
      </c>
      <c r="E15" s="937"/>
      <c r="F15" s="123"/>
      <c r="G15" s="8"/>
      <c r="H15" s="8"/>
      <c r="I15" s="930"/>
      <c r="J15" s="931"/>
      <c r="K15" s="931"/>
      <c r="L15" s="931"/>
      <c r="M15" s="932"/>
      <c r="N15" s="8"/>
      <c r="O15" s="8"/>
      <c r="P15" s="9"/>
      <c r="Q15" s="4"/>
      <c r="R15" s="4"/>
      <c r="S15" s="155"/>
      <c r="T15" s="5"/>
      <c r="U15" s="4"/>
      <c r="V15" s="4"/>
      <c r="W15" s="4"/>
      <c r="X15" s="4"/>
      <c r="Y15" s="4"/>
      <c r="Z15" s="4"/>
      <c r="AA15" s="4"/>
      <c r="AB15" s="4"/>
      <c r="AC15" s="4"/>
      <c r="AD15" s="4"/>
      <c r="AE15" s="4"/>
      <c r="AF15" s="4"/>
      <c r="AG15" s="4"/>
      <c r="AH15" s="4"/>
      <c r="AI15" s="4"/>
      <c r="AJ15" s="4"/>
      <c r="AK15" s="156"/>
      <c r="AL15" s="4"/>
      <c r="AM15" s="4"/>
      <c r="AN15" s="4"/>
      <c r="AO15" s="4"/>
      <c r="AP15" s="4"/>
      <c r="AQ15" s="4"/>
      <c r="AR15" s="4"/>
      <c r="AS15" s="4"/>
      <c r="AT15" s="4"/>
      <c r="AU15" s="4"/>
      <c r="AV15" s="4"/>
      <c r="AW15" s="4"/>
    </row>
    <row r="16" spans="1:49" s="6" customFormat="1" ht="26.25" x14ac:dyDescent="0.4">
      <c r="A16" s="147"/>
      <c r="B16" s="79"/>
      <c r="C16" s="2"/>
      <c r="D16" s="158"/>
      <c r="E16" s="14"/>
      <c r="F16" s="14"/>
      <c r="G16" s="8"/>
      <c r="H16" s="8"/>
      <c r="I16" s="781"/>
      <c r="J16" s="115"/>
      <c r="K16" s="781"/>
      <c r="L16" s="21"/>
      <c r="M16" s="22"/>
      <c r="N16" s="8"/>
      <c r="O16" s="8"/>
      <c r="P16" s="77"/>
      <c r="Q16" s="4"/>
      <c r="R16" s="4"/>
      <c r="S16" s="155"/>
      <c r="T16" s="5"/>
      <c r="U16" s="4"/>
      <c r="V16" s="4"/>
      <c r="W16" s="151">
        <f>SUM(M18-Y18)</f>
        <v>4588859177.7109995</v>
      </c>
      <c r="X16" s="4"/>
      <c r="Y16" s="4"/>
      <c r="Z16" s="4"/>
      <c r="AA16" s="4"/>
      <c r="AB16" s="4"/>
      <c r="AC16" s="4"/>
      <c r="AD16" s="4"/>
      <c r="AE16" s="4"/>
      <c r="AF16" s="4"/>
      <c r="AG16" s="4"/>
      <c r="AH16" s="4"/>
      <c r="AI16" s="4"/>
      <c r="AJ16" s="4"/>
      <c r="AK16" s="156"/>
      <c r="AL16" s="4"/>
      <c r="AM16" s="4"/>
      <c r="AN16" s="4"/>
      <c r="AO16" s="4"/>
      <c r="AP16" s="4"/>
      <c r="AQ16" s="4"/>
      <c r="AR16" s="4"/>
      <c r="AS16" s="4"/>
      <c r="AT16" s="4"/>
      <c r="AU16" s="4"/>
      <c r="AV16" s="4"/>
      <c r="AW16" s="4"/>
    </row>
    <row r="17" spans="1:52" s="6" customFormat="1" ht="27" thickBot="1" x14ac:dyDescent="0.45">
      <c r="A17" s="147"/>
      <c r="B17" s="79"/>
      <c r="C17" s="920" t="s">
        <v>18</v>
      </c>
      <c r="D17" s="920"/>
      <c r="E17" s="8"/>
      <c r="F17" s="8"/>
      <c r="G17" s="8"/>
      <c r="H17" s="8"/>
      <c r="I17" s="8"/>
      <c r="J17" s="126"/>
      <c r="L17" s="23"/>
      <c r="M17" s="117"/>
      <c r="N17" s="8"/>
      <c r="O17" s="8"/>
      <c r="P17" s="116"/>
      <c r="Q17" s="4"/>
      <c r="R17" s="4"/>
      <c r="S17" s="155"/>
      <c r="T17" s="5"/>
      <c r="U17" s="4"/>
      <c r="V17" s="4"/>
      <c r="W17" s="118"/>
      <c r="X17" s="118"/>
      <c r="Y17" s="118">
        <f>SUM(Y20:Y234)</f>
        <v>5557220573.5700006</v>
      </c>
      <c r="Z17" s="4"/>
      <c r="AA17" s="4"/>
      <c r="AB17" s="4"/>
      <c r="AC17" s="4"/>
      <c r="AD17" s="4"/>
      <c r="AE17" s="4"/>
      <c r="AF17" s="4"/>
      <c r="AG17" s="4"/>
      <c r="AH17" s="4"/>
      <c r="AI17" s="4"/>
      <c r="AJ17" s="4"/>
      <c r="AK17" s="156"/>
      <c r="AL17" s="4"/>
      <c r="AM17" s="4"/>
      <c r="AN17" s="4"/>
      <c r="AO17" s="4"/>
      <c r="AP17" s="4"/>
      <c r="AQ17" s="4"/>
      <c r="AR17" s="4"/>
      <c r="AS17" s="4"/>
      <c r="AT17" s="4"/>
      <c r="AU17" s="4"/>
      <c r="AV17" s="4"/>
      <c r="AW17" s="4"/>
    </row>
    <row r="18" spans="1:52" s="6" customFormat="1" ht="27" thickBot="1" x14ac:dyDescent="0.45">
      <c r="A18" s="147"/>
      <c r="B18" s="79"/>
      <c r="C18" s="779"/>
      <c r="D18" s="159"/>
      <c r="E18" s="8"/>
      <c r="F18" s="8"/>
      <c r="G18" s="8"/>
      <c r="H18" s="8"/>
      <c r="I18" s="8"/>
      <c r="J18" s="11"/>
      <c r="K18" s="8"/>
      <c r="L18" s="258">
        <f>SUBTOTAL(9,L20:L296)</f>
        <v>12842789691.281</v>
      </c>
      <c r="M18" s="258">
        <f>SUBTOTAL(9,M20:M296)</f>
        <v>12205277791.281</v>
      </c>
      <c r="N18" s="8"/>
      <c r="O18" s="8"/>
      <c r="P18" s="9"/>
      <c r="Q18" s="4"/>
      <c r="R18" s="4"/>
      <c r="S18" s="155"/>
      <c r="T18" s="5"/>
      <c r="U18" s="4"/>
      <c r="V18" s="4"/>
      <c r="W18" s="127">
        <f>SUBTOTAL(9,W20:W296)</f>
        <v>7621303613.5700006</v>
      </c>
      <c r="X18" s="127">
        <f>SUBTOTAL(9,X20:X296)</f>
        <v>-4885000</v>
      </c>
      <c r="Y18" s="257">
        <f>SUBTOTAL(9,Y20:Y296)</f>
        <v>7616418613.5700006</v>
      </c>
      <c r="Z18" s="4"/>
      <c r="AA18" s="4"/>
      <c r="AB18" s="4"/>
      <c r="AC18" s="4"/>
      <c r="AD18" s="4"/>
      <c r="AE18" s="4"/>
      <c r="AF18" s="4"/>
      <c r="AG18" s="4"/>
      <c r="AH18" s="4"/>
      <c r="AI18" s="4"/>
      <c r="AJ18" s="4"/>
      <c r="AK18" s="156"/>
      <c r="AL18" s="4"/>
      <c r="AM18" s="4"/>
      <c r="AN18" s="4"/>
      <c r="AO18" s="4"/>
      <c r="AP18" s="4"/>
      <c r="AQ18" s="4"/>
      <c r="AR18" s="4"/>
      <c r="AS18" s="4"/>
      <c r="AT18" s="4"/>
      <c r="AU18" s="4"/>
      <c r="AV18" s="4"/>
      <c r="AW18" s="4"/>
    </row>
    <row r="19" spans="1:52" s="133" customFormat="1" ht="102" customHeight="1" x14ac:dyDescent="0.25">
      <c r="A19" s="313" t="s">
        <v>874</v>
      </c>
      <c r="B19" s="313" t="s">
        <v>19</v>
      </c>
      <c r="C19" s="313" t="s">
        <v>20</v>
      </c>
      <c r="D19" s="314" t="s">
        <v>1426</v>
      </c>
      <c r="E19" s="315" t="s">
        <v>827</v>
      </c>
      <c r="F19" s="315" t="s">
        <v>812</v>
      </c>
      <c r="G19" s="315" t="s">
        <v>21</v>
      </c>
      <c r="H19" s="315" t="s">
        <v>542</v>
      </c>
      <c r="I19" s="315" t="s">
        <v>22</v>
      </c>
      <c r="J19" s="315" t="s">
        <v>23</v>
      </c>
      <c r="K19" s="315" t="s">
        <v>24</v>
      </c>
      <c r="L19" s="316" t="s">
        <v>25</v>
      </c>
      <c r="M19" s="317" t="s">
        <v>26</v>
      </c>
      <c r="N19" s="315" t="s">
        <v>27</v>
      </c>
      <c r="O19" s="315" t="s">
        <v>28</v>
      </c>
      <c r="P19" s="128" t="s">
        <v>29</v>
      </c>
      <c r="Q19" s="129"/>
      <c r="R19" s="130" t="s">
        <v>30</v>
      </c>
      <c r="S19" s="130" t="s">
        <v>843</v>
      </c>
      <c r="T19" s="131" t="s">
        <v>31</v>
      </c>
      <c r="U19" s="130" t="s">
        <v>32</v>
      </c>
      <c r="V19" s="130" t="s">
        <v>33</v>
      </c>
      <c r="W19" s="132" t="s">
        <v>194</v>
      </c>
      <c r="X19" s="132" t="s">
        <v>841</v>
      </c>
      <c r="Y19" s="132" t="s">
        <v>842</v>
      </c>
      <c r="Z19" s="130" t="s">
        <v>34</v>
      </c>
      <c r="AA19" s="130" t="s">
        <v>195</v>
      </c>
      <c r="AB19" s="130" t="s">
        <v>196</v>
      </c>
      <c r="AC19" s="130" t="s">
        <v>36</v>
      </c>
      <c r="AD19" s="130" t="s">
        <v>37</v>
      </c>
      <c r="AE19" s="130" t="s">
        <v>197</v>
      </c>
      <c r="AF19" s="130" t="s">
        <v>38</v>
      </c>
      <c r="AG19" s="130" t="s">
        <v>39</v>
      </c>
      <c r="AH19" s="130" t="s">
        <v>40</v>
      </c>
      <c r="AI19" s="130" t="s">
        <v>41</v>
      </c>
      <c r="AJ19" s="130" t="s">
        <v>198</v>
      </c>
      <c r="AK19" s="160" t="s">
        <v>42</v>
      </c>
      <c r="AL19" s="161" t="s">
        <v>43</v>
      </c>
      <c r="AM19" s="128" t="s">
        <v>44</v>
      </c>
      <c r="AN19" s="128" t="s">
        <v>45</v>
      </c>
      <c r="AO19" s="128" t="s">
        <v>2960</v>
      </c>
      <c r="AP19" s="128" t="s">
        <v>46</v>
      </c>
      <c r="AQ19" s="128" t="s">
        <v>47</v>
      </c>
      <c r="AR19" s="128" t="s">
        <v>48</v>
      </c>
      <c r="AS19" s="128" t="s">
        <v>2961</v>
      </c>
      <c r="AT19" s="128" t="s">
        <v>49</v>
      </c>
      <c r="AU19" s="128" t="s">
        <v>50</v>
      </c>
      <c r="AV19" s="128" t="s">
        <v>51</v>
      </c>
      <c r="AW19" s="128" t="s">
        <v>2962</v>
      </c>
      <c r="AX19" s="128" t="s">
        <v>52</v>
      </c>
      <c r="AY19" s="128" t="s">
        <v>53</v>
      </c>
      <c r="AZ19" s="128" t="s">
        <v>54</v>
      </c>
    </row>
    <row r="20" spans="1:52" s="41" customFormat="1" ht="56.25" customHeight="1" x14ac:dyDescent="0.25">
      <c r="A20" s="782">
        <v>1</v>
      </c>
      <c r="B20" s="783" t="s">
        <v>998</v>
      </c>
      <c r="C20" s="783" t="s">
        <v>151</v>
      </c>
      <c r="D20" s="162" t="s">
        <v>2608</v>
      </c>
      <c r="E20" s="783" t="s">
        <v>76</v>
      </c>
      <c r="F20" s="783">
        <v>1</v>
      </c>
      <c r="G20" s="829" t="s">
        <v>167</v>
      </c>
      <c r="H20" s="485">
        <v>12</v>
      </c>
      <c r="I20" s="783" t="s">
        <v>77</v>
      </c>
      <c r="J20" s="783" t="s">
        <v>70</v>
      </c>
      <c r="K20" s="783" t="s">
        <v>55</v>
      </c>
      <c r="L20" s="56">
        <v>65000000</v>
      </c>
      <c r="M20" s="57">
        <v>65000000</v>
      </c>
      <c r="N20" s="783" t="s">
        <v>78</v>
      </c>
      <c r="O20" s="783" t="s">
        <v>79</v>
      </c>
      <c r="P20" s="58" t="s">
        <v>61</v>
      </c>
      <c r="Q20" s="80"/>
      <c r="R20" s="81"/>
      <c r="S20" s="82"/>
      <c r="T20" s="59"/>
      <c r="U20" s="60"/>
      <c r="V20" s="61"/>
      <c r="W20" s="62"/>
      <c r="X20" s="62"/>
      <c r="Y20" s="134">
        <f>SUM(W20+X20)</f>
        <v>0</v>
      </c>
      <c r="Z20" s="62"/>
      <c r="AA20" s="62"/>
      <c r="AB20" s="62"/>
      <c r="AC20" s="62"/>
      <c r="AD20" s="62"/>
      <c r="AE20" s="62"/>
      <c r="AF20" s="62"/>
      <c r="AG20" s="62"/>
      <c r="AH20" s="62"/>
      <c r="AI20" s="62"/>
      <c r="AJ20" s="62"/>
      <c r="AK20" s="83"/>
      <c r="AL20" s="84"/>
      <c r="AM20" s="63"/>
      <c r="AN20" s="64"/>
      <c r="AO20" s="65"/>
      <c r="AP20" s="63"/>
      <c r="AQ20" s="63"/>
      <c r="AR20" s="63"/>
      <c r="AS20" s="65"/>
      <c r="AT20" s="63"/>
      <c r="AU20" s="66"/>
      <c r="AV20" s="67"/>
      <c r="AW20" s="61"/>
      <c r="AX20" s="67"/>
      <c r="AY20" s="67"/>
      <c r="AZ20" s="67"/>
    </row>
    <row r="21" spans="1:52" s="41" customFormat="1" ht="135" customHeight="1" x14ac:dyDescent="0.2">
      <c r="A21" s="832">
        <v>2</v>
      </c>
      <c r="B21" s="833" t="s">
        <v>991</v>
      </c>
      <c r="C21" s="833">
        <v>78181701</v>
      </c>
      <c r="D21" s="163" t="s">
        <v>201</v>
      </c>
      <c r="E21" s="833" t="s">
        <v>76</v>
      </c>
      <c r="F21" s="833">
        <v>1</v>
      </c>
      <c r="G21" s="834" t="s">
        <v>159</v>
      </c>
      <c r="H21" s="485">
        <v>12</v>
      </c>
      <c r="I21" s="833" t="s">
        <v>80</v>
      </c>
      <c r="J21" s="833" t="s">
        <v>726</v>
      </c>
      <c r="K21" s="833" t="s">
        <v>55</v>
      </c>
      <c r="L21" s="68">
        <v>37000000</v>
      </c>
      <c r="M21" s="69">
        <v>37000000</v>
      </c>
      <c r="N21" s="833" t="s">
        <v>81</v>
      </c>
      <c r="O21" s="833" t="s">
        <v>56</v>
      </c>
      <c r="P21" s="25" t="s">
        <v>82</v>
      </c>
      <c r="Q21" s="981"/>
      <c r="R21" s="172" t="s">
        <v>199</v>
      </c>
      <c r="S21" s="982" t="s">
        <v>200</v>
      </c>
      <c r="T21" s="166">
        <v>42377</v>
      </c>
      <c r="U21" s="831" t="s">
        <v>201</v>
      </c>
      <c r="V21" s="411" t="s">
        <v>202</v>
      </c>
      <c r="W21" s="134">
        <v>37000000</v>
      </c>
      <c r="X21" s="134"/>
      <c r="Y21" s="134">
        <f>SUM(W21+X21)</f>
        <v>37000000</v>
      </c>
      <c r="Z21" s="411" t="s">
        <v>203</v>
      </c>
      <c r="AA21" s="411" t="s">
        <v>204</v>
      </c>
      <c r="AB21" s="411" t="s">
        <v>35</v>
      </c>
      <c r="AC21" s="411" t="s">
        <v>205</v>
      </c>
      <c r="AD21" s="411" t="s">
        <v>56</v>
      </c>
      <c r="AE21" s="411" t="s">
        <v>56</v>
      </c>
      <c r="AF21" s="411" t="s">
        <v>56</v>
      </c>
      <c r="AG21" s="411" t="s">
        <v>206</v>
      </c>
      <c r="AH21" s="169">
        <v>42377</v>
      </c>
      <c r="AI21" s="169">
        <v>42735</v>
      </c>
      <c r="AJ21" s="411" t="s">
        <v>207</v>
      </c>
      <c r="AK21" s="170" t="s">
        <v>208</v>
      </c>
      <c r="AL21" s="87" t="s">
        <v>56</v>
      </c>
      <c r="AM21" s="983">
        <v>1310252</v>
      </c>
      <c r="AN21" s="983">
        <v>1387020</v>
      </c>
      <c r="AO21" s="984"/>
      <c r="AP21" s="983" t="s">
        <v>2630</v>
      </c>
      <c r="AQ21" s="32" t="s">
        <v>2631</v>
      </c>
      <c r="AR21" s="983" t="s">
        <v>2632</v>
      </c>
      <c r="AS21" s="985"/>
      <c r="AT21" s="986" t="s">
        <v>2934</v>
      </c>
      <c r="AU21" s="987">
        <v>1246055</v>
      </c>
      <c r="AV21" s="986"/>
      <c r="AW21" s="16"/>
      <c r="AX21" s="986"/>
      <c r="AY21" s="986"/>
      <c r="AZ21" s="986"/>
    </row>
    <row r="22" spans="1:52" s="41" customFormat="1" ht="114" customHeight="1" x14ac:dyDescent="0.2">
      <c r="A22" s="938">
        <v>3</v>
      </c>
      <c r="B22" s="944" t="s">
        <v>994</v>
      </c>
      <c r="C22" s="840" t="s">
        <v>152</v>
      </c>
      <c r="D22" s="988" t="s">
        <v>83</v>
      </c>
      <c r="E22" s="944" t="s">
        <v>76</v>
      </c>
      <c r="F22" s="944">
        <v>1</v>
      </c>
      <c r="G22" s="963" t="s">
        <v>164</v>
      </c>
      <c r="H22" s="952">
        <v>10</v>
      </c>
      <c r="I22" s="944" t="s">
        <v>1093</v>
      </c>
      <c r="J22" s="989" t="s">
        <v>66</v>
      </c>
      <c r="K22" s="989" t="s">
        <v>55</v>
      </c>
      <c r="L22" s="990">
        <v>16000000</v>
      </c>
      <c r="M22" s="991">
        <v>16000000</v>
      </c>
      <c r="N22" s="944" t="s">
        <v>81</v>
      </c>
      <c r="O22" s="944" t="s">
        <v>56</v>
      </c>
      <c r="P22" s="992" t="s">
        <v>84</v>
      </c>
      <c r="Q22" s="981"/>
      <c r="R22" s="172" t="s">
        <v>1427</v>
      </c>
      <c r="S22" s="172" t="s">
        <v>1428</v>
      </c>
      <c r="T22" s="166">
        <v>42493</v>
      </c>
      <c r="U22" s="164" t="s">
        <v>1429</v>
      </c>
      <c r="V22" s="411" t="s">
        <v>202</v>
      </c>
      <c r="W22" s="993">
        <v>290817</v>
      </c>
      <c r="X22" s="833"/>
      <c r="Y22" s="134">
        <f t="shared" ref="Y22:Y80" si="0">SUM(W22+X22)</f>
        <v>290817</v>
      </c>
      <c r="Z22" s="994" t="s">
        <v>1430</v>
      </c>
      <c r="AA22" s="411" t="s">
        <v>1431</v>
      </c>
      <c r="AB22" s="411" t="s">
        <v>35</v>
      </c>
      <c r="AC22" s="181" t="s">
        <v>1432</v>
      </c>
      <c r="AD22" s="411" t="s">
        <v>56</v>
      </c>
      <c r="AE22" s="411" t="s">
        <v>56</v>
      </c>
      <c r="AF22" s="411" t="s">
        <v>56</v>
      </c>
      <c r="AG22" s="168" t="s">
        <v>1433</v>
      </c>
      <c r="AH22" s="169">
        <v>42494</v>
      </c>
      <c r="AI22" s="169">
        <v>42734</v>
      </c>
      <c r="AJ22" s="411" t="s">
        <v>922</v>
      </c>
      <c r="AK22" s="134" t="s">
        <v>923</v>
      </c>
      <c r="AL22" s="87" t="s">
        <v>56</v>
      </c>
      <c r="AM22" s="87" t="s">
        <v>56</v>
      </c>
      <c r="AN22" s="87" t="s">
        <v>56</v>
      </c>
      <c r="AO22" s="87" t="s">
        <v>56</v>
      </c>
      <c r="AP22" s="87" t="s">
        <v>56</v>
      </c>
      <c r="AQ22" s="87" t="s">
        <v>56</v>
      </c>
      <c r="AR22" s="87" t="s">
        <v>56</v>
      </c>
      <c r="AS22" s="87" t="s">
        <v>56</v>
      </c>
      <c r="AT22" s="987">
        <v>290817</v>
      </c>
      <c r="AU22" s="986"/>
      <c r="AV22" s="986"/>
      <c r="AW22" s="16"/>
      <c r="AX22" s="986"/>
      <c r="AY22" s="986"/>
      <c r="AZ22" s="986"/>
    </row>
    <row r="23" spans="1:52" s="41" customFormat="1" ht="84" customHeight="1" x14ac:dyDescent="0.2">
      <c r="A23" s="995"/>
      <c r="B23" s="996"/>
      <c r="C23" s="997"/>
      <c r="D23" s="998"/>
      <c r="E23" s="996"/>
      <c r="F23" s="996"/>
      <c r="G23" s="999"/>
      <c r="H23" s="1000"/>
      <c r="I23" s="996"/>
      <c r="J23" s="989" t="s">
        <v>66</v>
      </c>
      <c r="K23" s="989" t="s">
        <v>55</v>
      </c>
      <c r="L23" s="1001"/>
      <c r="M23" s="1002"/>
      <c r="N23" s="996"/>
      <c r="O23" s="996"/>
      <c r="P23" s="1003"/>
      <c r="Q23" s="981"/>
      <c r="R23" s="172" t="s">
        <v>1434</v>
      </c>
      <c r="S23" s="172" t="s">
        <v>1435</v>
      </c>
      <c r="T23" s="166">
        <v>42493</v>
      </c>
      <c r="U23" s="164" t="s">
        <v>1429</v>
      </c>
      <c r="V23" s="411" t="s">
        <v>202</v>
      </c>
      <c r="W23" s="993">
        <v>850637</v>
      </c>
      <c r="X23" s="134"/>
      <c r="Y23" s="134">
        <f t="shared" si="0"/>
        <v>850637</v>
      </c>
      <c r="Z23" s="994" t="s">
        <v>1430</v>
      </c>
      <c r="AA23" s="411" t="s">
        <v>1436</v>
      </c>
      <c r="AB23" s="411" t="s">
        <v>35</v>
      </c>
      <c r="AC23" s="181" t="s">
        <v>1437</v>
      </c>
      <c r="AD23" s="411" t="s">
        <v>56</v>
      </c>
      <c r="AE23" s="411" t="s">
        <v>56</v>
      </c>
      <c r="AF23" s="411" t="s">
        <v>56</v>
      </c>
      <c r="AG23" s="168" t="s">
        <v>1438</v>
      </c>
      <c r="AH23" s="169">
        <v>42493</v>
      </c>
      <c r="AI23" s="169">
        <v>42734</v>
      </c>
      <c r="AJ23" s="411" t="s">
        <v>922</v>
      </c>
      <c r="AK23" s="134" t="s">
        <v>923</v>
      </c>
      <c r="AL23" s="87" t="s">
        <v>56</v>
      </c>
      <c r="AM23" s="87" t="s">
        <v>56</v>
      </c>
      <c r="AN23" s="87" t="s">
        <v>56</v>
      </c>
      <c r="AO23" s="87" t="s">
        <v>56</v>
      </c>
      <c r="AP23" s="87" t="s">
        <v>56</v>
      </c>
      <c r="AQ23" s="87" t="s">
        <v>56</v>
      </c>
      <c r="AR23" s="87" t="s">
        <v>56</v>
      </c>
      <c r="AS23" s="87" t="s">
        <v>56</v>
      </c>
      <c r="AT23" s="987">
        <v>283546</v>
      </c>
      <c r="AU23" s="986"/>
      <c r="AV23" s="986"/>
      <c r="AW23" s="16"/>
      <c r="AX23" s="986"/>
      <c r="AY23" s="986"/>
      <c r="AZ23" s="986"/>
    </row>
    <row r="24" spans="1:52" s="41" customFormat="1" ht="73.5" customHeight="1" x14ac:dyDescent="0.2">
      <c r="A24" s="995"/>
      <c r="B24" s="996"/>
      <c r="C24" s="997"/>
      <c r="D24" s="998"/>
      <c r="E24" s="996"/>
      <c r="F24" s="996"/>
      <c r="G24" s="999"/>
      <c r="H24" s="1000"/>
      <c r="I24" s="996"/>
      <c r="J24" s="989" t="s">
        <v>66</v>
      </c>
      <c r="K24" s="989" t="s">
        <v>55</v>
      </c>
      <c r="L24" s="1001"/>
      <c r="M24" s="1002"/>
      <c r="N24" s="996"/>
      <c r="O24" s="996"/>
      <c r="P24" s="1003"/>
      <c r="Q24" s="981"/>
      <c r="R24" s="172" t="s">
        <v>1439</v>
      </c>
      <c r="S24" s="172" t="s">
        <v>1428</v>
      </c>
      <c r="T24" s="166">
        <v>42493</v>
      </c>
      <c r="U24" s="164" t="s">
        <v>1429</v>
      </c>
      <c r="V24" s="411" t="s">
        <v>202</v>
      </c>
      <c r="W24" s="993">
        <v>3219362</v>
      </c>
      <c r="X24" s="134"/>
      <c r="Y24" s="134">
        <f t="shared" si="0"/>
        <v>3219362</v>
      </c>
      <c r="Z24" s="994" t="s">
        <v>1430</v>
      </c>
      <c r="AA24" s="411" t="s">
        <v>1436</v>
      </c>
      <c r="AB24" s="411" t="s">
        <v>35</v>
      </c>
      <c r="AC24" s="181" t="s">
        <v>1440</v>
      </c>
      <c r="AD24" s="411" t="s">
        <v>56</v>
      </c>
      <c r="AE24" s="411" t="s">
        <v>56</v>
      </c>
      <c r="AF24" s="411" t="s">
        <v>56</v>
      </c>
      <c r="AG24" s="168" t="s">
        <v>1438</v>
      </c>
      <c r="AH24" s="169">
        <v>42493</v>
      </c>
      <c r="AI24" s="169">
        <v>42734</v>
      </c>
      <c r="AJ24" s="411" t="s">
        <v>922</v>
      </c>
      <c r="AK24" s="134" t="s">
        <v>923</v>
      </c>
      <c r="AL24" s="87" t="s">
        <v>56</v>
      </c>
      <c r="AM24" s="87" t="s">
        <v>56</v>
      </c>
      <c r="AN24" s="87" t="s">
        <v>56</v>
      </c>
      <c r="AO24" s="87" t="s">
        <v>56</v>
      </c>
      <c r="AP24" s="87" t="s">
        <v>56</v>
      </c>
      <c r="AQ24" s="87" t="s">
        <v>56</v>
      </c>
      <c r="AR24" s="87" t="s">
        <v>56</v>
      </c>
      <c r="AS24" s="87" t="s">
        <v>56</v>
      </c>
      <c r="AT24" s="987">
        <v>1073121</v>
      </c>
      <c r="AU24" s="986"/>
      <c r="AV24" s="986"/>
      <c r="AW24" s="16"/>
      <c r="AX24" s="986"/>
      <c r="AY24" s="986"/>
      <c r="AZ24" s="986"/>
    </row>
    <row r="25" spans="1:52" s="41" customFormat="1" ht="90" customHeight="1" x14ac:dyDescent="0.2">
      <c r="A25" s="995"/>
      <c r="B25" s="996"/>
      <c r="C25" s="997"/>
      <c r="D25" s="998"/>
      <c r="E25" s="996"/>
      <c r="F25" s="996"/>
      <c r="G25" s="999"/>
      <c r="H25" s="1000"/>
      <c r="I25" s="996"/>
      <c r="J25" s="989" t="s">
        <v>66</v>
      </c>
      <c r="K25" s="989" t="s">
        <v>55</v>
      </c>
      <c r="L25" s="1001"/>
      <c r="M25" s="1002"/>
      <c r="N25" s="996"/>
      <c r="O25" s="996"/>
      <c r="P25" s="1003"/>
      <c r="Q25" s="981"/>
      <c r="R25" s="172" t="s">
        <v>1441</v>
      </c>
      <c r="S25" s="172" t="s">
        <v>1442</v>
      </c>
      <c r="T25" s="166">
        <v>42493</v>
      </c>
      <c r="U25" s="164" t="s">
        <v>1429</v>
      </c>
      <c r="V25" s="411" t="s">
        <v>202</v>
      </c>
      <c r="W25" s="993">
        <v>6046096</v>
      </c>
      <c r="X25" s="134"/>
      <c r="Y25" s="134">
        <f t="shared" si="0"/>
        <v>6046096</v>
      </c>
      <c r="Z25" s="994" t="s">
        <v>1430</v>
      </c>
      <c r="AA25" s="411" t="s">
        <v>1436</v>
      </c>
      <c r="AB25" s="411" t="s">
        <v>35</v>
      </c>
      <c r="AC25" s="181" t="s">
        <v>1443</v>
      </c>
      <c r="AD25" s="411" t="s">
        <v>56</v>
      </c>
      <c r="AE25" s="411" t="s">
        <v>56</v>
      </c>
      <c r="AF25" s="411" t="s">
        <v>56</v>
      </c>
      <c r="AG25" s="168" t="s">
        <v>1438</v>
      </c>
      <c r="AH25" s="169">
        <v>42493</v>
      </c>
      <c r="AI25" s="169">
        <v>42734</v>
      </c>
      <c r="AJ25" s="411" t="s">
        <v>922</v>
      </c>
      <c r="AK25" s="134" t="s">
        <v>923</v>
      </c>
      <c r="AL25" s="87" t="s">
        <v>56</v>
      </c>
      <c r="AM25" s="87" t="s">
        <v>56</v>
      </c>
      <c r="AN25" s="87" t="s">
        <v>56</v>
      </c>
      <c r="AO25" s="87" t="s">
        <v>56</v>
      </c>
      <c r="AP25" s="87" t="s">
        <v>56</v>
      </c>
      <c r="AQ25" s="87" t="s">
        <v>56</v>
      </c>
      <c r="AR25" s="87" t="s">
        <v>56</v>
      </c>
      <c r="AS25" s="87" t="s">
        <v>56</v>
      </c>
      <c r="AT25" s="987">
        <v>2015365</v>
      </c>
      <c r="AU25" s="986"/>
      <c r="AV25" s="986"/>
      <c r="AW25" s="16"/>
      <c r="AX25" s="986"/>
      <c r="AY25" s="986"/>
      <c r="AZ25" s="986"/>
    </row>
    <row r="26" spans="1:52" s="41" customFormat="1" ht="90" customHeight="1" x14ac:dyDescent="0.2">
      <c r="A26" s="995"/>
      <c r="B26" s="996"/>
      <c r="C26" s="997"/>
      <c r="D26" s="998"/>
      <c r="E26" s="996"/>
      <c r="F26" s="996"/>
      <c r="G26" s="999"/>
      <c r="H26" s="1000"/>
      <c r="I26" s="996"/>
      <c r="J26" s="989" t="s">
        <v>66</v>
      </c>
      <c r="K26" s="989" t="s">
        <v>55</v>
      </c>
      <c r="L26" s="1001"/>
      <c r="M26" s="1002"/>
      <c r="N26" s="996"/>
      <c r="O26" s="996"/>
      <c r="P26" s="1003"/>
      <c r="Q26" s="981"/>
      <c r="R26" s="172" t="s">
        <v>2854</v>
      </c>
      <c r="S26" s="1004" t="s">
        <v>2855</v>
      </c>
      <c r="T26" s="28">
        <v>42562</v>
      </c>
      <c r="U26" s="29" t="s">
        <v>2856</v>
      </c>
      <c r="V26" s="181" t="s">
        <v>202</v>
      </c>
      <c r="W26" s="1005">
        <v>488224</v>
      </c>
      <c r="X26" s="833"/>
      <c r="Y26" s="134">
        <f>SUM(W26+X26)</f>
        <v>488224</v>
      </c>
      <c r="Z26" s="831" t="s">
        <v>2857</v>
      </c>
      <c r="AA26" s="411" t="s">
        <v>2858</v>
      </c>
      <c r="AB26" s="411" t="s">
        <v>35</v>
      </c>
      <c r="AC26" s="181" t="s">
        <v>2859</v>
      </c>
      <c r="AD26" s="411" t="s">
        <v>56</v>
      </c>
      <c r="AE26" s="411" t="s">
        <v>56</v>
      </c>
      <c r="AF26" s="411" t="s">
        <v>56</v>
      </c>
      <c r="AG26" s="831" t="s">
        <v>2860</v>
      </c>
      <c r="AH26" s="169">
        <v>42562</v>
      </c>
      <c r="AI26" s="169">
        <v>42734</v>
      </c>
      <c r="AJ26" s="411" t="s">
        <v>922</v>
      </c>
      <c r="AK26" s="134" t="s">
        <v>923</v>
      </c>
      <c r="AL26" s="87"/>
      <c r="AM26" s="983"/>
      <c r="AN26" s="983"/>
      <c r="AO26" s="984"/>
      <c r="AP26" s="983"/>
      <c r="AQ26" s="32"/>
      <c r="AR26" s="986"/>
      <c r="AS26" s="985"/>
      <c r="AT26" s="986"/>
      <c r="AU26" s="986"/>
      <c r="AV26" s="986"/>
      <c r="AW26" s="16"/>
      <c r="AX26" s="986"/>
      <c r="AY26" s="986"/>
      <c r="AZ26" s="986"/>
    </row>
    <row r="27" spans="1:52" s="41" customFormat="1" ht="85.5" customHeight="1" x14ac:dyDescent="0.2">
      <c r="A27" s="939"/>
      <c r="B27" s="945"/>
      <c r="C27" s="841"/>
      <c r="D27" s="1006"/>
      <c r="E27" s="945"/>
      <c r="F27" s="945"/>
      <c r="G27" s="964"/>
      <c r="H27" s="953"/>
      <c r="I27" s="945"/>
      <c r="J27" s="989" t="s">
        <v>66</v>
      </c>
      <c r="K27" s="989" t="s">
        <v>55</v>
      </c>
      <c r="L27" s="1007"/>
      <c r="M27" s="1008"/>
      <c r="N27" s="945"/>
      <c r="O27" s="945"/>
      <c r="P27" s="1009"/>
      <c r="Q27" s="981"/>
      <c r="R27" s="172" t="s">
        <v>1444</v>
      </c>
      <c r="S27" s="172" t="s">
        <v>1435</v>
      </c>
      <c r="T27" s="166">
        <v>42493</v>
      </c>
      <c r="U27" s="164" t="s">
        <v>1429</v>
      </c>
      <c r="V27" s="411" t="s">
        <v>202</v>
      </c>
      <c r="W27" s="993">
        <v>1648309</v>
      </c>
      <c r="X27" s="833"/>
      <c r="Y27" s="134">
        <f t="shared" si="0"/>
        <v>1648309</v>
      </c>
      <c r="Z27" s="994" t="s">
        <v>1430</v>
      </c>
      <c r="AA27" s="411" t="s">
        <v>1436</v>
      </c>
      <c r="AB27" s="411" t="s">
        <v>35</v>
      </c>
      <c r="AC27" s="181" t="s">
        <v>1445</v>
      </c>
      <c r="AD27" s="411" t="s">
        <v>56</v>
      </c>
      <c r="AE27" s="411" t="s">
        <v>56</v>
      </c>
      <c r="AF27" s="411" t="s">
        <v>56</v>
      </c>
      <c r="AG27" s="168" t="s">
        <v>1438</v>
      </c>
      <c r="AH27" s="169">
        <v>42493</v>
      </c>
      <c r="AI27" s="169">
        <v>42734</v>
      </c>
      <c r="AJ27" s="411" t="s">
        <v>922</v>
      </c>
      <c r="AK27" s="134" t="s">
        <v>923</v>
      </c>
      <c r="AL27" s="87" t="s">
        <v>56</v>
      </c>
      <c r="AM27" s="87" t="s">
        <v>56</v>
      </c>
      <c r="AN27" s="87" t="s">
        <v>56</v>
      </c>
      <c r="AO27" s="87" t="s">
        <v>56</v>
      </c>
      <c r="AP27" s="87" t="s">
        <v>56</v>
      </c>
      <c r="AQ27" s="87" t="s">
        <v>56</v>
      </c>
      <c r="AR27" s="87" t="s">
        <v>56</v>
      </c>
      <c r="AS27" s="87" t="s">
        <v>56</v>
      </c>
      <c r="AT27" s="1010">
        <v>473652</v>
      </c>
      <c r="AU27" s="1011"/>
      <c r="AV27" s="1011"/>
      <c r="AW27" s="16"/>
      <c r="AX27" s="1011"/>
      <c r="AY27" s="1011"/>
      <c r="AZ27" s="1011"/>
    </row>
    <row r="28" spans="1:52" s="12" customFormat="1" ht="117.75" customHeight="1" x14ac:dyDescent="0.2">
      <c r="A28" s="832">
        <v>4</v>
      </c>
      <c r="B28" s="833" t="s">
        <v>991</v>
      </c>
      <c r="C28" s="833">
        <v>25172504</v>
      </c>
      <c r="D28" s="163" t="s">
        <v>85</v>
      </c>
      <c r="E28" s="833" t="s">
        <v>76</v>
      </c>
      <c r="F28" s="833">
        <v>1</v>
      </c>
      <c r="G28" s="834" t="s">
        <v>162</v>
      </c>
      <c r="H28" s="485">
        <v>1</v>
      </c>
      <c r="I28" s="833" t="s">
        <v>86</v>
      </c>
      <c r="J28" s="833" t="s">
        <v>87</v>
      </c>
      <c r="K28" s="833" t="s">
        <v>55</v>
      </c>
      <c r="L28" s="68">
        <v>1000000</v>
      </c>
      <c r="M28" s="69">
        <v>1000000</v>
      </c>
      <c r="N28" s="833" t="s">
        <v>81</v>
      </c>
      <c r="O28" s="833" t="s">
        <v>56</v>
      </c>
      <c r="P28" s="25" t="s">
        <v>82</v>
      </c>
      <c r="Q28" s="981"/>
      <c r="R28" s="172" t="s">
        <v>2633</v>
      </c>
      <c r="S28" s="172" t="s">
        <v>1399</v>
      </c>
      <c r="T28" s="28">
        <v>42515</v>
      </c>
      <c r="U28" s="1012" t="s">
        <v>2634</v>
      </c>
      <c r="V28" s="181" t="s">
        <v>579</v>
      </c>
      <c r="W28" s="1005">
        <v>999400</v>
      </c>
      <c r="X28" s="833"/>
      <c r="Y28" s="134">
        <f t="shared" si="0"/>
        <v>999400</v>
      </c>
      <c r="Z28" s="994" t="s">
        <v>2635</v>
      </c>
      <c r="AA28" s="181" t="s">
        <v>2636</v>
      </c>
      <c r="AB28" s="181" t="s">
        <v>35</v>
      </c>
      <c r="AC28" s="181" t="s">
        <v>2637</v>
      </c>
      <c r="AD28" s="181" t="s">
        <v>56</v>
      </c>
      <c r="AE28" s="181" t="s">
        <v>56</v>
      </c>
      <c r="AF28" s="181" t="s">
        <v>56</v>
      </c>
      <c r="AG28" s="1013" t="s">
        <v>2638</v>
      </c>
      <c r="AH28" s="1014">
        <v>42515</v>
      </c>
      <c r="AI28" s="1014">
        <v>42545</v>
      </c>
      <c r="AJ28" s="411" t="s">
        <v>207</v>
      </c>
      <c r="AK28" s="134" t="s">
        <v>2639</v>
      </c>
      <c r="AL28" s="87" t="s">
        <v>56</v>
      </c>
      <c r="AM28" s="87" t="s">
        <v>56</v>
      </c>
      <c r="AN28" s="87" t="s">
        <v>56</v>
      </c>
      <c r="AO28" s="87" t="s">
        <v>56</v>
      </c>
      <c r="AP28" s="87" t="s">
        <v>56</v>
      </c>
      <c r="AQ28" s="87" t="s">
        <v>56</v>
      </c>
      <c r="AR28" s="1015">
        <v>999400</v>
      </c>
      <c r="AS28" s="16"/>
      <c r="AT28" s="38"/>
      <c r="AU28" s="36"/>
      <c r="AV28" s="16"/>
      <c r="AW28" s="16"/>
      <c r="AX28" s="16"/>
      <c r="AY28" s="16"/>
      <c r="AZ28" s="16"/>
    </row>
    <row r="29" spans="1:52" s="41" customFormat="1" ht="111.75" customHeight="1" x14ac:dyDescent="0.2">
      <c r="A29" s="832">
        <v>5</v>
      </c>
      <c r="B29" s="833" t="s">
        <v>991</v>
      </c>
      <c r="C29" s="833" t="s">
        <v>111</v>
      </c>
      <c r="D29" s="163" t="s">
        <v>64</v>
      </c>
      <c r="E29" s="833" t="s">
        <v>76</v>
      </c>
      <c r="F29" s="833">
        <v>1</v>
      </c>
      <c r="G29" s="834" t="s">
        <v>161</v>
      </c>
      <c r="H29" s="485">
        <v>8</v>
      </c>
      <c r="I29" s="833" t="s">
        <v>80</v>
      </c>
      <c r="J29" s="833" t="s">
        <v>65</v>
      </c>
      <c r="K29" s="833" t="s">
        <v>55</v>
      </c>
      <c r="L29" s="68">
        <v>5000000</v>
      </c>
      <c r="M29" s="69">
        <v>5000000</v>
      </c>
      <c r="N29" s="833" t="s">
        <v>81</v>
      </c>
      <c r="O29" s="833" t="s">
        <v>56</v>
      </c>
      <c r="P29" s="25" t="s">
        <v>82</v>
      </c>
      <c r="Q29" s="981"/>
      <c r="R29" s="172" t="s">
        <v>912</v>
      </c>
      <c r="S29" s="172" t="s">
        <v>1065</v>
      </c>
      <c r="T29" s="28">
        <v>42429</v>
      </c>
      <c r="U29" s="1012" t="s">
        <v>913</v>
      </c>
      <c r="V29" s="181" t="s">
        <v>579</v>
      </c>
      <c r="W29" s="30">
        <v>4705929.4000000004</v>
      </c>
      <c r="X29" s="833"/>
      <c r="Y29" s="134">
        <f t="shared" si="0"/>
        <v>4705929.4000000004</v>
      </c>
      <c r="Z29" s="411" t="s">
        <v>914</v>
      </c>
      <c r="AA29" s="181" t="s">
        <v>915</v>
      </c>
      <c r="AB29" s="181" t="s">
        <v>35</v>
      </c>
      <c r="AC29" s="181" t="s">
        <v>916</v>
      </c>
      <c r="AD29" s="181" t="s">
        <v>56</v>
      </c>
      <c r="AE29" s="181" t="s">
        <v>56</v>
      </c>
      <c r="AF29" s="181" t="s">
        <v>56</v>
      </c>
      <c r="AG29" s="1016" t="s">
        <v>917</v>
      </c>
      <c r="AH29" s="1014">
        <v>42429</v>
      </c>
      <c r="AI29" s="1014">
        <v>42735</v>
      </c>
      <c r="AJ29" s="181" t="s">
        <v>207</v>
      </c>
      <c r="AK29" s="1017" t="s">
        <v>728</v>
      </c>
      <c r="AL29" s="87" t="s">
        <v>56</v>
      </c>
      <c r="AM29" s="87" t="s">
        <v>56</v>
      </c>
      <c r="AN29" s="1018">
        <v>4705929.4000000004</v>
      </c>
      <c r="AO29" s="70"/>
      <c r="AP29" s="32"/>
      <c r="AQ29" s="32"/>
      <c r="AR29" s="32"/>
      <c r="AS29" s="16"/>
      <c r="AT29" s="32"/>
      <c r="AU29" s="32"/>
      <c r="AV29" s="32"/>
      <c r="AW29" s="16"/>
      <c r="AX29" s="32"/>
      <c r="AY29" s="32"/>
      <c r="AZ29" s="32"/>
    </row>
    <row r="30" spans="1:52" s="12" customFormat="1" ht="72.75" customHeight="1" x14ac:dyDescent="0.25">
      <c r="A30" s="832">
        <v>6</v>
      </c>
      <c r="B30" s="833" t="s">
        <v>991</v>
      </c>
      <c r="C30" s="833">
        <v>44103103</v>
      </c>
      <c r="D30" s="163" t="s">
        <v>2609</v>
      </c>
      <c r="E30" s="833" t="s">
        <v>76</v>
      </c>
      <c r="F30" s="833">
        <v>1</v>
      </c>
      <c r="G30" s="834" t="s">
        <v>167</v>
      </c>
      <c r="H30" s="485">
        <v>3</v>
      </c>
      <c r="I30" s="833" t="s">
        <v>2610</v>
      </c>
      <c r="J30" s="833" t="s">
        <v>65</v>
      </c>
      <c r="K30" s="833" t="s">
        <v>55</v>
      </c>
      <c r="L30" s="68">
        <v>25000000</v>
      </c>
      <c r="M30" s="69">
        <v>25000000</v>
      </c>
      <c r="N30" s="833" t="s">
        <v>81</v>
      </c>
      <c r="O30" s="833" t="s">
        <v>56</v>
      </c>
      <c r="P30" s="25" t="s">
        <v>82</v>
      </c>
      <c r="Q30" s="981"/>
      <c r="R30" s="81"/>
      <c r="S30" s="85"/>
      <c r="T30" s="27"/>
      <c r="U30" s="412"/>
      <c r="V30" s="16"/>
      <c r="W30" s="833"/>
      <c r="X30" s="833"/>
      <c r="Y30" s="134">
        <f t="shared" si="0"/>
        <v>0</v>
      </c>
      <c r="Z30" s="39"/>
      <c r="AA30" s="16"/>
      <c r="AB30" s="833"/>
      <c r="AC30" s="833"/>
      <c r="AD30" s="833"/>
      <c r="AE30" s="833"/>
      <c r="AF30" s="833"/>
      <c r="AG30" s="833"/>
      <c r="AH30" s="833"/>
      <c r="AI30" s="31"/>
      <c r="AJ30" s="31"/>
      <c r="AK30" s="86"/>
      <c r="AL30" s="87"/>
      <c r="AM30" s="32"/>
      <c r="AN30" s="32"/>
      <c r="AO30" s="70"/>
      <c r="AP30" s="32"/>
      <c r="AQ30" s="32"/>
      <c r="AR30" s="32"/>
      <c r="AS30" s="70"/>
      <c r="AT30" s="32"/>
      <c r="AU30" s="32"/>
      <c r="AV30" s="32"/>
      <c r="AW30" s="16"/>
      <c r="AX30" s="32"/>
      <c r="AY30" s="32"/>
      <c r="AZ30" s="32"/>
    </row>
    <row r="31" spans="1:52" s="12" customFormat="1" ht="85.5" customHeight="1" x14ac:dyDescent="0.2">
      <c r="A31" s="832">
        <v>7</v>
      </c>
      <c r="B31" s="833" t="s">
        <v>991</v>
      </c>
      <c r="C31" s="833" t="s">
        <v>153</v>
      </c>
      <c r="D31" s="163" t="s">
        <v>88</v>
      </c>
      <c r="E31" s="833" t="s">
        <v>76</v>
      </c>
      <c r="F31" s="833">
        <v>1</v>
      </c>
      <c r="G31" s="834" t="s">
        <v>159</v>
      </c>
      <c r="H31" s="485">
        <v>1</v>
      </c>
      <c r="I31" s="833" t="s">
        <v>89</v>
      </c>
      <c r="J31" s="833" t="s">
        <v>831</v>
      </c>
      <c r="K31" s="833" t="s">
        <v>55</v>
      </c>
      <c r="L31" s="68">
        <v>6500000</v>
      </c>
      <c r="M31" s="69">
        <v>6500000</v>
      </c>
      <c r="N31" s="833" t="s">
        <v>81</v>
      </c>
      <c r="O31" s="833" t="s">
        <v>56</v>
      </c>
      <c r="P31" s="25" t="s">
        <v>82</v>
      </c>
      <c r="Q31" s="981"/>
      <c r="R31" s="1019" t="s">
        <v>576</v>
      </c>
      <c r="S31" s="1019" t="s">
        <v>577</v>
      </c>
      <c r="T31" s="1020">
        <v>42397</v>
      </c>
      <c r="U31" s="1021" t="s">
        <v>578</v>
      </c>
      <c r="V31" s="1021" t="s">
        <v>579</v>
      </c>
      <c r="W31" s="1022">
        <v>3101205</v>
      </c>
      <c r="X31" s="1023"/>
      <c r="Y31" s="134">
        <v>3101205</v>
      </c>
      <c r="Z31" s="1021" t="s">
        <v>580</v>
      </c>
      <c r="AA31" s="1021" t="s">
        <v>581</v>
      </c>
      <c r="AB31" s="1021" t="s">
        <v>35</v>
      </c>
      <c r="AC31" s="1021" t="s">
        <v>727</v>
      </c>
      <c r="AD31" s="1021" t="s">
        <v>691</v>
      </c>
      <c r="AE31" s="1024">
        <v>42403</v>
      </c>
      <c r="AF31" s="1024">
        <v>42408</v>
      </c>
      <c r="AG31" s="1021" t="s">
        <v>582</v>
      </c>
      <c r="AH31" s="1024">
        <v>42408</v>
      </c>
      <c r="AI31" s="1024">
        <v>42436</v>
      </c>
      <c r="AJ31" s="1021" t="s">
        <v>207</v>
      </c>
      <c r="AK31" s="1025" t="s">
        <v>728</v>
      </c>
      <c r="AL31" s="1026"/>
      <c r="AM31" s="1021"/>
      <c r="AN31" s="1021"/>
      <c r="AO31" s="1021"/>
      <c r="AP31" s="1021"/>
      <c r="AQ31" s="1021"/>
      <c r="AR31" s="1021"/>
      <c r="AS31" s="1021"/>
      <c r="AT31" s="1021"/>
      <c r="AU31" s="1021"/>
      <c r="AV31" s="1021"/>
      <c r="AW31" s="1021"/>
      <c r="AX31" s="1021"/>
      <c r="AY31" s="1021"/>
      <c r="AZ31" s="1021"/>
    </row>
    <row r="32" spans="1:52" s="12" customFormat="1" ht="54.75" customHeight="1" x14ac:dyDescent="0.2">
      <c r="A32" s="832">
        <v>8</v>
      </c>
      <c r="B32" s="833" t="s">
        <v>991</v>
      </c>
      <c r="C32" s="833" t="s">
        <v>154</v>
      </c>
      <c r="D32" s="163" t="s">
        <v>90</v>
      </c>
      <c r="E32" s="833" t="s">
        <v>76</v>
      </c>
      <c r="F32" s="833">
        <v>1</v>
      </c>
      <c r="G32" s="834" t="s">
        <v>159</v>
      </c>
      <c r="H32" s="485">
        <v>1</v>
      </c>
      <c r="I32" s="833" t="s">
        <v>89</v>
      </c>
      <c r="J32" s="833" t="s">
        <v>830</v>
      </c>
      <c r="K32" s="833" t="s">
        <v>55</v>
      </c>
      <c r="L32" s="68">
        <v>7000000</v>
      </c>
      <c r="M32" s="69">
        <v>7000000</v>
      </c>
      <c r="N32" s="833" t="s">
        <v>81</v>
      </c>
      <c r="O32" s="833" t="s">
        <v>56</v>
      </c>
      <c r="P32" s="25" t="s">
        <v>82</v>
      </c>
      <c r="Q32" s="981"/>
      <c r="R32" s="1027"/>
      <c r="S32" s="1027"/>
      <c r="T32" s="1028"/>
      <c r="U32" s="959"/>
      <c r="V32" s="959"/>
      <c r="W32" s="1022">
        <v>5740453</v>
      </c>
      <c r="X32" s="1029"/>
      <c r="Y32" s="134">
        <v>5740453</v>
      </c>
      <c r="Z32" s="959"/>
      <c r="AA32" s="959"/>
      <c r="AB32" s="959"/>
      <c r="AC32" s="959"/>
      <c r="AD32" s="959"/>
      <c r="AE32" s="1030"/>
      <c r="AF32" s="1030"/>
      <c r="AG32" s="959"/>
      <c r="AH32" s="1030"/>
      <c r="AI32" s="1030"/>
      <c r="AJ32" s="959"/>
      <c r="AK32" s="1031"/>
      <c r="AL32" s="1032"/>
      <c r="AM32" s="959"/>
      <c r="AN32" s="959"/>
      <c r="AO32" s="959"/>
      <c r="AP32" s="959"/>
      <c r="AQ32" s="959"/>
      <c r="AR32" s="959"/>
      <c r="AS32" s="959"/>
      <c r="AT32" s="959"/>
      <c r="AU32" s="959"/>
      <c r="AV32" s="959"/>
      <c r="AW32" s="959"/>
      <c r="AX32" s="959"/>
      <c r="AY32" s="959"/>
      <c r="AZ32" s="959"/>
    </row>
    <row r="33" spans="1:52" s="41" customFormat="1" ht="69" customHeight="1" x14ac:dyDescent="0.25">
      <c r="A33" s="832">
        <v>9</v>
      </c>
      <c r="B33" s="833" t="s">
        <v>991</v>
      </c>
      <c r="C33" s="833" t="s">
        <v>155</v>
      </c>
      <c r="D33" s="163" t="s">
        <v>72</v>
      </c>
      <c r="E33" s="833" t="s">
        <v>76</v>
      </c>
      <c r="F33" s="833">
        <v>1</v>
      </c>
      <c r="G33" s="834" t="s">
        <v>167</v>
      </c>
      <c r="H33" s="485">
        <v>1</v>
      </c>
      <c r="I33" s="833" t="s">
        <v>89</v>
      </c>
      <c r="J33" s="833" t="s">
        <v>71</v>
      </c>
      <c r="K33" s="833" t="s">
        <v>55</v>
      </c>
      <c r="L33" s="68">
        <v>4200000</v>
      </c>
      <c r="M33" s="69">
        <v>4200000</v>
      </c>
      <c r="N33" s="833" t="s">
        <v>81</v>
      </c>
      <c r="O33" s="833" t="s">
        <v>56</v>
      </c>
      <c r="P33" s="25" t="s">
        <v>82</v>
      </c>
      <c r="Q33" s="981"/>
      <c r="R33" s="81"/>
      <c r="S33" s="85"/>
      <c r="T33" s="27"/>
      <c r="U33" s="412"/>
      <c r="V33" s="16"/>
      <c r="W33" s="833"/>
      <c r="X33" s="833"/>
      <c r="Y33" s="134">
        <f t="shared" si="0"/>
        <v>0</v>
      </c>
      <c r="Z33" s="39"/>
      <c r="AA33" s="34"/>
      <c r="AB33" s="833"/>
      <c r="AC33" s="833"/>
      <c r="AD33" s="833"/>
      <c r="AE33" s="833"/>
      <c r="AF33" s="833"/>
      <c r="AG33" s="833"/>
      <c r="AH33" s="833"/>
      <c r="AI33" s="31"/>
      <c r="AJ33" s="31"/>
      <c r="AK33" s="86"/>
      <c r="AL33" s="87"/>
      <c r="AM33" s="32"/>
      <c r="AN33" s="32"/>
      <c r="AO33" s="40"/>
      <c r="AP33" s="32"/>
      <c r="AQ33" s="16"/>
      <c r="AR33" s="36"/>
      <c r="AS33" s="16"/>
      <c r="AT33" s="38"/>
      <c r="AU33" s="36"/>
      <c r="AV33" s="16"/>
      <c r="AW33" s="16"/>
      <c r="AX33" s="16"/>
      <c r="AY33" s="16"/>
      <c r="AZ33" s="16"/>
    </row>
    <row r="34" spans="1:52" s="41" customFormat="1" ht="95.25" customHeight="1" x14ac:dyDescent="0.2">
      <c r="A34" s="832">
        <v>10</v>
      </c>
      <c r="B34" s="836" t="s">
        <v>991</v>
      </c>
      <c r="C34" s="836">
        <v>72101506</v>
      </c>
      <c r="D34" s="162" t="s">
        <v>2611</v>
      </c>
      <c r="E34" s="836" t="s">
        <v>76</v>
      </c>
      <c r="F34" s="836">
        <v>1</v>
      </c>
      <c r="G34" s="834" t="s">
        <v>165</v>
      </c>
      <c r="H34" s="485" t="s">
        <v>1771</v>
      </c>
      <c r="I34" s="836" t="s">
        <v>89</v>
      </c>
      <c r="J34" s="836" t="s">
        <v>74</v>
      </c>
      <c r="K34" s="836" t="s">
        <v>55</v>
      </c>
      <c r="L34" s="56">
        <v>12010312</v>
      </c>
      <c r="M34" s="57">
        <v>5200000</v>
      </c>
      <c r="N34" s="836" t="s">
        <v>78</v>
      </c>
      <c r="O34" s="836" t="s">
        <v>56</v>
      </c>
      <c r="P34" s="58" t="s">
        <v>82</v>
      </c>
      <c r="Q34" s="981"/>
      <c r="R34" s="172" t="s">
        <v>2861</v>
      </c>
      <c r="S34" s="172" t="s">
        <v>2862</v>
      </c>
      <c r="T34" s="28">
        <v>42559</v>
      </c>
      <c r="U34" s="29" t="s">
        <v>2863</v>
      </c>
      <c r="V34" s="181" t="s">
        <v>594</v>
      </c>
      <c r="W34" s="30">
        <v>11000000</v>
      </c>
      <c r="X34" s="833"/>
      <c r="Y34" s="134">
        <f>SUM(W34+X34)</f>
        <v>11000000</v>
      </c>
      <c r="Z34" s="831" t="s">
        <v>2864</v>
      </c>
      <c r="AA34" s="411" t="s">
        <v>2865</v>
      </c>
      <c r="AB34" s="411" t="s">
        <v>35</v>
      </c>
      <c r="AC34" s="181" t="s">
        <v>2866</v>
      </c>
      <c r="AD34" s="411" t="s">
        <v>56</v>
      </c>
      <c r="AE34" s="411" t="s">
        <v>56</v>
      </c>
      <c r="AF34" s="411" t="s">
        <v>56</v>
      </c>
      <c r="AG34" s="831" t="s">
        <v>2867</v>
      </c>
      <c r="AH34" s="169">
        <v>42583</v>
      </c>
      <c r="AI34" s="169">
        <v>42916</v>
      </c>
      <c r="AJ34" s="411" t="s">
        <v>722</v>
      </c>
      <c r="AK34" s="134" t="s">
        <v>2639</v>
      </c>
      <c r="AL34" s="1033"/>
      <c r="AM34" s="1033"/>
      <c r="AN34" s="1033"/>
      <c r="AO34" s="1033"/>
      <c r="AP34" s="1033"/>
      <c r="AQ34" s="1033"/>
      <c r="AR34" s="1033"/>
      <c r="AS34" s="1033"/>
      <c r="AT34" s="1033"/>
      <c r="AU34" s="1033"/>
      <c r="AV34" s="1033"/>
      <c r="AW34" s="1033"/>
      <c r="AX34" s="1033"/>
      <c r="AY34" s="1033"/>
      <c r="AZ34" s="1033"/>
    </row>
    <row r="35" spans="1:52" s="41" customFormat="1" ht="67.5" customHeight="1" x14ac:dyDescent="0.2">
      <c r="A35" s="938">
        <v>11</v>
      </c>
      <c r="B35" s="944" t="s">
        <v>991</v>
      </c>
      <c r="C35" s="840" t="s">
        <v>156</v>
      </c>
      <c r="D35" s="988" t="s">
        <v>57</v>
      </c>
      <c r="E35" s="944" t="s">
        <v>76</v>
      </c>
      <c r="F35" s="944">
        <v>1</v>
      </c>
      <c r="G35" s="963" t="s">
        <v>166</v>
      </c>
      <c r="H35" s="952">
        <v>10</v>
      </c>
      <c r="I35" s="944" t="s">
        <v>89</v>
      </c>
      <c r="J35" s="833" t="s">
        <v>58</v>
      </c>
      <c r="K35" s="833" t="s">
        <v>55</v>
      </c>
      <c r="L35" s="68">
        <v>8150000</v>
      </c>
      <c r="M35" s="69">
        <v>8150000</v>
      </c>
      <c r="N35" s="833" t="s">
        <v>81</v>
      </c>
      <c r="O35" s="833" t="s">
        <v>56</v>
      </c>
      <c r="P35" s="25" t="s">
        <v>82</v>
      </c>
      <c r="Q35" s="981"/>
      <c r="R35" s="982" t="s">
        <v>875</v>
      </c>
      <c r="S35" s="982" t="s">
        <v>876</v>
      </c>
      <c r="T35" s="166">
        <v>42433</v>
      </c>
      <c r="U35" s="164" t="s">
        <v>877</v>
      </c>
      <c r="V35" s="988" t="s">
        <v>594</v>
      </c>
      <c r="W35" s="134">
        <v>8100000</v>
      </c>
      <c r="X35" s="988"/>
      <c r="Y35" s="134">
        <v>8100000</v>
      </c>
      <c r="Z35" s="988" t="s">
        <v>823</v>
      </c>
      <c r="AA35" s="988" t="s">
        <v>878</v>
      </c>
      <c r="AB35" s="988" t="s">
        <v>35</v>
      </c>
      <c r="AC35" s="988" t="s">
        <v>879</v>
      </c>
      <c r="AD35" s="988" t="s">
        <v>691</v>
      </c>
      <c r="AE35" s="1034">
        <v>42433</v>
      </c>
      <c r="AF35" s="1034">
        <v>42437</v>
      </c>
      <c r="AG35" s="1035" t="s">
        <v>880</v>
      </c>
      <c r="AH35" s="1034">
        <v>42437</v>
      </c>
      <c r="AI35" s="1034">
        <v>42735</v>
      </c>
      <c r="AJ35" s="988" t="s">
        <v>207</v>
      </c>
      <c r="AK35" s="1036" t="s">
        <v>728</v>
      </c>
      <c r="AL35" s="1037" t="s">
        <v>56</v>
      </c>
      <c r="AM35" s="32" t="s">
        <v>56</v>
      </c>
      <c r="AN35" s="32" t="s">
        <v>56</v>
      </c>
      <c r="AO35" s="32" t="s">
        <v>56</v>
      </c>
      <c r="AP35" s="32" t="s">
        <v>56</v>
      </c>
      <c r="AQ35" s="983">
        <v>2877078</v>
      </c>
      <c r="AR35" s="32" t="s">
        <v>56</v>
      </c>
      <c r="AS35" s="16"/>
      <c r="AT35" s="1038">
        <v>1620000</v>
      </c>
      <c r="AU35" s="36"/>
      <c r="AV35" s="16"/>
      <c r="AW35" s="16"/>
      <c r="AX35" s="16"/>
      <c r="AY35" s="16"/>
      <c r="AZ35" s="16"/>
    </row>
    <row r="36" spans="1:52" s="41" customFormat="1" ht="67.5" customHeight="1" x14ac:dyDescent="0.2">
      <c r="A36" s="939"/>
      <c r="B36" s="945"/>
      <c r="C36" s="841"/>
      <c r="D36" s="1006"/>
      <c r="E36" s="945"/>
      <c r="F36" s="945"/>
      <c r="G36" s="964"/>
      <c r="H36" s="953"/>
      <c r="I36" s="945"/>
      <c r="J36" s="833" t="s">
        <v>71</v>
      </c>
      <c r="K36" s="833" t="s">
        <v>55</v>
      </c>
      <c r="L36" s="68">
        <v>1350000</v>
      </c>
      <c r="M36" s="69">
        <v>1350000</v>
      </c>
      <c r="N36" s="833" t="s">
        <v>81</v>
      </c>
      <c r="O36" s="833" t="s">
        <v>56</v>
      </c>
      <c r="P36" s="25" t="s">
        <v>110</v>
      </c>
      <c r="Q36" s="981"/>
      <c r="R36" s="982"/>
      <c r="S36" s="982"/>
      <c r="T36" s="166"/>
      <c r="U36" s="164"/>
      <c r="V36" s="1006"/>
      <c r="W36" s="134">
        <v>1350000</v>
      </c>
      <c r="X36" s="1006"/>
      <c r="Y36" s="134">
        <v>1350000</v>
      </c>
      <c r="Z36" s="1006"/>
      <c r="AA36" s="1006"/>
      <c r="AB36" s="1006"/>
      <c r="AC36" s="1006"/>
      <c r="AD36" s="1006"/>
      <c r="AE36" s="1039"/>
      <c r="AF36" s="1039"/>
      <c r="AG36" s="1040"/>
      <c r="AH36" s="1039"/>
      <c r="AI36" s="1039"/>
      <c r="AJ36" s="1006"/>
      <c r="AK36" s="1041"/>
      <c r="AL36" s="1042"/>
      <c r="AM36" s="87"/>
      <c r="AN36" s="87"/>
      <c r="AO36" s="1043"/>
      <c r="AP36" s="32"/>
      <c r="AQ36" s="16"/>
      <c r="AR36" s="36"/>
      <c r="AS36" s="16"/>
      <c r="AT36" s="38"/>
      <c r="AU36" s="36"/>
      <c r="AV36" s="16"/>
      <c r="AW36" s="16"/>
      <c r="AX36" s="16"/>
      <c r="AY36" s="16"/>
      <c r="AZ36" s="16"/>
    </row>
    <row r="37" spans="1:52" s="41" customFormat="1" ht="78.75" customHeight="1" x14ac:dyDescent="0.2">
      <c r="A37" s="832">
        <v>12</v>
      </c>
      <c r="B37" s="833" t="s">
        <v>991</v>
      </c>
      <c r="C37" s="833">
        <v>72103302</v>
      </c>
      <c r="D37" s="163" t="s">
        <v>59</v>
      </c>
      <c r="E37" s="833" t="s">
        <v>76</v>
      </c>
      <c r="F37" s="833">
        <v>1</v>
      </c>
      <c r="G37" s="834" t="s">
        <v>166</v>
      </c>
      <c r="H37" s="485">
        <v>6</v>
      </c>
      <c r="I37" s="833" t="s">
        <v>89</v>
      </c>
      <c r="J37" s="833" t="s">
        <v>60</v>
      </c>
      <c r="K37" s="833" t="s">
        <v>55</v>
      </c>
      <c r="L37" s="68">
        <v>3990000</v>
      </c>
      <c r="M37" s="69">
        <v>3990000</v>
      </c>
      <c r="N37" s="833" t="s">
        <v>81</v>
      </c>
      <c r="O37" s="833" t="s">
        <v>56</v>
      </c>
      <c r="P37" s="25" t="s">
        <v>82</v>
      </c>
      <c r="Q37" s="981"/>
      <c r="R37" s="172" t="s">
        <v>814</v>
      </c>
      <c r="S37" s="172" t="s">
        <v>815</v>
      </c>
      <c r="T37" s="28">
        <v>42430</v>
      </c>
      <c r="U37" s="1012" t="s">
        <v>816</v>
      </c>
      <c r="V37" s="181" t="s">
        <v>594</v>
      </c>
      <c r="W37" s="30">
        <v>3750000</v>
      </c>
      <c r="X37" s="30"/>
      <c r="Y37" s="134">
        <f t="shared" si="0"/>
        <v>3750000</v>
      </c>
      <c r="Z37" s="181" t="s">
        <v>817</v>
      </c>
      <c r="AA37" s="181" t="s">
        <v>818</v>
      </c>
      <c r="AB37" s="181" t="s">
        <v>35</v>
      </c>
      <c r="AC37" s="181" t="s">
        <v>819</v>
      </c>
      <c r="AD37" s="181"/>
      <c r="AE37" s="181"/>
      <c r="AF37" s="181"/>
      <c r="AG37" s="1016" t="s">
        <v>820</v>
      </c>
      <c r="AH37" s="1014"/>
      <c r="AI37" s="1014">
        <v>42613</v>
      </c>
      <c r="AJ37" s="181" t="s">
        <v>207</v>
      </c>
      <c r="AK37" s="1017" t="s">
        <v>728</v>
      </c>
      <c r="AL37" s="87" t="s">
        <v>56</v>
      </c>
      <c r="AM37" s="87" t="s">
        <v>56</v>
      </c>
      <c r="AN37" s="87" t="s">
        <v>56</v>
      </c>
      <c r="AO37" s="87" t="s">
        <v>56</v>
      </c>
      <c r="AP37" s="87" t="s">
        <v>56</v>
      </c>
      <c r="AQ37" s="983">
        <v>625000</v>
      </c>
      <c r="AR37" s="983">
        <v>625000</v>
      </c>
      <c r="AS37" s="16"/>
      <c r="AT37" s="983">
        <v>625000</v>
      </c>
      <c r="AU37" s="983">
        <v>625000</v>
      </c>
      <c r="AV37" s="16"/>
      <c r="AW37" s="16"/>
      <c r="AX37" s="16"/>
      <c r="AY37" s="16"/>
      <c r="AZ37" s="16"/>
    </row>
    <row r="38" spans="1:52" s="41" customFormat="1" ht="93" customHeight="1" x14ac:dyDescent="0.2">
      <c r="A38" s="832">
        <v>13</v>
      </c>
      <c r="B38" s="833" t="s">
        <v>991</v>
      </c>
      <c r="C38" s="833" t="s">
        <v>171</v>
      </c>
      <c r="D38" s="163" t="s">
        <v>813</v>
      </c>
      <c r="E38" s="833" t="s">
        <v>95</v>
      </c>
      <c r="F38" s="833">
        <v>1</v>
      </c>
      <c r="G38" s="834" t="s">
        <v>166</v>
      </c>
      <c r="H38" s="485" t="s">
        <v>583</v>
      </c>
      <c r="I38" s="833" t="s">
        <v>89</v>
      </c>
      <c r="J38" s="833" t="s">
        <v>74</v>
      </c>
      <c r="K38" s="833" t="s">
        <v>55</v>
      </c>
      <c r="L38" s="68">
        <v>644733</v>
      </c>
      <c r="M38" s="68">
        <v>644733</v>
      </c>
      <c r="N38" s="833" t="s">
        <v>81</v>
      </c>
      <c r="O38" s="833" t="s">
        <v>56</v>
      </c>
      <c r="P38" s="25" t="s">
        <v>82</v>
      </c>
      <c r="Q38" s="981"/>
      <c r="R38" s="172" t="s">
        <v>654</v>
      </c>
      <c r="S38" s="172" t="s">
        <v>718</v>
      </c>
      <c r="T38" s="28">
        <v>42415</v>
      </c>
      <c r="U38" s="1012" t="s">
        <v>719</v>
      </c>
      <c r="V38" s="181" t="s">
        <v>594</v>
      </c>
      <c r="W38" s="30">
        <v>550000</v>
      </c>
      <c r="X38" s="30"/>
      <c r="Y38" s="134">
        <f t="shared" si="0"/>
        <v>550000</v>
      </c>
      <c r="Z38" s="181" t="s">
        <v>720</v>
      </c>
      <c r="AA38" s="181" t="s">
        <v>723</v>
      </c>
      <c r="AB38" s="181" t="s">
        <v>35</v>
      </c>
      <c r="AC38" s="181" t="s">
        <v>729</v>
      </c>
      <c r="AD38" s="181" t="s">
        <v>56</v>
      </c>
      <c r="AE38" s="181" t="s">
        <v>56</v>
      </c>
      <c r="AF38" s="181" t="s">
        <v>56</v>
      </c>
      <c r="AG38" s="181" t="s">
        <v>721</v>
      </c>
      <c r="AH38" s="1014">
        <v>42415</v>
      </c>
      <c r="AI38" s="1014">
        <v>42426</v>
      </c>
      <c r="AJ38" s="181" t="s">
        <v>722</v>
      </c>
      <c r="AK38" s="1017" t="s">
        <v>728</v>
      </c>
      <c r="AL38" s="1044" t="s">
        <v>56</v>
      </c>
      <c r="AM38" s="1044" t="s">
        <v>56</v>
      </c>
      <c r="AN38" s="1045">
        <v>550000</v>
      </c>
      <c r="AO38" s="40"/>
      <c r="AP38" s="32"/>
      <c r="AQ38" s="16"/>
      <c r="AR38" s="36"/>
      <c r="AS38" s="16"/>
      <c r="AT38" s="38"/>
      <c r="AU38" s="36"/>
      <c r="AV38" s="16"/>
      <c r="AW38" s="16"/>
      <c r="AX38" s="16"/>
      <c r="AY38" s="16"/>
      <c r="AZ38" s="16"/>
    </row>
    <row r="39" spans="1:52" s="41" customFormat="1" ht="42.75" customHeight="1" x14ac:dyDescent="0.25">
      <c r="A39" s="832">
        <v>14</v>
      </c>
      <c r="B39" s="836" t="s">
        <v>998</v>
      </c>
      <c r="C39" s="833">
        <v>81111820</v>
      </c>
      <c r="D39" s="163" t="s">
        <v>2612</v>
      </c>
      <c r="E39" s="833" t="s">
        <v>76</v>
      </c>
      <c r="F39" s="833">
        <v>1</v>
      </c>
      <c r="G39" s="412" t="s">
        <v>160</v>
      </c>
      <c r="H39" s="485" t="s">
        <v>2965</v>
      </c>
      <c r="I39" s="833" t="s">
        <v>77</v>
      </c>
      <c r="J39" s="833" t="s">
        <v>60</v>
      </c>
      <c r="K39" s="833" t="s">
        <v>55</v>
      </c>
      <c r="L39" s="57">
        <v>5800000</v>
      </c>
      <c r="M39" s="57">
        <v>135000</v>
      </c>
      <c r="N39" s="833" t="s">
        <v>78</v>
      </c>
      <c r="O39" s="833" t="s">
        <v>79</v>
      </c>
      <c r="P39" s="25" t="s">
        <v>82</v>
      </c>
      <c r="Q39" s="981"/>
      <c r="R39" s="81"/>
      <c r="S39" s="88"/>
      <c r="T39" s="27"/>
      <c r="U39" s="412"/>
      <c r="V39" s="34"/>
      <c r="W39" s="833"/>
      <c r="X39" s="833"/>
      <c r="Y39" s="134">
        <f t="shared" si="0"/>
        <v>0</v>
      </c>
      <c r="Z39" s="39"/>
      <c r="AA39" s="34"/>
      <c r="AB39" s="833"/>
      <c r="AC39" s="833"/>
      <c r="AD39" s="833"/>
      <c r="AE39" s="833"/>
      <c r="AF39" s="833"/>
      <c r="AG39" s="833"/>
      <c r="AH39" s="833"/>
      <c r="AI39" s="31"/>
      <c r="AJ39" s="31"/>
      <c r="AK39" s="86"/>
      <c r="AL39" s="87"/>
      <c r="AM39" s="32"/>
      <c r="AN39" s="32"/>
      <c r="AO39" s="40"/>
      <c r="AP39" s="32"/>
      <c r="AQ39" s="16"/>
      <c r="AR39" s="36"/>
      <c r="AS39" s="16"/>
      <c r="AT39" s="38"/>
      <c r="AU39" s="36"/>
      <c r="AV39" s="16"/>
      <c r="AW39" s="16"/>
      <c r="AX39" s="16"/>
      <c r="AY39" s="16"/>
      <c r="AZ39" s="16"/>
    </row>
    <row r="40" spans="1:52" s="135" customFormat="1" ht="72.75" customHeight="1" x14ac:dyDescent="0.25">
      <c r="A40" s="832">
        <v>15</v>
      </c>
      <c r="B40" s="836" t="s">
        <v>998</v>
      </c>
      <c r="C40" s="836">
        <v>81111812</v>
      </c>
      <c r="D40" s="162" t="s">
        <v>2613</v>
      </c>
      <c r="E40" s="836" t="s">
        <v>76</v>
      </c>
      <c r="F40" s="836">
        <v>1</v>
      </c>
      <c r="G40" s="834" t="s">
        <v>160</v>
      </c>
      <c r="H40" s="485">
        <v>21</v>
      </c>
      <c r="I40" s="836" t="s">
        <v>2614</v>
      </c>
      <c r="J40" s="836" t="s">
        <v>60</v>
      </c>
      <c r="K40" s="836" t="s">
        <v>55</v>
      </c>
      <c r="L40" s="56">
        <v>358099420</v>
      </c>
      <c r="M40" s="57">
        <v>34105000</v>
      </c>
      <c r="N40" s="836" t="s">
        <v>78</v>
      </c>
      <c r="O40" s="836" t="s">
        <v>79</v>
      </c>
      <c r="P40" s="58" t="s">
        <v>82</v>
      </c>
      <c r="Q40" s="981"/>
      <c r="R40" s="574"/>
      <c r="S40" s="575"/>
      <c r="T40" s="576"/>
      <c r="U40" s="577"/>
      <c r="V40" s="578"/>
      <c r="W40" s="579"/>
      <c r="X40" s="579"/>
      <c r="Y40" s="134">
        <f t="shared" si="0"/>
        <v>0</v>
      </c>
      <c r="Z40" s="580"/>
      <c r="AA40" s="578"/>
      <c r="AB40" s="579"/>
      <c r="AC40" s="579"/>
      <c r="AD40" s="579"/>
      <c r="AE40" s="579"/>
      <c r="AF40" s="579"/>
      <c r="AG40" s="579"/>
      <c r="AH40" s="579"/>
      <c r="AI40" s="581"/>
      <c r="AJ40" s="581"/>
      <c r="AK40" s="582"/>
      <c r="AL40" s="583"/>
      <c r="AM40" s="584"/>
      <c r="AN40" s="584"/>
      <c r="AO40" s="585"/>
      <c r="AP40" s="584"/>
      <c r="AQ40" s="586"/>
      <c r="AR40" s="587"/>
      <c r="AS40" s="586"/>
      <c r="AT40" s="588"/>
      <c r="AU40" s="587"/>
      <c r="AV40" s="586"/>
      <c r="AW40" s="586"/>
      <c r="AX40" s="586"/>
      <c r="AY40" s="586"/>
      <c r="AZ40" s="586"/>
    </row>
    <row r="41" spans="1:52" s="41" customFormat="1" ht="107.25" customHeight="1" x14ac:dyDescent="0.2">
      <c r="A41" s="832">
        <v>16</v>
      </c>
      <c r="B41" s="836" t="s">
        <v>991</v>
      </c>
      <c r="C41" s="589">
        <v>72102900</v>
      </c>
      <c r="D41" s="162" t="s">
        <v>91</v>
      </c>
      <c r="E41" s="836" t="s">
        <v>76</v>
      </c>
      <c r="F41" s="836">
        <v>1</v>
      </c>
      <c r="G41" s="834" t="s">
        <v>164</v>
      </c>
      <c r="H41" s="485">
        <v>3</v>
      </c>
      <c r="I41" s="836" t="s">
        <v>80</v>
      </c>
      <c r="J41" s="836" t="s">
        <v>92</v>
      </c>
      <c r="K41" s="836" t="s">
        <v>55</v>
      </c>
      <c r="L41" s="56">
        <v>36862270</v>
      </c>
      <c r="M41" s="56">
        <v>36862270</v>
      </c>
      <c r="N41" s="836" t="s">
        <v>81</v>
      </c>
      <c r="O41" s="836" t="s">
        <v>56</v>
      </c>
      <c r="P41" s="58" t="s">
        <v>82</v>
      </c>
      <c r="Q41" s="981"/>
      <c r="R41" s="172" t="s">
        <v>1341</v>
      </c>
      <c r="S41" s="172" t="s">
        <v>1342</v>
      </c>
      <c r="T41" s="28">
        <v>42482</v>
      </c>
      <c r="U41" s="1012" t="s">
        <v>1343</v>
      </c>
      <c r="V41" s="181" t="s">
        <v>594</v>
      </c>
      <c r="W41" s="1005">
        <v>34494453.030000001</v>
      </c>
      <c r="X41" s="833"/>
      <c r="Y41" s="134">
        <f t="shared" si="0"/>
        <v>34494453.030000001</v>
      </c>
      <c r="Z41" s="411" t="s">
        <v>1344</v>
      </c>
      <c r="AA41" s="411" t="s">
        <v>1345</v>
      </c>
      <c r="AB41" s="411" t="s">
        <v>225</v>
      </c>
      <c r="AC41" s="181" t="s">
        <v>1346</v>
      </c>
      <c r="AD41" s="411" t="s">
        <v>56</v>
      </c>
      <c r="AE41" s="411" t="s">
        <v>56</v>
      </c>
      <c r="AF41" s="411" t="s">
        <v>56</v>
      </c>
      <c r="AG41" s="168" t="s">
        <v>1347</v>
      </c>
      <c r="AH41" s="169">
        <v>42480</v>
      </c>
      <c r="AI41" s="169">
        <v>42570</v>
      </c>
      <c r="AJ41" s="411" t="s">
        <v>207</v>
      </c>
      <c r="AK41" s="134" t="s">
        <v>728</v>
      </c>
      <c r="AL41" s="87" t="s">
        <v>56</v>
      </c>
      <c r="AM41" s="32" t="s">
        <v>56</v>
      </c>
      <c r="AN41" s="32" t="s">
        <v>56</v>
      </c>
      <c r="AO41" s="70" t="s">
        <v>56</v>
      </c>
      <c r="AP41" s="32" t="s">
        <v>56</v>
      </c>
      <c r="AQ41" s="833" t="s">
        <v>56</v>
      </c>
      <c r="AR41" s="1046">
        <v>11498151</v>
      </c>
      <c r="AS41" s="16"/>
      <c r="AT41" s="1046">
        <v>11498151</v>
      </c>
      <c r="AU41" s="36"/>
      <c r="AV41" s="16"/>
      <c r="AW41" s="16"/>
      <c r="AX41" s="16"/>
      <c r="AY41" s="16"/>
      <c r="AZ41" s="16"/>
    </row>
    <row r="42" spans="1:52" s="41" customFormat="1" ht="95.25" customHeight="1" x14ac:dyDescent="0.25">
      <c r="A42" s="832">
        <v>17</v>
      </c>
      <c r="B42" s="836" t="s">
        <v>991</v>
      </c>
      <c r="C42" s="589">
        <v>78102200</v>
      </c>
      <c r="D42" s="162" t="s">
        <v>2615</v>
      </c>
      <c r="E42" s="836" t="s">
        <v>76</v>
      </c>
      <c r="F42" s="836">
        <v>1</v>
      </c>
      <c r="G42" s="834" t="s">
        <v>167</v>
      </c>
      <c r="H42" s="485">
        <v>12</v>
      </c>
      <c r="I42" s="836" t="s">
        <v>77</v>
      </c>
      <c r="J42" s="836" t="s">
        <v>93</v>
      </c>
      <c r="K42" s="836" t="s">
        <v>55</v>
      </c>
      <c r="L42" s="56">
        <v>226320000</v>
      </c>
      <c r="M42" s="57">
        <v>27600000</v>
      </c>
      <c r="N42" s="836" t="s">
        <v>78</v>
      </c>
      <c r="O42" s="836" t="s">
        <v>79</v>
      </c>
      <c r="P42" s="58" t="s">
        <v>1782</v>
      </c>
      <c r="Q42" s="981"/>
      <c r="R42" s="81"/>
      <c r="S42" s="88"/>
      <c r="T42" s="27"/>
      <c r="U42" s="412"/>
      <c r="V42" s="833"/>
      <c r="W42" s="833"/>
      <c r="X42" s="833"/>
      <c r="Y42" s="134">
        <f t="shared" si="0"/>
        <v>0</v>
      </c>
      <c r="Z42" s="39"/>
      <c r="AA42" s="833"/>
      <c r="AB42" s="833"/>
      <c r="AC42" s="833"/>
      <c r="AD42" s="833"/>
      <c r="AE42" s="833"/>
      <c r="AF42" s="833"/>
      <c r="AG42" s="833"/>
      <c r="AH42" s="833"/>
      <c r="AI42" s="833"/>
      <c r="AJ42" s="833"/>
      <c r="AK42" s="90"/>
      <c r="AL42" s="87"/>
      <c r="AM42" s="32"/>
      <c r="AN42" s="32"/>
      <c r="AO42" s="70"/>
      <c r="AP42" s="32"/>
      <c r="AQ42" s="16"/>
      <c r="AR42" s="36"/>
      <c r="AS42" s="16"/>
      <c r="AT42" s="38"/>
      <c r="AU42" s="36"/>
      <c r="AV42" s="16"/>
      <c r="AW42" s="16"/>
      <c r="AX42" s="16"/>
      <c r="AY42" s="16"/>
      <c r="AZ42" s="16"/>
    </row>
    <row r="43" spans="1:52" s="12" customFormat="1" ht="42.75" customHeight="1" x14ac:dyDescent="0.4">
      <c r="A43" s="832">
        <v>18</v>
      </c>
      <c r="B43" s="833" t="s">
        <v>993</v>
      </c>
      <c r="C43" s="833">
        <v>81100000</v>
      </c>
      <c r="D43" s="163" t="s">
        <v>2616</v>
      </c>
      <c r="E43" s="833" t="s">
        <v>76</v>
      </c>
      <c r="F43" s="833">
        <v>1</v>
      </c>
      <c r="G43" s="834" t="s">
        <v>969</v>
      </c>
      <c r="H43" s="485">
        <v>12</v>
      </c>
      <c r="I43" s="833" t="s">
        <v>89</v>
      </c>
      <c r="J43" s="833" t="s">
        <v>832</v>
      </c>
      <c r="K43" s="833" t="s">
        <v>55</v>
      </c>
      <c r="L43" s="68">
        <v>2592616</v>
      </c>
      <c r="M43" s="69">
        <v>2592616</v>
      </c>
      <c r="N43" s="833" t="s">
        <v>81</v>
      </c>
      <c r="O43" s="833" t="s">
        <v>56</v>
      </c>
      <c r="P43" s="25" t="s">
        <v>82</v>
      </c>
      <c r="Q43" s="981"/>
      <c r="R43" s="1047"/>
      <c r="S43" s="88"/>
      <c r="T43" s="27"/>
      <c r="U43" s="412"/>
      <c r="V43" s="833"/>
      <c r="W43" s="833"/>
      <c r="X43" s="833"/>
      <c r="Y43" s="134">
        <f t="shared" si="0"/>
        <v>0</v>
      </c>
      <c r="Z43" s="39"/>
      <c r="AA43" s="833"/>
      <c r="AB43" s="833"/>
      <c r="AC43" s="833"/>
      <c r="AD43" s="833"/>
      <c r="AE43" s="833"/>
      <c r="AF43" s="833"/>
      <c r="AG43" s="833"/>
      <c r="AH43" s="833"/>
      <c r="AI43" s="833"/>
      <c r="AJ43" s="833"/>
      <c r="AK43" s="90"/>
      <c r="AL43" s="87"/>
      <c r="AM43" s="32"/>
      <c r="AN43" s="32"/>
      <c r="AO43" s="70"/>
      <c r="AP43" s="32"/>
      <c r="AQ43" s="32"/>
      <c r="AR43" s="1048"/>
      <c r="AS43" s="70"/>
      <c r="AT43" s="1048"/>
      <c r="AU43" s="1048"/>
      <c r="AV43" s="1048"/>
      <c r="AW43" s="16"/>
      <c r="AX43" s="1048"/>
      <c r="AY43" s="1048"/>
      <c r="AZ43" s="1048"/>
    </row>
    <row r="44" spans="1:52" s="41" customFormat="1" ht="80.25" customHeight="1" x14ac:dyDescent="0.2">
      <c r="A44" s="832">
        <v>19</v>
      </c>
      <c r="B44" s="833" t="s">
        <v>998</v>
      </c>
      <c r="C44" s="833">
        <v>81112006</v>
      </c>
      <c r="D44" s="163" t="s">
        <v>94</v>
      </c>
      <c r="E44" s="833" t="s">
        <v>76</v>
      </c>
      <c r="F44" s="833">
        <v>1</v>
      </c>
      <c r="G44" s="834" t="s">
        <v>166</v>
      </c>
      <c r="H44" s="485">
        <v>12</v>
      </c>
      <c r="I44" s="833" t="s">
        <v>89</v>
      </c>
      <c r="J44" s="833" t="s">
        <v>67</v>
      </c>
      <c r="K44" s="833" t="s">
        <v>55</v>
      </c>
      <c r="L44" s="68">
        <v>3500000</v>
      </c>
      <c r="M44" s="69">
        <v>3500000</v>
      </c>
      <c r="N44" s="833" t="s">
        <v>81</v>
      </c>
      <c r="O44" s="833" t="s">
        <v>56</v>
      </c>
      <c r="P44" s="25" t="s">
        <v>61</v>
      </c>
      <c r="Q44" s="981"/>
      <c r="R44" s="172" t="s">
        <v>655</v>
      </c>
      <c r="S44" s="172" t="s">
        <v>712</v>
      </c>
      <c r="T44" s="28">
        <v>42415</v>
      </c>
      <c r="U44" s="1012" t="s">
        <v>713</v>
      </c>
      <c r="V44" s="181" t="s">
        <v>594</v>
      </c>
      <c r="W44" s="30">
        <v>2600000</v>
      </c>
      <c r="X44" s="30"/>
      <c r="Y44" s="134">
        <f>SUM(W44+X44)</f>
        <v>2600000</v>
      </c>
      <c r="Z44" s="181" t="s">
        <v>714</v>
      </c>
      <c r="AA44" s="181" t="s">
        <v>717</v>
      </c>
      <c r="AB44" s="181" t="s">
        <v>35</v>
      </c>
      <c r="AC44" s="181" t="s">
        <v>730</v>
      </c>
      <c r="AD44" s="181" t="s">
        <v>731</v>
      </c>
      <c r="AE44" s="1014">
        <v>42416</v>
      </c>
      <c r="AF44" s="1014">
        <v>42418</v>
      </c>
      <c r="AG44" s="181" t="s">
        <v>715</v>
      </c>
      <c r="AH44" s="1014">
        <v>42415</v>
      </c>
      <c r="AI44" s="1014">
        <v>42734</v>
      </c>
      <c r="AJ44" s="181" t="s">
        <v>716</v>
      </c>
      <c r="AK44" s="1017" t="s">
        <v>353</v>
      </c>
      <c r="AL44" s="87" t="s">
        <v>56</v>
      </c>
      <c r="AM44" s="32" t="s">
        <v>56</v>
      </c>
      <c r="AN44" s="32" t="s">
        <v>56</v>
      </c>
      <c r="AO44" s="70" t="s">
        <v>56</v>
      </c>
      <c r="AP44" s="32" t="s">
        <v>56</v>
      </c>
      <c r="AQ44" s="833" t="s">
        <v>56</v>
      </c>
      <c r="AR44" s="1049" t="s">
        <v>2640</v>
      </c>
      <c r="AS44" s="16"/>
      <c r="AT44" s="38"/>
      <c r="AU44" s="36"/>
      <c r="AV44" s="16"/>
      <c r="AW44" s="16"/>
      <c r="AX44" s="16"/>
      <c r="AY44" s="16"/>
      <c r="AZ44" s="16"/>
    </row>
    <row r="45" spans="1:52" ht="119.25" customHeight="1" x14ac:dyDescent="0.25">
      <c r="A45" s="832">
        <v>26</v>
      </c>
      <c r="B45" s="833" t="s">
        <v>991</v>
      </c>
      <c r="C45" s="836">
        <v>84131603</v>
      </c>
      <c r="D45" s="162" t="s">
        <v>98</v>
      </c>
      <c r="E45" s="836" t="s">
        <v>76</v>
      </c>
      <c r="F45" s="833">
        <v>1</v>
      </c>
      <c r="G45" s="412" t="s">
        <v>159</v>
      </c>
      <c r="H45" s="485">
        <v>1</v>
      </c>
      <c r="I45" s="836" t="s">
        <v>80</v>
      </c>
      <c r="J45" s="836" t="s">
        <v>63</v>
      </c>
      <c r="K45" s="836" t="s">
        <v>55</v>
      </c>
      <c r="L45" s="56">
        <v>3000000</v>
      </c>
      <c r="M45" s="57">
        <v>3000000</v>
      </c>
      <c r="N45" s="836" t="s">
        <v>81</v>
      </c>
      <c r="O45" s="836" t="s">
        <v>56</v>
      </c>
      <c r="P45" s="24" t="s">
        <v>82</v>
      </c>
      <c r="Q45" s="981"/>
      <c r="R45" s="172" t="s">
        <v>584</v>
      </c>
      <c r="S45" s="172" t="s">
        <v>585</v>
      </c>
      <c r="T45" s="28">
        <v>42398</v>
      </c>
      <c r="U45" s="29" t="s">
        <v>586</v>
      </c>
      <c r="V45" s="181" t="s">
        <v>587</v>
      </c>
      <c r="W45" s="30">
        <v>2463538</v>
      </c>
      <c r="X45" s="30"/>
      <c r="Y45" s="134">
        <f t="shared" si="0"/>
        <v>2463538</v>
      </c>
      <c r="Z45" s="181" t="s">
        <v>588</v>
      </c>
      <c r="AA45" s="181" t="s">
        <v>589</v>
      </c>
      <c r="AB45" s="181" t="s">
        <v>35</v>
      </c>
      <c r="AC45" s="181" t="s">
        <v>732</v>
      </c>
      <c r="AD45" s="181" t="s">
        <v>56</v>
      </c>
      <c r="AE45" s="181" t="s">
        <v>56</v>
      </c>
      <c r="AF45" s="181" t="s">
        <v>56</v>
      </c>
      <c r="AG45" s="181" t="s">
        <v>590</v>
      </c>
      <c r="AH45" s="1014">
        <v>42398</v>
      </c>
      <c r="AI45" s="1014">
        <v>42735</v>
      </c>
      <c r="AJ45" s="181" t="s">
        <v>207</v>
      </c>
      <c r="AK45" s="1017" t="s">
        <v>728</v>
      </c>
      <c r="AL45" s="87"/>
      <c r="AM45" s="32"/>
      <c r="AN45" s="32"/>
      <c r="AO45" s="32"/>
      <c r="AP45" s="32"/>
      <c r="AQ45" s="32"/>
      <c r="AR45" s="32"/>
      <c r="AS45" s="32"/>
      <c r="AT45" s="32"/>
      <c r="AU45" s="32"/>
      <c r="AV45" s="32"/>
      <c r="AW45" s="26"/>
      <c r="AX45" s="32"/>
      <c r="AY45" s="32"/>
      <c r="AZ45" s="26"/>
    </row>
    <row r="46" spans="1:52" ht="137.25" customHeight="1" x14ac:dyDescent="0.25">
      <c r="A46" s="832">
        <v>27</v>
      </c>
      <c r="B46" s="836" t="s">
        <v>991</v>
      </c>
      <c r="C46" s="836">
        <v>84131512</v>
      </c>
      <c r="D46" s="162" t="s">
        <v>168</v>
      </c>
      <c r="E46" s="836" t="s">
        <v>76</v>
      </c>
      <c r="F46" s="836">
        <v>1</v>
      </c>
      <c r="G46" s="834" t="s">
        <v>167</v>
      </c>
      <c r="H46" s="485">
        <v>12</v>
      </c>
      <c r="I46" s="836" t="s">
        <v>1775</v>
      </c>
      <c r="J46" s="836" t="s">
        <v>99</v>
      </c>
      <c r="K46" s="836" t="s">
        <v>55</v>
      </c>
      <c r="L46" s="56">
        <v>45522033</v>
      </c>
      <c r="M46" s="57">
        <v>45522033</v>
      </c>
      <c r="N46" s="836" t="s">
        <v>81</v>
      </c>
      <c r="O46" s="836" t="s">
        <v>56</v>
      </c>
      <c r="P46" s="590" t="s">
        <v>82</v>
      </c>
      <c r="Q46" s="981"/>
      <c r="R46" s="591"/>
      <c r="S46" s="591"/>
      <c r="T46" s="591"/>
      <c r="U46" s="591"/>
      <c r="V46" s="591"/>
      <c r="W46" s="591"/>
      <c r="X46" s="591"/>
      <c r="Y46" s="591">
        <f t="shared" si="0"/>
        <v>0</v>
      </c>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1"/>
      <c r="AX46" s="591"/>
      <c r="AY46" s="591"/>
      <c r="AZ46" s="591"/>
    </row>
    <row r="47" spans="1:52" ht="90" customHeight="1" x14ac:dyDescent="0.25">
      <c r="A47" s="832">
        <v>28</v>
      </c>
      <c r="B47" s="836" t="s">
        <v>999</v>
      </c>
      <c r="C47" s="836" t="s">
        <v>157</v>
      </c>
      <c r="D47" s="162" t="s">
        <v>963</v>
      </c>
      <c r="E47" s="836" t="s">
        <v>76</v>
      </c>
      <c r="F47" s="833">
        <v>1</v>
      </c>
      <c r="G47" s="834" t="s">
        <v>161</v>
      </c>
      <c r="H47" s="485">
        <v>10</v>
      </c>
      <c r="I47" s="836" t="s">
        <v>80</v>
      </c>
      <c r="J47" s="836" t="s">
        <v>966</v>
      </c>
      <c r="K47" s="836" t="s">
        <v>55</v>
      </c>
      <c r="L47" s="56">
        <v>15000000</v>
      </c>
      <c r="M47" s="57">
        <v>15000000</v>
      </c>
      <c r="N47" s="836" t="s">
        <v>81</v>
      </c>
      <c r="O47" s="836" t="s">
        <v>56</v>
      </c>
      <c r="P47" s="58" t="s">
        <v>100</v>
      </c>
      <c r="Q47" s="981"/>
      <c r="R47" s="172" t="s">
        <v>1021</v>
      </c>
      <c r="S47" s="172" t="s">
        <v>1066</v>
      </c>
      <c r="T47" s="28">
        <v>42447</v>
      </c>
      <c r="U47" s="1012" t="s">
        <v>1022</v>
      </c>
      <c r="V47" s="181" t="s">
        <v>202</v>
      </c>
      <c r="W47" s="1050">
        <v>15000000</v>
      </c>
      <c r="X47" s="1051"/>
      <c r="Y47" s="30">
        <f t="shared" si="0"/>
        <v>15000000</v>
      </c>
      <c r="Z47" s="411" t="s">
        <v>1023</v>
      </c>
      <c r="AA47" s="411" t="s">
        <v>1024</v>
      </c>
      <c r="AB47" s="411" t="s">
        <v>35</v>
      </c>
      <c r="AC47" s="181" t="s">
        <v>1025</v>
      </c>
      <c r="AD47" s="411" t="s">
        <v>56</v>
      </c>
      <c r="AE47" s="411" t="s">
        <v>56</v>
      </c>
      <c r="AF47" s="411" t="s">
        <v>56</v>
      </c>
      <c r="AG47" s="168" t="s">
        <v>1026</v>
      </c>
      <c r="AH47" s="169">
        <v>42447</v>
      </c>
      <c r="AI47" s="169">
        <v>42735</v>
      </c>
      <c r="AJ47" s="411" t="s">
        <v>207</v>
      </c>
      <c r="AK47" s="170" t="s">
        <v>728</v>
      </c>
      <c r="AL47" s="1044" t="s">
        <v>56</v>
      </c>
      <c r="AM47" s="1044" t="s">
        <v>56</v>
      </c>
      <c r="AN47" s="1044" t="s">
        <v>56</v>
      </c>
      <c r="AO47" s="1044" t="s">
        <v>56</v>
      </c>
      <c r="AP47" s="1052">
        <v>923488</v>
      </c>
      <c r="AQ47" s="43">
        <v>308544</v>
      </c>
      <c r="AR47" s="1053" t="s">
        <v>2641</v>
      </c>
      <c r="AS47" s="1054"/>
      <c r="AT47" s="43" t="s">
        <v>2935</v>
      </c>
      <c r="AU47" s="1054"/>
      <c r="AV47" s="1054"/>
      <c r="AW47" s="1055"/>
      <c r="AX47" s="1054"/>
      <c r="AY47" s="1054"/>
      <c r="AZ47" s="1054"/>
    </row>
    <row r="48" spans="1:52" ht="125.25" customHeight="1" x14ac:dyDescent="0.25">
      <c r="A48" s="832">
        <v>29</v>
      </c>
      <c r="B48" s="833" t="s">
        <v>994</v>
      </c>
      <c r="C48" s="833">
        <v>80101706</v>
      </c>
      <c r="D48" s="163" t="s">
        <v>101</v>
      </c>
      <c r="E48" s="833" t="s">
        <v>76</v>
      </c>
      <c r="F48" s="833">
        <v>1</v>
      </c>
      <c r="G48" s="412" t="s">
        <v>161</v>
      </c>
      <c r="H48" s="485">
        <v>10</v>
      </c>
      <c r="I48" s="833" t="s">
        <v>89</v>
      </c>
      <c r="J48" s="833" t="s">
        <v>69</v>
      </c>
      <c r="K48" s="833" t="s">
        <v>55</v>
      </c>
      <c r="L48" s="68">
        <v>5000000</v>
      </c>
      <c r="M48" s="69">
        <v>5000000</v>
      </c>
      <c r="N48" s="833" t="s">
        <v>81</v>
      </c>
      <c r="O48" s="833" t="s">
        <v>56</v>
      </c>
      <c r="P48" s="25" t="s">
        <v>84</v>
      </c>
      <c r="Q48" s="981"/>
      <c r="R48" s="172" t="s">
        <v>881</v>
      </c>
      <c r="S48" s="172" t="s">
        <v>882</v>
      </c>
      <c r="T48" s="28"/>
      <c r="U48" s="1012" t="s">
        <v>918</v>
      </c>
      <c r="V48" s="181" t="s">
        <v>594</v>
      </c>
      <c r="W48" s="30">
        <v>4000000</v>
      </c>
      <c r="X48" s="833"/>
      <c r="Y48" s="134">
        <f t="shared" si="0"/>
        <v>4000000</v>
      </c>
      <c r="Z48" s="181" t="s">
        <v>919</v>
      </c>
      <c r="AA48" s="181" t="s">
        <v>920</v>
      </c>
      <c r="AB48" s="181" t="s">
        <v>35</v>
      </c>
      <c r="AC48" s="181"/>
      <c r="AD48" s="181"/>
      <c r="AE48" s="181"/>
      <c r="AF48" s="181"/>
      <c r="AG48" s="1013" t="s">
        <v>921</v>
      </c>
      <c r="AH48" s="1014"/>
      <c r="AI48" s="1014">
        <v>42735</v>
      </c>
      <c r="AJ48" s="181" t="s">
        <v>922</v>
      </c>
      <c r="AK48" s="1017" t="s">
        <v>923</v>
      </c>
      <c r="AL48" s="1044" t="s">
        <v>56</v>
      </c>
      <c r="AM48" s="1044" t="s">
        <v>56</v>
      </c>
      <c r="AN48" s="1044" t="s">
        <v>56</v>
      </c>
      <c r="AO48" s="1044" t="s">
        <v>56</v>
      </c>
      <c r="AP48" s="32" t="s">
        <v>56</v>
      </c>
      <c r="AQ48" s="32" t="s">
        <v>56</v>
      </c>
      <c r="AR48" s="32">
        <v>670000</v>
      </c>
      <c r="AS48" s="32"/>
      <c r="AT48" s="32">
        <v>420000</v>
      </c>
      <c r="AU48" s="32"/>
      <c r="AV48" s="32"/>
      <c r="AW48" s="26"/>
      <c r="AX48" s="32"/>
      <c r="AY48" s="32"/>
      <c r="AZ48" s="32"/>
    </row>
    <row r="49" spans="1:52" ht="72.75" customHeight="1" x14ac:dyDescent="0.25">
      <c r="A49" s="832">
        <v>30</v>
      </c>
      <c r="B49" s="833" t="s">
        <v>994</v>
      </c>
      <c r="C49" s="833">
        <v>78111803</v>
      </c>
      <c r="D49" s="163" t="s">
        <v>102</v>
      </c>
      <c r="E49" s="833" t="s">
        <v>76</v>
      </c>
      <c r="F49" s="833">
        <v>1</v>
      </c>
      <c r="G49" s="834" t="s">
        <v>167</v>
      </c>
      <c r="H49" s="485">
        <v>9</v>
      </c>
      <c r="I49" s="833" t="s">
        <v>89</v>
      </c>
      <c r="J49" s="833" t="s">
        <v>69</v>
      </c>
      <c r="K49" s="833" t="s">
        <v>55</v>
      </c>
      <c r="L49" s="68">
        <v>9000000</v>
      </c>
      <c r="M49" s="69">
        <v>9000000</v>
      </c>
      <c r="N49" s="833" t="s">
        <v>81</v>
      </c>
      <c r="O49" s="833" t="s">
        <v>56</v>
      </c>
      <c r="P49" s="25" t="s">
        <v>84</v>
      </c>
      <c r="Q49" s="981"/>
      <c r="R49" s="81"/>
      <c r="S49" s="85"/>
      <c r="T49" s="33"/>
      <c r="U49" s="412"/>
      <c r="V49" s="34"/>
      <c r="W49" s="833"/>
      <c r="X49" s="833"/>
      <c r="Y49" s="134">
        <f t="shared" si="0"/>
        <v>0</v>
      </c>
      <c r="Z49" s="32"/>
      <c r="AA49" s="833"/>
      <c r="AB49" s="833"/>
      <c r="AC49" s="833"/>
      <c r="AD49" s="833"/>
      <c r="AE49" s="833"/>
      <c r="AF49" s="833"/>
      <c r="AG49" s="833"/>
      <c r="AH49" s="833"/>
      <c r="AI49" s="31"/>
      <c r="AJ49" s="31"/>
      <c r="AK49" s="90"/>
      <c r="AL49" s="44"/>
      <c r="AM49" s="32"/>
      <c r="AN49" s="32"/>
      <c r="AO49" s="32"/>
      <c r="AP49" s="32"/>
      <c r="AQ49" s="32"/>
      <c r="AR49" s="32"/>
      <c r="AS49" s="32"/>
      <c r="AT49" s="32"/>
      <c r="AU49" s="32"/>
      <c r="AV49" s="32"/>
      <c r="AW49" s="26"/>
      <c r="AX49" s="32"/>
      <c r="AY49" s="32"/>
      <c r="AZ49" s="32"/>
    </row>
    <row r="50" spans="1:52" ht="60.75" customHeight="1" x14ac:dyDescent="0.25">
      <c r="A50" s="832">
        <v>31</v>
      </c>
      <c r="B50" s="833" t="s">
        <v>994</v>
      </c>
      <c r="C50" s="833" t="s">
        <v>158</v>
      </c>
      <c r="D50" s="163" t="s">
        <v>103</v>
      </c>
      <c r="E50" s="833" t="s">
        <v>76</v>
      </c>
      <c r="F50" s="833">
        <v>1</v>
      </c>
      <c r="G50" s="412" t="s">
        <v>163</v>
      </c>
      <c r="H50" s="485">
        <v>2</v>
      </c>
      <c r="I50" s="833" t="s">
        <v>89</v>
      </c>
      <c r="J50" s="833" t="s">
        <v>73</v>
      </c>
      <c r="K50" s="833" t="s">
        <v>55</v>
      </c>
      <c r="L50" s="68">
        <v>10000000</v>
      </c>
      <c r="M50" s="69">
        <v>10000000</v>
      </c>
      <c r="N50" s="833" t="s">
        <v>81</v>
      </c>
      <c r="O50" s="833" t="s">
        <v>56</v>
      </c>
      <c r="P50" s="25" t="s">
        <v>84</v>
      </c>
      <c r="Q50" s="981"/>
      <c r="R50" s="81"/>
      <c r="S50" s="88"/>
      <c r="T50" s="27"/>
      <c r="U50" s="834"/>
      <c r="V50" s="42"/>
      <c r="W50" s="836"/>
      <c r="X50" s="836"/>
      <c r="Y50" s="134">
        <f t="shared" si="0"/>
        <v>0</v>
      </c>
      <c r="Z50" s="43"/>
      <c r="AA50" s="836"/>
      <c r="AB50" s="836"/>
      <c r="AC50" s="836"/>
      <c r="AD50" s="836"/>
      <c r="AE50" s="836"/>
      <c r="AF50" s="836"/>
      <c r="AG50" s="836"/>
      <c r="AH50" s="836"/>
      <c r="AI50" s="35"/>
      <c r="AJ50" s="35"/>
      <c r="AK50" s="91"/>
      <c r="AL50" s="44"/>
      <c r="AM50" s="32"/>
      <c r="AN50" s="32"/>
      <c r="AO50" s="32"/>
      <c r="AP50" s="32"/>
      <c r="AQ50" s="32"/>
      <c r="AR50" s="32"/>
      <c r="AS50" s="32"/>
      <c r="AT50" s="32"/>
      <c r="AU50" s="32"/>
      <c r="AV50" s="32"/>
      <c r="AW50" s="16"/>
      <c r="AX50" s="32"/>
      <c r="AY50" s="32"/>
      <c r="AZ50" s="32"/>
    </row>
    <row r="51" spans="1:52" s="41" customFormat="1" ht="100.5" customHeight="1" x14ac:dyDescent="0.2">
      <c r="A51" s="832">
        <v>32</v>
      </c>
      <c r="B51" s="833" t="s">
        <v>989</v>
      </c>
      <c r="C51" s="833">
        <v>92101805</v>
      </c>
      <c r="D51" s="163" t="s">
        <v>104</v>
      </c>
      <c r="E51" s="833" t="s">
        <v>95</v>
      </c>
      <c r="F51" s="833">
        <v>1</v>
      </c>
      <c r="G51" s="412" t="s">
        <v>166</v>
      </c>
      <c r="H51" s="485">
        <v>11</v>
      </c>
      <c r="I51" s="833" t="s">
        <v>77</v>
      </c>
      <c r="J51" s="833" t="s">
        <v>105</v>
      </c>
      <c r="K51" s="833" t="s">
        <v>55</v>
      </c>
      <c r="L51" s="68">
        <v>15856330</v>
      </c>
      <c r="M51" s="69">
        <v>15856330</v>
      </c>
      <c r="N51" s="833" t="s">
        <v>81</v>
      </c>
      <c r="O51" s="833" t="s">
        <v>56</v>
      </c>
      <c r="P51" s="25" t="s">
        <v>62</v>
      </c>
      <c r="Q51" s="981"/>
      <c r="R51" s="172" t="s">
        <v>591</v>
      </c>
      <c r="S51" s="172" t="s">
        <v>592</v>
      </c>
      <c r="T51" s="28">
        <v>42397</v>
      </c>
      <c r="U51" s="29" t="s">
        <v>593</v>
      </c>
      <c r="V51" s="181" t="s">
        <v>594</v>
      </c>
      <c r="W51" s="30">
        <v>11552200</v>
      </c>
      <c r="X51" s="30"/>
      <c r="Y51" s="134">
        <f t="shared" si="0"/>
        <v>11552200</v>
      </c>
      <c r="Z51" s="181" t="s">
        <v>595</v>
      </c>
      <c r="AA51" s="181" t="s">
        <v>596</v>
      </c>
      <c r="AB51" s="181" t="s">
        <v>35</v>
      </c>
      <c r="AC51" s="181" t="s">
        <v>733</v>
      </c>
      <c r="AD51" s="181" t="s">
        <v>691</v>
      </c>
      <c r="AE51" s="1014">
        <v>42401</v>
      </c>
      <c r="AF51" s="1014">
        <v>42402</v>
      </c>
      <c r="AG51" s="181" t="s">
        <v>597</v>
      </c>
      <c r="AH51" s="1014">
        <v>42402</v>
      </c>
      <c r="AI51" s="1014">
        <v>42720</v>
      </c>
      <c r="AJ51" s="181" t="s">
        <v>598</v>
      </c>
      <c r="AK51" s="1017" t="s">
        <v>390</v>
      </c>
      <c r="AL51" s="87" t="s">
        <v>56</v>
      </c>
      <c r="AM51" s="87" t="s">
        <v>56</v>
      </c>
      <c r="AN51" s="32">
        <v>1050200</v>
      </c>
      <c r="AO51" s="70">
        <f>SUBTOTAL(9,AN51)</f>
        <v>1050200</v>
      </c>
      <c r="AP51" s="32">
        <v>1050200</v>
      </c>
      <c r="AQ51" s="32">
        <v>1050200</v>
      </c>
      <c r="AR51" s="32">
        <v>1050200</v>
      </c>
      <c r="AS51" s="32"/>
      <c r="AT51" s="32">
        <v>1050200</v>
      </c>
      <c r="AU51" s="32">
        <v>1575000</v>
      </c>
      <c r="AV51" s="32"/>
      <c r="AW51" s="16"/>
      <c r="AX51" s="32"/>
      <c r="AY51" s="32"/>
      <c r="AZ51" s="32"/>
    </row>
    <row r="52" spans="1:52" s="41" customFormat="1" ht="90" customHeight="1" x14ac:dyDescent="0.2">
      <c r="A52" s="832">
        <v>33</v>
      </c>
      <c r="B52" s="833" t="s">
        <v>987</v>
      </c>
      <c r="C52" s="833">
        <v>80111621</v>
      </c>
      <c r="D52" s="163" t="s">
        <v>1286</v>
      </c>
      <c r="E52" s="833" t="s">
        <v>95</v>
      </c>
      <c r="F52" s="833">
        <v>1</v>
      </c>
      <c r="G52" s="834" t="s">
        <v>159</v>
      </c>
      <c r="H52" s="485">
        <v>2</v>
      </c>
      <c r="I52" s="833" t="s">
        <v>77</v>
      </c>
      <c r="J52" s="833" t="s">
        <v>105</v>
      </c>
      <c r="K52" s="833" t="s">
        <v>55</v>
      </c>
      <c r="L52" s="68">
        <v>8800000</v>
      </c>
      <c r="M52" s="69">
        <v>8800000</v>
      </c>
      <c r="N52" s="833" t="s">
        <v>81</v>
      </c>
      <c r="O52" s="833" t="s">
        <v>56</v>
      </c>
      <c r="P52" s="25" t="s">
        <v>68</v>
      </c>
      <c r="Q52" s="981"/>
      <c r="R52" s="172" t="s">
        <v>599</v>
      </c>
      <c r="S52" s="172" t="s">
        <v>600</v>
      </c>
      <c r="T52" s="28">
        <v>42402</v>
      </c>
      <c r="U52" s="29" t="s">
        <v>601</v>
      </c>
      <c r="V52" s="181" t="s">
        <v>212</v>
      </c>
      <c r="W52" s="30">
        <v>8800000</v>
      </c>
      <c r="X52" s="30"/>
      <c r="Y52" s="134">
        <f t="shared" si="0"/>
        <v>8800000</v>
      </c>
      <c r="Z52" s="181" t="s">
        <v>602</v>
      </c>
      <c r="AA52" s="181" t="s">
        <v>603</v>
      </c>
      <c r="AB52" s="181" t="s">
        <v>225</v>
      </c>
      <c r="AC52" s="181" t="s">
        <v>604</v>
      </c>
      <c r="AD52" s="181" t="s">
        <v>56</v>
      </c>
      <c r="AE52" s="181" t="s">
        <v>56</v>
      </c>
      <c r="AF52" s="181" t="s">
        <v>56</v>
      </c>
      <c r="AG52" s="181" t="s">
        <v>217</v>
      </c>
      <c r="AH52" s="1014">
        <v>42402</v>
      </c>
      <c r="AI52" s="1014">
        <v>42461</v>
      </c>
      <c r="AJ52" s="181" t="s">
        <v>248</v>
      </c>
      <c r="AK52" s="1017" t="s">
        <v>241</v>
      </c>
      <c r="AL52" s="1044" t="s">
        <v>56</v>
      </c>
      <c r="AM52" s="983">
        <v>4400000</v>
      </c>
      <c r="AN52" s="983">
        <v>4400000</v>
      </c>
      <c r="AO52" s="32"/>
      <c r="AP52" s="32"/>
      <c r="AQ52" s="32"/>
      <c r="AR52" s="32"/>
      <c r="AS52" s="32"/>
      <c r="AT52" s="32"/>
      <c r="AU52" s="32"/>
      <c r="AV52" s="32"/>
      <c r="AW52" s="16"/>
      <c r="AX52" s="32"/>
      <c r="AY52" s="32"/>
      <c r="AZ52" s="32"/>
    </row>
    <row r="53" spans="1:52" s="41" customFormat="1" ht="120" customHeight="1" x14ac:dyDescent="0.2">
      <c r="A53" s="832">
        <v>34</v>
      </c>
      <c r="B53" s="833" t="s">
        <v>991</v>
      </c>
      <c r="C53" s="836">
        <v>80101706</v>
      </c>
      <c r="D53" s="1056" t="s">
        <v>191</v>
      </c>
      <c r="E53" s="836" t="s">
        <v>95</v>
      </c>
      <c r="F53" s="833">
        <v>1</v>
      </c>
      <c r="G53" s="834" t="s">
        <v>166</v>
      </c>
      <c r="H53" s="485">
        <v>10</v>
      </c>
      <c r="I53" s="836" t="s">
        <v>77</v>
      </c>
      <c r="J53" s="836" t="s">
        <v>105</v>
      </c>
      <c r="K53" s="836" t="s">
        <v>55</v>
      </c>
      <c r="L53" s="56">
        <v>14000000</v>
      </c>
      <c r="M53" s="56">
        <v>14000000</v>
      </c>
      <c r="N53" s="836" t="s">
        <v>81</v>
      </c>
      <c r="O53" s="836" t="s">
        <v>56</v>
      </c>
      <c r="P53" s="590" t="s">
        <v>82</v>
      </c>
      <c r="Q53" s="1057"/>
      <c r="R53" s="172" t="s">
        <v>656</v>
      </c>
      <c r="S53" s="172" t="s">
        <v>657</v>
      </c>
      <c r="T53" s="28">
        <v>42412</v>
      </c>
      <c r="U53" s="1012" t="s">
        <v>658</v>
      </c>
      <c r="V53" s="181" t="s">
        <v>296</v>
      </c>
      <c r="W53" s="30">
        <v>14000000</v>
      </c>
      <c r="X53" s="30"/>
      <c r="Y53" s="134">
        <f t="shared" si="0"/>
        <v>14000000</v>
      </c>
      <c r="Z53" s="181" t="s">
        <v>659</v>
      </c>
      <c r="AA53" s="181" t="s">
        <v>660</v>
      </c>
      <c r="AB53" s="181" t="s">
        <v>35</v>
      </c>
      <c r="AC53" s="181" t="s">
        <v>734</v>
      </c>
      <c r="AD53" s="181" t="s">
        <v>56</v>
      </c>
      <c r="AE53" s="181" t="s">
        <v>56</v>
      </c>
      <c r="AF53" s="181" t="s">
        <v>56</v>
      </c>
      <c r="AG53" s="181" t="s">
        <v>661</v>
      </c>
      <c r="AH53" s="1014">
        <v>42412</v>
      </c>
      <c r="AI53" s="1014">
        <v>42715</v>
      </c>
      <c r="AJ53" s="181" t="s">
        <v>207</v>
      </c>
      <c r="AK53" s="1017" t="s">
        <v>728</v>
      </c>
      <c r="AL53" s="1044" t="s">
        <v>56</v>
      </c>
      <c r="AM53" s="1044" t="s">
        <v>56</v>
      </c>
      <c r="AN53" s="1045">
        <v>1400000</v>
      </c>
      <c r="AO53" s="1058">
        <f>SUBTOTAL(9,AN53)</f>
        <v>1400000</v>
      </c>
      <c r="AP53" s="1045">
        <v>1400000</v>
      </c>
      <c r="AQ53" s="1045">
        <v>1400000</v>
      </c>
      <c r="AR53" s="43">
        <v>1400000</v>
      </c>
      <c r="AS53" s="1059"/>
      <c r="AT53" s="43">
        <v>1400000</v>
      </c>
      <c r="AU53" s="1059"/>
      <c r="AV53" s="1059"/>
      <c r="AW53" s="61"/>
      <c r="AX53" s="1059"/>
      <c r="AY53" s="1059"/>
      <c r="AZ53" s="1059"/>
    </row>
    <row r="54" spans="1:52" s="41" customFormat="1" ht="110.25" customHeight="1" x14ac:dyDescent="0.2">
      <c r="A54" s="832">
        <v>35</v>
      </c>
      <c r="B54" s="833" t="s">
        <v>991</v>
      </c>
      <c r="C54" s="836">
        <v>80101706</v>
      </c>
      <c r="D54" s="1060" t="s">
        <v>189</v>
      </c>
      <c r="E54" s="836" t="s">
        <v>95</v>
      </c>
      <c r="F54" s="833">
        <v>1</v>
      </c>
      <c r="G54" s="834" t="s">
        <v>166</v>
      </c>
      <c r="H54" s="485">
        <v>10</v>
      </c>
      <c r="I54" s="836" t="s">
        <v>77</v>
      </c>
      <c r="J54" s="836" t="s">
        <v>105</v>
      </c>
      <c r="K54" s="836" t="s">
        <v>55</v>
      </c>
      <c r="L54" s="56">
        <v>14000000</v>
      </c>
      <c r="M54" s="56">
        <v>14000000</v>
      </c>
      <c r="N54" s="836" t="s">
        <v>81</v>
      </c>
      <c r="O54" s="836" t="s">
        <v>56</v>
      </c>
      <c r="P54" s="590" t="s">
        <v>110</v>
      </c>
      <c r="Q54" s="1057"/>
      <c r="R54" s="172" t="s">
        <v>662</v>
      </c>
      <c r="S54" s="982" t="s">
        <v>2642</v>
      </c>
      <c r="T54" s="28">
        <v>42412</v>
      </c>
      <c r="U54" s="1012" t="s">
        <v>663</v>
      </c>
      <c r="V54" s="181" t="s">
        <v>296</v>
      </c>
      <c r="W54" s="30">
        <v>14000000</v>
      </c>
      <c r="X54" s="30"/>
      <c r="Y54" s="134">
        <f t="shared" si="0"/>
        <v>14000000</v>
      </c>
      <c r="Z54" s="181" t="s">
        <v>659</v>
      </c>
      <c r="AA54" s="181" t="s">
        <v>664</v>
      </c>
      <c r="AB54" s="181" t="s">
        <v>35</v>
      </c>
      <c r="AC54" s="181" t="s">
        <v>665</v>
      </c>
      <c r="AD54" s="181" t="s">
        <v>56</v>
      </c>
      <c r="AE54" s="181" t="s">
        <v>56</v>
      </c>
      <c r="AF54" s="181" t="s">
        <v>56</v>
      </c>
      <c r="AG54" s="181" t="s">
        <v>661</v>
      </c>
      <c r="AH54" s="1014">
        <v>42412</v>
      </c>
      <c r="AI54" s="1014">
        <v>42471</v>
      </c>
      <c r="AJ54" s="181" t="s">
        <v>207</v>
      </c>
      <c r="AK54" s="1017" t="s">
        <v>208</v>
      </c>
      <c r="AL54" s="1044" t="s">
        <v>56</v>
      </c>
      <c r="AM54" s="1044" t="s">
        <v>56</v>
      </c>
      <c r="AN54" s="1045">
        <v>1400000</v>
      </c>
      <c r="AO54" s="1058">
        <f>SUBTOTAL(9,AN54)</f>
        <v>1400000</v>
      </c>
      <c r="AP54" s="1045">
        <v>1400000</v>
      </c>
      <c r="AQ54" s="1045">
        <v>1400000</v>
      </c>
      <c r="AR54" s="43">
        <v>1400000</v>
      </c>
      <c r="AS54" s="1059"/>
      <c r="AT54" s="43">
        <v>1400000</v>
      </c>
      <c r="AU54" s="1059"/>
      <c r="AV54" s="1059"/>
      <c r="AW54" s="61"/>
      <c r="AX54" s="1059"/>
      <c r="AY54" s="1059"/>
      <c r="AZ54" s="1059"/>
    </row>
    <row r="55" spans="1:52" s="41" customFormat="1" ht="82.9" customHeight="1" x14ac:dyDescent="0.2">
      <c r="A55" s="832">
        <v>36</v>
      </c>
      <c r="B55" s="833" t="s">
        <v>991</v>
      </c>
      <c r="C55" s="836">
        <v>80101706</v>
      </c>
      <c r="D55" s="1061" t="s">
        <v>190</v>
      </c>
      <c r="E55" s="836" t="s">
        <v>95</v>
      </c>
      <c r="F55" s="833">
        <v>1</v>
      </c>
      <c r="G55" s="834" t="s">
        <v>166</v>
      </c>
      <c r="H55" s="485">
        <v>10</v>
      </c>
      <c r="I55" s="836" t="s">
        <v>77</v>
      </c>
      <c r="J55" s="836" t="s">
        <v>105</v>
      </c>
      <c r="K55" s="836" t="s">
        <v>55</v>
      </c>
      <c r="L55" s="56">
        <v>17000000</v>
      </c>
      <c r="M55" s="56">
        <v>17000000</v>
      </c>
      <c r="N55" s="836" t="s">
        <v>81</v>
      </c>
      <c r="O55" s="836" t="s">
        <v>56</v>
      </c>
      <c r="P55" s="590" t="s">
        <v>169</v>
      </c>
      <c r="Q55" s="1057"/>
      <c r="R55" s="172" t="s">
        <v>666</v>
      </c>
      <c r="S55" s="172" t="s">
        <v>667</v>
      </c>
      <c r="T55" s="28">
        <v>42412</v>
      </c>
      <c r="U55" s="1012" t="s">
        <v>668</v>
      </c>
      <c r="V55" s="181" t="s">
        <v>296</v>
      </c>
      <c r="W55" s="30">
        <v>17000000</v>
      </c>
      <c r="X55" s="30"/>
      <c r="Y55" s="134">
        <f t="shared" si="0"/>
        <v>17000000</v>
      </c>
      <c r="Z55" s="181" t="s">
        <v>669</v>
      </c>
      <c r="AA55" s="181" t="s">
        <v>670</v>
      </c>
      <c r="AB55" s="181" t="s">
        <v>35</v>
      </c>
      <c r="AC55" s="181" t="s">
        <v>735</v>
      </c>
      <c r="AD55" s="181" t="s">
        <v>56</v>
      </c>
      <c r="AE55" s="181" t="s">
        <v>56</v>
      </c>
      <c r="AF55" s="181" t="s">
        <v>56</v>
      </c>
      <c r="AG55" s="181" t="s">
        <v>661</v>
      </c>
      <c r="AH55" s="1014">
        <v>42412</v>
      </c>
      <c r="AI55" s="1014">
        <v>42715</v>
      </c>
      <c r="AJ55" s="181" t="s">
        <v>207</v>
      </c>
      <c r="AK55" s="1017" t="s">
        <v>728</v>
      </c>
      <c r="AL55" s="1044" t="s">
        <v>56</v>
      </c>
      <c r="AM55" s="1044" t="s">
        <v>56</v>
      </c>
      <c r="AN55" s="983">
        <v>1700000</v>
      </c>
      <c r="AO55" s="1062">
        <f>SUBTOTAL(9,AN55)</f>
        <v>1700000</v>
      </c>
      <c r="AP55" s="983">
        <v>1700000</v>
      </c>
      <c r="AQ55" s="983">
        <v>1700000</v>
      </c>
      <c r="AR55" s="1063">
        <v>1700000</v>
      </c>
      <c r="AS55" s="1059"/>
      <c r="AT55" s="1063">
        <v>1700000</v>
      </c>
      <c r="AU55" s="1059"/>
      <c r="AV55" s="1059"/>
      <c r="AW55" s="61"/>
      <c r="AX55" s="1059"/>
      <c r="AY55" s="1059"/>
      <c r="AZ55" s="1059"/>
    </row>
    <row r="56" spans="1:52" s="41" customFormat="1" ht="109.5" customHeight="1" x14ac:dyDescent="0.2">
      <c r="A56" s="832">
        <v>37</v>
      </c>
      <c r="B56" s="833" t="s">
        <v>991</v>
      </c>
      <c r="C56" s="836">
        <v>80101706</v>
      </c>
      <c r="D56" s="1064" t="s">
        <v>637</v>
      </c>
      <c r="E56" s="836" t="s">
        <v>95</v>
      </c>
      <c r="F56" s="833">
        <v>1</v>
      </c>
      <c r="G56" s="834" t="s">
        <v>166</v>
      </c>
      <c r="H56" s="485">
        <v>10</v>
      </c>
      <c r="I56" s="836" t="s">
        <v>77</v>
      </c>
      <c r="J56" s="836" t="s">
        <v>105</v>
      </c>
      <c r="K56" s="836" t="s">
        <v>55</v>
      </c>
      <c r="L56" s="56">
        <v>17000000</v>
      </c>
      <c r="M56" s="57">
        <v>17000000</v>
      </c>
      <c r="N56" s="836" t="s">
        <v>81</v>
      </c>
      <c r="O56" s="836" t="s">
        <v>56</v>
      </c>
      <c r="P56" s="24" t="s">
        <v>170</v>
      </c>
      <c r="Q56" s="1057"/>
      <c r="R56" s="172" t="s">
        <v>671</v>
      </c>
      <c r="S56" s="172" t="s">
        <v>672</v>
      </c>
      <c r="T56" s="28">
        <v>42412</v>
      </c>
      <c r="U56" s="1012" t="s">
        <v>673</v>
      </c>
      <c r="V56" s="181" t="s">
        <v>296</v>
      </c>
      <c r="W56" s="30">
        <v>17000000</v>
      </c>
      <c r="X56" s="30"/>
      <c r="Y56" s="134">
        <f t="shared" si="0"/>
        <v>17000000</v>
      </c>
      <c r="Z56" s="181" t="s">
        <v>669</v>
      </c>
      <c r="AA56" s="181" t="s">
        <v>674</v>
      </c>
      <c r="AB56" s="181" t="s">
        <v>35</v>
      </c>
      <c r="AC56" s="181" t="s">
        <v>736</v>
      </c>
      <c r="AD56" s="181" t="s">
        <v>56</v>
      </c>
      <c r="AE56" s="181" t="s">
        <v>56</v>
      </c>
      <c r="AF56" s="181" t="s">
        <v>56</v>
      </c>
      <c r="AG56" s="181" t="s">
        <v>661</v>
      </c>
      <c r="AH56" s="1014">
        <v>42412</v>
      </c>
      <c r="AI56" s="1014">
        <v>42715</v>
      </c>
      <c r="AJ56" s="181" t="s">
        <v>207</v>
      </c>
      <c r="AK56" s="1017" t="s">
        <v>728</v>
      </c>
      <c r="AL56" s="1044" t="s">
        <v>56</v>
      </c>
      <c r="AM56" s="1044" t="s">
        <v>56</v>
      </c>
      <c r="AN56" s="983">
        <v>1700000</v>
      </c>
      <c r="AO56" s="1065">
        <v>1700000</v>
      </c>
      <c r="AP56" s="983">
        <v>1700000</v>
      </c>
      <c r="AQ56" s="983">
        <v>1700000</v>
      </c>
      <c r="AR56" s="43">
        <v>1700000</v>
      </c>
      <c r="AS56" s="1059"/>
      <c r="AT56" s="43">
        <v>1700000</v>
      </c>
      <c r="AU56" s="1059"/>
      <c r="AV56" s="1059"/>
      <c r="AW56" s="61"/>
      <c r="AX56" s="1059"/>
      <c r="AY56" s="1059"/>
      <c r="AZ56" s="1059"/>
    </row>
    <row r="57" spans="1:52" ht="150" customHeight="1" x14ac:dyDescent="0.25">
      <c r="A57" s="832">
        <v>38</v>
      </c>
      <c r="B57" s="833" t="s">
        <v>991</v>
      </c>
      <c r="C57" s="833">
        <v>80101706</v>
      </c>
      <c r="D57" s="163" t="s">
        <v>106</v>
      </c>
      <c r="E57" s="833" t="s">
        <v>95</v>
      </c>
      <c r="F57" s="833">
        <v>1</v>
      </c>
      <c r="G57" s="834" t="s">
        <v>159</v>
      </c>
      <c r="H57" s="485">
        <v>7</v>
      </c>
      <c r="I57" s="836" t="s">
        <v>96</v>
      </c>
      <c r="J57" s="833" t="s">
        <v>107</v>
      </c>
      <c r="K57" s="833" t="s">
        <v>108</v>
      </c>
      <c r="L57" s="68">
        <v>8000000</v>
      </c>
      <c r="M57" s="69">
        <v>8000000</v>
      </c>
      <c r="N57" s="833" t="s">
        <v>81</v>
      </c>
      <c r="O57" s="833" t="s">
        <v>56</v>
      </c>
      <c r="P57" s="1066" t="s">
        <v>82</v>
      </c>
      <c r="Q57" s="981"/>
      <c r="R57" s="172" t="s">
        <v>675</v>
      </c>
      <c r="S57" s="172" t="s">
        <v>676</v>
      </c>
      <c r="T57" s="28">
        <v>42408</v>
      </c>
      <c r="U57" s="1012" t="s">
        <v>677</v>
      </c>
      <c r="V57" s="181" t="s">
        <v>212</v>
      </c>
      <c r="W57" s="30">
        <v>8000000</v>
      </c>
      <c r="X57" s="30"/>
      <c r="Y57" s="134">
        <f t="shared" si="0"/>
        <v>8000000</v>
      </c>
      <c r="Z57" s="181" t="s">
        <v>678</v>
      </c>
      <c r="AA57" s="181" t="s">
        <v>679</v>
      </c>
      <c r="AB57" s="181" t="s">
        <v>35</v>
      </c>
      <c r="AC57" s="181" t="s">
        <v>680</v>
      </c>
      <c r="AD57" s="181" t="s">
        <v>56</v>
      </c>
      <c r="AE57" s="181" t="s">
        <v>56</v>
      </c>
      <c r="AF57" s="181" t="s">
        <v>56</v>
      </c>
      <c r="AG57" s="1067" t="s">
        <v>681</v>
      </c>
      <c r="AH57" s="1014">
        <v>42408</v>
      </c>
      <c r="AI57" s="1014">
        <v>42620</v>
      </c>
      <c r="AJ57" s="181" t="s">
        <v>207</v>
      </c>
      <c r="AK57" s="1017" t="s">
        <v>208</v>
      </c>
      <c r="AL57" s="44"/>
      <c r="AM57" s="32"/>
      <c r="AN57" s="32"/>
      <c r="AO57" s="32"/>
      <c r="AP57" s="32"/>
      <c r="AQ57" s="32"/>
      <c r="AR57" s="32"/>
      <c r="AS57" s="32"/>
      <c r="AT57" s="32"/>
      <c r="AU57" s="32"/>
      <c r="AV57" s="32"/>
      <c r="AW57" s="16"/>
      <c r="AX57" s="32"/>
      <c r="AY57" s="32"/>
      <c r="AZ57" s="32"/>
    </row>
    <row r="58" spans="1:52" s="41" customFormat="1" ht="72.75" customHeight="1" x14ac:dyDescent="0.25">
      <c r="A58" s="832">
        <v>39</v>
      </c>
      <c r="B58" s="833" t="s">
        <v>991</v>
      </c>
      <c r="C58" s="833">
        <v>72101506</v>
      </c>
      <c r="D58" s="162" t="s">
        <v>652</v>
      </c>
      <c r="E58" s="833" t="s">
        <v>95</v>
      </c>
      <c r="F58" s="833">
        <v>1</v>
      </c>
      <c r="G58" s="834" t="s">
        <v>167</v>
      </c>
      <c r="H58" s="485">
        <v>3</v>
      </c>
      <c r="I58" s="833" t="s">
        <v>109</v>
      </c>
      <c r="J58" s="833" t="s">
        <v>107</v>
      </c>
      <c r="K58" s="833" t="s">
        <v>108</v>
      </c>
      <c r="L58" s="68">
        <f>25362000+M58</f>
        <v>62662000</v>
      </c>
      <c r="M58" s="69">
        <v>37300000</v>
      </c>
      <c r="N58" s="833" t="s">
        <v>78</v>
      </c>
      <c r="O58" s="833" t="s">
        <v>79</v>
      </c>
      <c r="P58" s="16" t="s">
        <v>110</v>
      </c>
      <c r="Q58" s="981"/>
      <c r="R58" s="81"/>
      <c r="S58" s="92"/>
      <c r="T58" s="27"/>
      <c r="U58" s="834"/>
      <c r="V58" s="72"/>
      <c r="W58" s="836"/>
      <c r="X58" s="836"/>
      <c r="Y58" s="134">
        <f t="shared" si="0"/>
        <v>0</v>
      </c>
      <c r="Z58" s="43"/>
      <c r="AA58" s="42"/>
      <c r="AB58" s="836"/>
      <c r="AC58" s="836"/>
      <c r="AD58" s="836"/>
      <c r="AE58" s="836"/>
      <c r="AF58" s="836"/>
      <c r="AG58" s="836"/>
      <c r="AH58" s="836"/>
      <c r="AI58" s="836"/>
      <c r="AJ58" s="836"/>
      <c r="AK58" s="91"/>
      <c r="AL58" s="44"/>
      <c r="AM58" s="32"/>
      <c r="AN58" s="32"/>
      <c r="AO58" s="32"/>
      <c r="AP58" s="32"/>
      <c r="AQ58" s="32"/>
      <c r="AR58" s="32"/>
      <c r="AS58" s="32"/>
      <c r="AT58" s="32"/>
      <c r="AU58" s="36"/>
      <c r="AV58" s="16"/>
      <c r="AW58" s="16"/>
      <c r="AX58" s="16"/>
      <c r="AY58" s="16"/>
      <c r="AZ58" s="16"/>
    </row>
    <row r="59" spans="1:52" s="12" customFormat="1" ht="180" customHeight="1" x14ac:dyDescent="0.2">
      <c r="A59" s="832">
        <v>40</v>
      </c>
      <c r="B59" s="833" t="s">
        <v>1000</v>
      </c>
      <c r="C59" s="833">
        <v>80101706</v>
      </c>
      <c r="D59" s="831" t="s">
        <v>222</v>
      </c>
      <c r="E59" s="833" t="s">
        <v>125</v>
      </c>
      <c r="F59" s="833">
        <v>1</v>
      </c>
      <c r="G59" s="834" t="s">
        <v>159</v>
      </c>
      <c r="H59" s="485">
        <v>2</v>
      </c>
      <c r="I59" s="836" t="s">
        <v>96</v>
      </c>
      <c r="J59" s="836" t="s">
        <v>861</v>
      </c>
      <c r="K59" s="833" t="s">
        <v>108</v>
      </c>
      <c r="L59" s="68">
        <v>20000000</v>
      </c>
      <c r="M59" s="69">
        <v>20000000</v>
      </c>
      <c r="N59" s="833" t="s">
        <v>81</v>
      </c>
      <c r="O59" s="833" t="s">
        <v>56</v>
      </c>
      <c r="P59" s="25" t="s">
        <v>126</v>
      </c>
      <c r="Q59" s="981"/>
      <c r="R59" s="172" t="s">
        <v>220</v>
      </c>
      <c r="S59" s="982" t="s">
        <v>221</v>
      </c>
      <c r="T59" s="166">
        <v>42377</v>
      </c>
      <c r="U59" s="831" t="s">
        <v>222</v>
      </c>
      <c r="V59" s="411" t="s">
        <v>212</v>
      </c>
      <c r="W59" s="134">
        <v>20000000</v>
      </c>
      <c r="X59" s="134">
        <v>6670000</v>
      </c>
      <c r="Y59" s="134">
        <f t="shared" si="0"/>
        <v>26670000</v>
      </c>
      <c r="Z59" s="411" t="s">
        <v>223</v>
      </c>
      <c r="AA59" s="411" t="s">
        <v>224</v>
      </c>
      <c r="AB59" s="411" t="s">
        <v>225</v>
      </c>
      <c r="AC59" s="411" t="s">
        <v>226</v>
      </c>
      <c r="AD59" s="411" t="s">
        <v>56</v>
      </c>
      <c r="AE59" s="411" t="s">
        <v>56</v>
      </c>
      <c r="AF59" s="411" t="s">
        <v>56</v>
      </c>
      <c r="AG59" s="411" t="s">
        <v>227</v>
      </c>
      <c r="AH59" s="169">
        <v>42377</v>
      </c>
      <c r="AI59" s="169">
        <v>42436</v>
      </c>
      <c r="AJ59" s="411" t="s">
        <v>228</v>
      </c>
      <c r="AK59" s="170" t="s">
        <v>219</v>
      </c>
      <c r="AL59" s="1044" t="s">
        <v>56</v>
      </c>
      <c r="AM59" s="983">
        <v>10000000</v>
      </c>
      <c r="AN59" s="983">
        <v>10000000</v>
      </c>
      <c r="AO59" s="32"/>
      <c r="AP59" s="32">
        <v>6670000</v>
      </c>
      <c r="AQ59" s="32"/>
      <c r="AR59" s="32"/>
      <c r="AS59" s="32"/>
      <c r="AT59" s="32"/>
      <c r="AU59" s="32"/>
      <c r="AV59" s="16"/>
      <c r="AW59" s="16"/>
      <c r="AX59" s="16"/>
      <c r="AY59" s="16"/>
      <c r="AZ59" s="16"/>
    </row>
    <row r="60" spans="1:52" s="12" customFormat="1" ht="90" customHeight="1" x14ac:dyDescent="0.2">
      <c r="A60" s="832">
        <v>41</v>
      </c>
      <c r="B60" s="833" t="s">
        <v>1000</v>
      </c>
      <c r="C60" s="833">
        <v>80101706</v>
      </c>
      <c r="D60" s="831" t="s">
        <v>112</v>
      </c>
      <c r="E60" s="833" t="s">
        <v>125</v>
      </c>
      <c r="F60" s="833">
        <v>1</v>
      </c>
      <c r="G60" s="834" t="s">
        <v>159</v>
      </c>
      <c r="H60" s="485">
        <v>2</v>
      </c>
      <c r="I60" s="836" t="s">
        <v>96</v>
      </c>
      <c r="J60" s="836" t="s">
        <v>127</v>
      </c>
      <c r="K60" s="833" t="s">
        <v>108</v>
      </c>
      <c r="L60" s="56">
        <v>4600000</v>
      </c>
      <c r="M60" s="57">
        <v>4600000</v>
      </c>
      <c r="N60" s="833" t="s">
        <v>81</v>
      </c>
      <c r="O60" s="833" t="s">
        <v>56</v>
      </c>
      <c r="P60" s="25" t="s">
        <v>126</v>
      </c>
      <c r="Q60" s="981"/>
      <c r="R60" s="172" t="s">
        <v>229</v>
      </c>
      <c r="S60" s="982" t="s">
        <v>230</v>
      </c>
      <c r="T60" s="166">
        <v>42377</v>
      </c>
      <c r="U60" s="831" t="s">
        <v>112</v>
      </c>
      <c r="V60" s="411" t="s">
        <v>212</v>
      </c>
      <c r="W60" s="134">
        <v>4600000</v>
      </c>
      <c r="X60" s="134"/>
      <c r="Y60" s="134">
        <f t="shared" si="0"/>
        <v>4600000</v>
      </c>
      <c r="Z60" s="411" t="s">
        <v>231</v>
      </c>
      <c r="AA60" s="411" t="s">
        <v>232</v>
      </c>
      <c r="AB60" s="411" t="s">
        <v>225</v>
      </c>
      <c r="AC60" s="411" t="s">
        <v>233</v>
      </c>
      <c r="AD60" s="411" t="s">
        <v>56</v>
      </c>
      <c r="AE60" s="411" t="s">
        <v>56</v>
      </c>
      <c r="AF60" s="411" t="s">
        <v>56</v>
      </c>
      <c r="AG60" s="411" t="s">
        <v>227</v>
      </c>
      <c r="AH60" s="169">
        <v>42377</v>
      </c>
      <c r="AI60" s="169">
        <v>42436</v>
      </c>
      <c r="AJ60" s="411" t="s">
        <v>218</v>
      </c>
      <c r="AK60" s="170" t="s">
        <v>219</v>
      </c>
      <c r="AL60" s="1044" t="s">
        <v>56</v>
      </c>
      <c r="AM60" s="1045">
        <v>2300000</v>
      </c>
      <c r="AN60" s="32"/>
      <c r="AO60" s="32"/>
      <c r="AP60" s="32"/>
      <c r="AQ60" s="32"/>
      <c r="AR60" s="32"/>
      <c r="AS60" s="32"/>
      <c r="AT60" s="32"/>
      <c r="AU60" s="32"/>
      <c r="AV60" s="32"/>
      <c r="AW60" s="32"/>
      <c r="AX60" s="32"/>
      <c r="AY60" s="32"/>
      <c r="AZ60" s="16"/>
    </row>
    <row r="61" spans="1:52" s="41" customFormat="1" ht="105" customHeight="1" x14ac:dyDescent="0.2">
      <c r="A61" s="832">
        <v>42</v>
      </c>
      <c r="B61" s="833" t="s">
        <v>987</v>
      </c>
      <c r="C61" s="833">
        <v>80101706</v>
      </c>
      <c r="D61" s="831" t="s">
        <v>236</v>
      </c>
      <c r="E61" s="833" t="s">
        <v>125</v>
      </c>
      <c r="F61" s="833">
        <v>1</v>
      </c>
      <c r="G61" s="834" t="s">
        <v>159</v>
      </c>
      <c r="H61" s="485">
        <v>2</v>
      </c>
      <c r="I61" s="836" t="s">
        <v>96</v>
      </c>
      <c r="J61" s="836" t="s">
        <v>127</v>
      </c>
      <c r="K61" s="833" t="s">
        <v>108</v>
      </c>
      <c r="L61" s="68">
        <v>5000000</v>
      </c>
      <c r="M61" s="69">
        <v>5000000</v>
      </c>
      <c r="N61" s="833" t="s">
        <v>81</v>
      </c>
      <c r="O61" s="833" t="s">
        <v>56</v>
      </c>
      <c r="P61" s="25" t="s">
        <v>126</v>
      </c>
      <c r="Q61" s="981"/>
      <c r="R61" s="172" t="s">
        <v>234</v>
      </c>
      <c r="S61" s="982" t="s">
        <v>235</v>
      </c>
      <c r="T61" s="166">
        <v>42384</v>
      </c>
      <c r="U61" s="831" t="s">
        <v>236</v>
      </c>
      <c r="V61" s="411" t="s">
        <v>212</v>
      </c>
      <c r="W61" s="134">
        <v>5000000</v>
      </c>
      <c r="X61" s="134"/>
      <c r="Y61" s="134">
        <f t="shared" si="0"/>
        <v>5000000</v>
      </c>
      <c r="Z61" s="411" t="s">
        <v>237</v>
      </c>
      <c r="AA61" s="411" t="s">
        <v>238</v>
      </c>
      <c r="AB61" s="411" t="s">
        <v>225</v>
      </c>
      <c r="AC61" s="411" t="s">
        <v>239</v>
      </c>
      <c r="AD61" s="411" t="s">
        <v>56</v>
      </c>
      <c r="AE61" s="411" t="s">
        <v>56</v>
      </c>
      <c r="AF61" s="411" t="s">
        <v>56</v>
      </c>
      <c r="AG61" s="411" t="s">
        <v>227</v>
      </c>
      <c r="AH61" s="169">
        <v>42384</v>
      </c>
      <c r="AI61" s="169">
        <v>42443</v>
      </c>
      <c r="AJ61" s="411" t="s">
        <v>240</v>
      </c>
      <c r="AK61" s="170" t="s">
        <v>241</v>
      </c>
      <c r="AL61" s="1044" t="s">
        <v>56</v>
      </c>
      <c r="AM61" s="1045">
        <v>2500000</v>
      </c>
      <c r="AN61" s="32"/>
      <c r="AO61" s="32"/>
      <c r="AP61" s="32"/>
      <c r="AQ61" s="32"/>
      <c r="AR61" s="32"/>
      <c r="AS61" s="32"/>
      <c r="AT61" s="32"/>
      <c r="AU61" s="32"/>
      <c r="AV61" s="32"/>
      <c r="AW61" s="16"/>
      <c r="AX61" s="32"/>
      <c r="AY61" s="32"/>
      <c r="AZ61" s="16"/>
    </row>
    <row r="62" spans="1:52" ht="105" customHeight="1" x14ac:dyDescent="0.25">
      <c r="A62" s="832">
        <v>43</v>
      </c>
      <c r="B62" s="833" t="s">
        <v>987</v>
      </c>
      <c r="C62" s="833">
        <v>80101706</v>
      </c>
      <c r="D62" s="164" t="s">
        <v>148</v>
      </c>
      <c r="E62" s="833" t="s">
        <v>125</v>
      </c>
      <c r="F62" s="833">
        <v>1</v>
      </c>
      <c r="G62" s="834" t="s">
        <v>159</v>
      </c>
      <c r="H62" s="485">
        <v>2</v>
      </c>
      <c r="I62" s="836" t="s">
        <v>96</v>
      </c>
      <c r="J62" s="836" t="s">
        <v>127</v>
      </c>
      <c r="K62" s="833" t="s">
        <v>108</v>
      </c>
      <c r="L62" s="68">
        <v>10000000</v>
      </c>
      <c r="M62" s="69">
        <v>10000000</v>
      </c>
      <c r="N62" s="833" t="s">
        <v>81</v>
      </c>
      <c r="O62" s="833" t="s">
        <v>56</v>
      </c>
      <c r="P62" s="25" t="s">
        <v>126</v>
      </c>
      <c r="Q62" s="981"/>
      <c r="R62" s="172" t="s">
        <v>242</v>
      </c>
      <c r="S62" s="982" t="s">
        <v>243</v>
      </c>
      <c r="T62" s="166">
        <v>42377</v>
      </c>
      <c r="U62" s="831" t="s">
        <v>244</v>
      </c>
      <c r="V62" s="411" t="s">
        <v>212</v>
      </c>
      <c r="W62" s="134">
        <v>10000000</v>
      </c>
      <c r="X62" s="134"/>
      <c r="Y62" s="134">
        <f t="shared" si="0"/>
        <v>10000000</v>
      </c>
      <c r="Z62" s="411" t="s">
        <v>245</v>
      </c>
      <c r="AA62" s="411" t="s">
        <v>246</v>
      </c>
      <c r="AB62" s="411" t="s">
        <v>225</v>
      </c>
      <c r="AC62" s="411" t="s">
        <v>247</v>
      </c>
      <c r="AD62" s="411" t="s">
        <v>56</v>
      </c>
      <c r="AE62" s="411" t="s">
        <v>56</v>
      </c>
      <c r="AF62" s="411" t="s">
        <v>56</v>
      </c>
      <c r="AG62" s="411" t="s">
        <v>227</v>
      </c>
      <c r="AH62" s="169">
        <v>42377</v>
      </c>
      <c r="AI62" s="169">
        <v>42436</v>
      </c>
      <c r="AJ62" s="411" t="s">
        <v>248</v>
      </c>
      <c r="AK62" s="170" t="s">
        <v>241</v>
      </c>
      <c r="AL62" s="1044" t="s">
        <v>56</v>
      </c>
      <c r="AM62" s="1045">
        <v>5000000</v>
      </c>
      <c r="AN62" s="1045">
        <v>5000000</v>
      </c>
      <c r="AO62" s="136"/>
      <c r="AP62" s="136"/>
      <c r="AQ62" s="136"/>
      <c r="AR62" s="136"/>
      <c r="AS62" s="136"/>
      <c r="AT62" s="136"/>
      <c r="AU62" s="32"/>
      <c r="AV62" s="32"/>
      <c r="AW62" s="26"/>
      <c r="AX62" s="32"/>
      <c r="AY62" s="32"/>
      <c r="AZ62" s="32"/>
    </row>
    <row r="63" spans="1:52" ht="102.75" customHeight="1" x14ac:dyDescent="0.25">
      <c r="A63" s="832">
        <v>44</v>
      </c>
      <c r="B63" s="833" t="s">
        <v>1000</v>
      </c>
      <c r="C63" s="833">
        <v>80101706</v>
      </c>
      <c r="D63" s="164" t="s">
        <v>130</v>
      </c>
      <c r="E63" s="833" t="s">
        <v>125</v>
      </c>
      <c r="F63" s="833">
        <v>1</v>
      </c>
      <c r="G63" s="834" t="s">
        <v>159</v>
      </c>
      <c r="H63" s="485">
        <v>2</v>
      </c>
      <c r="I63" s="836" t="s">
        <v>96</v>
      </c>
      <c r="J63" s="836" t="s">
        <v>858</v>
      </c>
      <c r="K63" s="833" t="s">
        <v>108</v>
      </c>
      <c r="L63" s="68">
        <v>11600000</v>
      </c>
      <c r="M63" s="69">
        <v>11600000</v>
      </c>
      <c r="N63" s="833" t="s">
        <v>81</v>
      </c>
      <c r="O63" s="833" t="s">
        <v>56</v>
      </c>
      <c r="P63" s="25" t="s">
        <v>126</v>
      </c>
      <c r="Q63" s="981"/>
      <c r="R63" s="172" t="s">
        <v>249</v>
      </c>
      <c r="S63" s="982" t="s">
        <v>250</v>
      </c>
      <c r="T63" s="166">
        <v>42377</v>
      </c>
      <c r="U63" s="831" t="s">
        <v>251</v>
      </c>
      <c r="V63" s="411" t="s">
        <v>212</v>
      </c>
      <c r="W63" s="134">
        <v>11600000</v>
      </c>
      <c r="X63" s="134">
        <v>3670000</v>
      </c>
      <c r="Y63" s="134">
        <f t="shared" si="0"/>
        <v>15270000</v>
      </c>
      <c r="Z63" s="411" t="s">
        <v>252</v>
      </c>
      <c r="AA63" s="411" t="s">
        <v>253</v>
      </c>
      <c r="AB63" s="411" t="s">
        <v>225</v>
      </c>
      <c r="AC63" s="411" t="s">
        <v>254</v>
      </c>
      <c r="AD63" s="411" t="s">
        <v>56</v>
      </c>
      <c r="AE63" s="411" t="s">
        <v>56</v>
      </c>
      <c r="AF63" s="411" t="s">
        <v>56</v>
      </c>
      <c r="AG63" s="411" t="s">
        <v>227</v>
      </c>
      <c r="AH63" s="169">
        <v>42377</v>
      </c>
      <c r="AI63" s="169">
        <v>42436</v>
      </c>
      <c r="AJ63" s="411" t="s">
        <v>248</v>
      </c>
      <c r="AK63" s="170" t="s">
        <v>241</v>
      </c>
      <c r="AL63" s="1044" t="s">
        <v>56</v>
      </c>
      <c r="AM63" s="983">
        <v>5800000</v>
      </c>
      <c r="AN63" s="983">
        <v>5800000</v>
      </c>
      <c r="AO63" s="32"/>
      <c r="AP63" s="983">
        <v>3670000</v>
      </c>
      <c r="AQ63" s="32"/>
      <c r="AR63" s="32"/>
      <c r="AS63" s="32"/>
      <c r="AT63" s="32"/>
      <c r="AU63" s="32"/>
      <c r="AV63" s="32"/>
      <c r="AW63" s="26"/>
      <c r="AX63" s="32"/>
      <c r="AY63" s="32"/>
      <c r="AZ63" s="32"/>
    </row>
    <row r="64" spans="1:52" ht="105" customHeight="1" x14ac:dyDescent="0.25">
      <c r="A64" s="832">
        <v>45</v>
      </c>
      <c r="B64" s="833" t="s">
        <v>1000</v>
      </c>
      <c r="C64" s="833">
        <v>80101706</v>
      </c>
      <c r="D64" s="164" t="s">
        <v>131</v>
      </c>
      <c r="E64" s="833" t="s">
        <v>125</v>
      </c>
      <c r="F64" s="833">
        <v>1</v>
      </c>
      <c r="G64" s="834" t="s">
        <v>159</v>
      </c>
      <c r="H64" s="485">
        <v>2</v>
      </c>
      <c r="I64" s="836" t="s">
        <v>96</v>
      </c>
      <c r="J64" s="836" t="s">
        <v>127</v>
      </c>
      <c r="K64" s="833" t="s">
        <v>108</v>
      </c>
      <c r="L64" s="68">
        <v>20000000</v>
      </c>
      <c r="M64" s="69">
        <v>20000000</v>
      </c>
      <c r="N64" s="833" t="s">
        <v>81</v>
      </c>
      <c r="O64" s="833" t="s">
        <v>56</v>
      </c>
      <c r="P64" s="25" t="s">
        <v>126</v>
      </c>
      <c r="Q64" s="981"/>
      <c r="R64" s="172" t="s">
        <v>255</v>
      </c>
      <c r="S64" s="982" t="s">
        <v>256</v>
      </c>
      <c r="T64" s="1068">
        <v>42377</v>
      </c>
      <c r="U64" s="831" t="s">
        <v>131</v>
      </c>
      <c r="V64" s="1069" t="s">
        <v>212</v>
      </c>
      <c r="W64" s="134">
        <v>20000000</v>
      </c>
      <c r="X64" s="1070"/>
      <c r="Y64" s="134">
        <f t="shared" si="0"/>
        <v>20000000</v>
      </c>
      <c r="Z64" s="1069" t="s">
        <v>257</v>
      </c>
      <c r="AA64" s="1069" t="s">
        <v>260</v>
      </c>
      <c r="AB64" s="1069" t="s">
        <v>225</v>
      </c>
      <c r="AC64" s="1069" t="s">
        <v>258</v>
      </c>
      <c r="AD64" s="1069" t="s">
        <v>56</v>
      </c>
      <c r="AE64" s="1069" t="s">
        <v>56</v>
      </c>
      <c r="AF64" s="1069" t="s">
        <v>56</v>
      </c>
      <c r="AG64" s="1069" t="s">
        <v>227</v>
      </c>
      <c r="AH64" s="1071">
        <v>42377</v>
      </c>
      <c r="AI64" s="1071">
        <v>42436</v>
      </c>
      <c r="AJ64" s="1069" t="s">
        <v>259</v>
      </c>
      <c r="AK64" s="1072" t="s">
        <v>219</v>
      </c>
      <c r="AL64" s="1044" t="s">
        <v>56</v>
      </c>
      <c r="AM64" s="1045">
        <v>10000000</v>
      </c>
      <c r="AN64" s="1045">
        <v>10000000</v>
      </c>
      <c r="AO64" s="32"/>
      <c r="AP64" s="32"/>
      <c r="AQ64" s="32"/>
      <c r="AR64" s="32"/>
      <c r="AS64" s="32"/>
      <c r="AT64" s="32"/>
      <c r="AU64" s="32"/>
      <c r="AV64" s="32"/>
      <c r="AW64" s="26"/>
      <c r="AX64" s="32"/>
      <c r="AY64" s="32"/>
      <c r="AZ64" s="32"/>
    </row>
    <row r="65" spans="1:52" s="41" customFormat="1" ht="90" customHeight="1" x14ac:dyDescent="0.2">
      <c r="A65" s="832">
        <v>46</v>
      </c>
      <c r="B65" s="833" t="s">
        <v>1000</v>
      </c>
      <c r="C65" s="833">
        <v>80101706</v>
      </c>
      <c r="D65" s="164" t="s">
        <v>143</v>
      </c>
      <c r="E65" s="833" t="s">
        <v>125</v>
      </c>
      <c r="F65" s="833">
        <v>1</v>
      </c>
      <c r="G65" s="834" t="s">
        <v>159</v>
      </c>
      <c r="H65" s="485">
        <v>2</v>
      </c>
      <c r="I65" s="836" t="s">
        <v>96</v>
      </c>
      <c r="J65" s="836" t="s">
        <v>127</v>
      </c>
      <c r="K65" s="833" t="s">
        <v>108</v>
      </c>
      <c r="L65" s="68">
        <v>19000000</v>
      </c>
      <c r="M65" s="69">
        <v>19000000</v>
      </c>
      <c r="N65" s="833" t="s">
        <v>81</v>
      </c>
      <c r="O65" s="833" t="s">
        <v>56</v>
      </c>
      <c r="P65" s="25" t="s">
        <v>126</v>
      </c>
      <c r="Q65" s="981"/>
      <c r="R65" s="172" t="s">
        <v>261</v>
      </c>
      <c r="S65" s="982" t="s">
        <v>262</v>
      </c>
      <c r="T65" s="166">
        <v>42377</v>
      </c>
      <c r="U65" s="831" t="s">
        <v>143</v>
      </c>
      <c r="V65" s="411" t="s">
        <v>212</v>
      </c>
      <c r="W65" s="134">
        <v>19000000</v>
      </c>
      <c r="X65" s="134"/>
      <c r="Y65" s="134">
        <f t="shared" si="0"/>
        <v>19000000</v>
      </c>
      <c r="Z65" s="411" t="s">
        <v>263</v>
      </c>
      <c r="AA65" s="411" t="s">
        <v>264</v>
      </c>
      <c r="AB65" s="411" t="s">
        <v>225</v>
      </c>
      <c r="AC65" s="411" t="s">
        <v>265</v>
      </c>
      <c r="AD65" s="411" t="s">
        <v>56</v>
      </c>
      <c r="AE65" s="411" t="s">
        <v>56</v>
      </c>
      <c r="AF65" s="411" t="s">
        <v>56</v>
      </c>
      <c r="AG65" s="411" t="s">
        <v>227</v>
      </c>
      <c r="AH65" s="169">
        <v>42377</v>
      </c>
      <c r="AI65" s="169">
        <v>42436</v>
      </c>
      <c r="AJ65" s="411" t="s">
        <v>259</v>
      </c>
      <c r="AK65" s="170" t="s">
        <v>219</v>
      </c>
      <c r="AL65" s="1044" t="s">
        <v>56</v>
      </c>
      <c r="AM65" s="1045">
        <v>9500000</v>
      </c>
      <c r="AN65" s="1045">
        <v>9500000</v>
      </c>
      <c r="AO65" s="32"/>
      <c r="AP65" s="32"/>
      <c r="AQ65" s="32"/>
      <c r="AR65" s="32"/>
      <c r="AS65" s="32"/>
      <c r="AT65" s="32"/>
      <c r="AU65" s="32"/>
      <c r="AV65" s="32"/>
      <c r="AW65" s="16"/>
      <c r="AX65" s="32"/>
      <c r="AY65" s="32"/>
      <c r="AZ65" s="32"/>
    </row>
    <row r="66" spans="1:52" s="41" customFormat="1" ht="90" customHeight="1" x14ac:dyDescent="0.2">
      <c r="A66" s="832">
        <v>47</v>
      </c>
      <c r="B66" s="833" t="s">
        <v>1000</v>
      </c>
      <c r="C66" s="833">
        <v>80101706</v>
      </c>
      <c r="D66" s="164" t="s">
        <v>144</v>
      </c>
      <c r="E66" s="833" t="s">
        <v>125</v>
      </c>
      <c r="F66" s="833">
        <v>1</v>
      </c>
      <c r="G66" s="834" t="s">
        <v>159</v>
      </c>
      <c r="H66" s="485">
        <v>2</v>
      </c>
      <c r="I66" s="836" t="s">
        <v>96</v>
      </c>
      <c r="J66" s="836" t="s">
        <v>128</v>
      </c>
      <c r="K66" s="833" t="s">
        <v>108</v>
      </c>
      <c r="L66" s="68">
        <v>10300000</v>
      </c>
      <c r="M66" s="69">
        <v>10300000</v>
      </c>
      <c r="N66" s="833" t="s">
        <v>81</v>
      </c>
      <c r="O66" s="833" t="s">
        <v>56</v>
      </c>
      <c r="P66" s="25" t="s">
        <v>126</v>
      </c>
      <c r="Q66" s="981"/>
      <c r="R66" s="172" t="s">
        <v>266</v>
      </c>
      <c r="S66" s="982" t="s">
        <v>267</v>
      </c>
      <c r="T66" s="166">
        <v>42377</v>
      </c>
      <c r="U66" s="831" t="s">
        <v>268</v>
      </c>
      <c r="V66" s="411" t="s">
        <v>212</v>
      </c>
      <c r="W66" s="134">
        <v>10300000</v>
      </c>
      <c r="X66" s="134"/>
      <c r="Y66" s="134">
        <f t="shared" si="0"/>
        <v>10300000</v>
      </c>
      <c r="Z66" s="411" t="s">
        <v>269</v>
      </c>
      <c r="AA66" s="411" t="s">
        <v>270</v>
      </c>
      <c r="AB66" s="411" t="s">
        <v>215</v>
      </c>
      <c r="AC66" s="411" t="s">
        <v>271</v>
      </c>
      <c r="AD66" s="411" t="s">
        <v>56</v>
      </c>
      <c r="AE66" s="411" t="s">
        <v>56</v>
      </c>
      <c r="AF66" s="411" t="s">
        <v>56</v>
      </c>
      <c r="AG66" s="411" t="s">
        <v>227</v>
      </c>
      <c r="AH66" s="169">
        <v>42377</v>
      </c>
      <c r="AI66" s="169">
        <v>42436</v>
      </c>
      <c r="AJ66" s="411" t="s">
        <v>259</v>
      </c>
      <c r="AK66" s="170" t="s">
        <v>219</v>
      </c>
      <c r="AL66" s="1044" t="s">
        <v>56</v>
      </c>
      <c r="AM66" s="1045">
        <v>5150000</v>
      </c>
      <c r="AN66" s="1045">
        <v>5150000</v>
      </c>
      <c r="AO66" s="32"/>
      <c r="AP66" s="32"/>
      <c r="AQ66" s="32"/>
      <c r="AR66" s="32"/>
      <c r="AS66" s="32"/>
      <c r="AT66" s="32"/>
      <c r="AU66" s="32"/>
      <c r="AV66" s="32"/>
      <c r="AW66" s="32"/>
      <c r="AX66" s="32"/>
      <c r="AY66" s="32"/>
      <c r="AZ66" s="32"/>
    </row>
    <row r="67" spans="1:52" s="12" customFormat="1" ht="105" customHeight="1" x14ac:dyDescent="0.2">
      <c r="A67" s="832">
        <v>48</v>
      </c>
      <c r="B67" s="833" t="s">
        <v>1000</v>
      </c>
      <c r="C67" s="833">
        <v>80101706</v>
      </c>
      <c r="D67" s="831" t="s">
        <v>145</v>
      </c>
      <c r="E67" s="833" t="s">
        <v>125</v>
      </c>
      <c r="F67" s="833">
        <v>1</v>
      </c>
      <c r="G67" s="834" t="s">
        <v>159</v>
      </c>
      <c r="H67" s="485">
        <v>2</v>
      </c>
      <c r="I67" s="836" t="s">
        <v>96</v>
      </c>
      <c r="J67" s="836" t="s">
        <v>127</v>
      </c>
      <c r="K67" s="833" t="s">
        <v>108</v>
      </c>
      <c r="L67" s="68">
        <v>6180000</v>
      </c>
      <c r="M67" s="69">
        <v>6180000</v>
      </c>
      <c r="N67" s="833" t="s">
        <v>81</v>
      </c>
      <c r="O67" s="833" t="s">
        <v>56</v>
      </c>
      <c r="P67" s="25" t="s">
        <v>126</v>
      </c>
      <c r="Q67" s="981"/>
      <c r="R67" s="172" t="s">
        <v>272</v>
      </c>
      <c r="S67" s="982" t="s">
        <v>883</v>
      </c>
      <c r="T67" s="166">
        <v>42377</v>
      </c>
      <c r="U67" s="831" t="s">
        <v>145</v>
      </c>
      <c r="V67" s="411" t="s">
        <v>212</v>
      </c>
      <c r="W67" s="134">
        <v>6180000</v>
      </c>
      <c r="X67" s="134"/>
      <c r="Y67" s="134">
        <f t="shared" si="0"/>
        <v>6180000</v>
      </c>
      <c r="Z67" s="411" t="s">
        <v>273</v>
      </c>
      <c r="AA67" s="181" t="s">
        <v>274</v>
      </c>
      <c r="AB67" s="411" t="s">
        <v>225</v>
      </c>
      <c r="AC67" s="411" t="s">
        <v>275</v>
      </c>
      <c r="AD67" s="411" t="s">
        <v>56</v>
      </c>
      <c r="AE67" s="411" t="s">
        <v>56</v>
      </c>
      <c r="AF67" s="411" t="s">
        <v>56</v>
      </c>
      <c r="AG67" s="411" t="s">
        <v>227</v>
      </c>
      <c r="AH67" s="169">
        <v>42377</v>
      </c>
      <c r="AI67" s="169">
        <v>42436</v>
      </c>
      <c r="AJ67" s="411" t="s">
        <v>259</v>
      </c>
      <c r="AK67" s="170" t="s">
        <v>219</v>
      </c>
      <c r="AL67" s="1044" t="s">
        <v>56</v>
      </c>
      <c r="AM67" s="1045">
        <v>2163000</v>
      </c>
      <c r="AN67" s="1045" t="s">
        <v>884</v>
      </c>
      <c r="AO67" s="32"/>
      <c r="AP67" s="32"/>
      <c r="AQ67" s="32"/>
      <c r="AR67" s="32"/>
      <c r="AS67" s="32"/>
      <c r="AT67" s="32"/>
      <c r="AU67" s="32"/>
      <c r="AV67" s="32"/>
      <c r="AW67" s="32"/>
      <c r="AX67" s="32"/>
      <c r="AY67" s="32"/>
      <c r="AZ67" s="16"/>
    </row>
    <row r="68" spans="1:52" s="12" customFormat="1" ht="90" customHeight="1" x14ac:dyDescent="0.2">
      <c r="A68" s="832">
        <v>49</v>
      </c>
      <c r="B68" s="833" t="s">
        <v>1000</v>
      </c>
      <c r="C68" s="833">
        <v>80101706</v>
      </c>
      <c r="D68" s="831" t="s">
        <v>132</v>
      </c>
      <c r="E68" s="833" t="s">
        <v>125</v>
      </c>
      <c r="F68" s="833">
        <v>1</v>
      </c>
      <c r="G68" s="834" t="s">
        <v>159</v>
      </c>
      <c r="H68" s="485">
        <v>2</v>
      </c>
      <c r="I68" s="836" t="s">
        <v>96</v>
      </c>
      <c r="J68" s="836" t="s">
        <v>127</v>
      </c>
      <c r="K68" s="833" t="s">
        <v>108</v>
      </c>
      <c r="L68" s="68">
        <v>6180000</v>
      </c>
      <c r="M68" s="69">
        <v>6180000</v>
      </c>
      <c r="N68" s="833" t="s">
        <v>81</v>
      </c>
      <c r="O68" s="833" t="s">
        <v>56</v>
      </c>
      <c r="P68" s="25" t="s">
        <v>126</v>
      </c>
      <c r="Q68" s="981"/>
      <c r="R68" s="172" t="s">
        <v>276</v>
      </c>
      <c r="S68" s="982" t="s">
        <v>277</v>
      </c>
      <c r="T68" s="166">
        <v>42377</v>
      </c>
      <c r="U68" s="831" t="s">
        <v>132</v>
      </c>
      <c r="V68" s="411" t="s">
        <v>212</v>
      </c>
      <c r="W68" s="134">
        <v>6180000</v>
      </c>
      <c r="X68" s="134"/>
      <c r="Y68" s="134">
        <f t="shared" si="0"/>
        <v>6180000</v>
      </c>
      <c r="Z68" s="411" t="s">
        <v>273</v>
      </c>
      <c r="AA68" s="411" t="s">
        <v>278</v>
      </c>
      <c r="AB68" s="411" t="s">
        <v>225</v>
      </c>
      <c r="AC68" s="411" t="s">
        <v>279</v>
      </c>
      <c r="AD68" s="411" t="s">
        <v>56</v>
      </c>
      <c r="AE68" s="411" t="s">
        <v>56</v>
      </c>
      <c r="AF68" s="411" t="s">
        <v>56</v>
      </c>
      <c r="AG68" s="411" t="s">
        <v>227</v>
      </c>
      <c r="AH68" s="169">
        <v>42377</v>
      </c>
      <c r="AI68" s="169">
        <v>42436</v>
      </c>
      <c r="AJ68" s="411" t="s">
        <v>259</v>
      </c>
      <c r="AK68" s="170" t="s">
        <v>219</v>
      </c>
      <c r="AL68" s="1044" t="s">
        <v>56</v>
      </c>
      <c r="AM68" s="1045">
        <v>3090000</v>
      </c>
      <c r="AN68" s="1045">
        <v>3090000</v>
      </c>
      <c r="AO68" s="32"/>
      <c r="AP68" s="32"/>
      <c r="AQ68" s="32"/>
      <c r="AR68" s="32"/>
      <c r="AS68" s="32"/>
      <c r="AT68" s="32"/>
      <c r="AU68" s="32"/>
      <c r="AV68" s="32"/>
      <c r="AW68" s="32"/>
      <c r="AX68" s="32"/>
      <c r="AY68" s="32"/>
      <c r="AZ68" s="32"/>
    </row>
    <row r="69" spans="1:52" s="12" customFormat="1" ht="165.75" customHeight="1" x14ac:dyDescent="0.2">
      <c r="A69" s="832">
        <v>50</v>
      </c>
      <c r="B69" s="833" t="s">
        <v>1000</v>
      </c>
      <c r="C69" s="833">
        <v>80101706</v>
      </c>
      <c r="D69" s="164" t="s">
        <v>186</v>
      </c>
      <c r="E69" s="833" t="s">
        <v>125</v>
      </c>
      <c r="F69" s="833">
        <v>1</v>
      </c>
      <c r="G69" s="834" t="s">
        <v>159</v>
      </c>
      <c r="H69" s="485">
        <v>2</v>
      </c>
      <c r="I69" s="836" t="s">
        <v>96</v>
      </c>
      <c r="J69" s="836" t="s">
        <v>127</v>
      </c>
      <c r="K69" s="833" t="s">
        <v>108</v>
      </c>
      <c r="L69" s="68">
        <v>8600000</v>
      </c>
      <c r="M69" s="69">
        <v>8600000</v>
      </c>
      <c r="N69" s="833" t="s">
        <v>81</v>
      </c>
      <c r="O69" s="833" t="s">
        <v>56</v>
      </c>
      <c r="P69" s="25" t="s">
        <v>126</v>
      </c>
      <c r="Q69" s="981"/>
      <c r="R69" s="172" t="s">
        <v>280</v>
      </c>
      <c r="S69" s="172" t="s">
        <v>605</v>
      </c>
      <c r="T69" s="28">
        <v>42395</v>
      </c>
      <c r="U69" s="29" t="s">
        <v>606</v>
      </c>
      <c r="V69" s="181" t="s">
        <v>212</v>
      </c>
      <c r="W69" s="30">
        <v>8600000</v>
      </c>
      <c r="X69" s="30"/>
      <c r="Y69" s="134">
        <f t="shared" si="0"/>
        <v>8600000</v>
      </c>
      <c r="Z69" s="181" t="s">
        <v>607</v>
      </c>
      <c r="AA69" s="181" t="s">
        <v>608</v>
      </c>
      <c r="AB69" s="181" t="s">
        <v>225</v>
      </c>
      <c r="AC69" s="181" t="s">
        <v>609</v>
      </c>
      <c r="AD69" s="181" t="s">
        <v>56</v>
      </c>
      <c r="AE69" s="181" t="s">
        <v>56</v>
      </c>
      <c r="AF69" s="181" t="s">
        <v>56</v>
      </c>
      <c r="AG69" s="181" t="s">
        <v>217</v>
      </c>
      <c r="AH69" s="1014">
        <v>42395</v>
      </c>
      <c r="AI69" s="1014">
        <v>42454</v>
      </c>
      <c r="AJ69" s="181" t="s">
        <v>610</v>
      </c>
      <c r="AK69" s="1017" t="s">
        <v>219</v>
      </c>
      <c r="AL69" s="1044" t="s">
        <v>56</v>
      </c>
      <c r="AM69" s="983">
        <v>4300000</v>
      </c>
      <c r="AN69" s="983">
        <v>4300000</v>
      </c>
      <c r="AO69" s="70">
        <f>SUBTOTAL(9,AM69:AN69)</f>
        <v>8600000</v>
      </c>
      <c r="AP69" s="32"/>
      <c r="AQ69" s="32"/>
      <c r="AR69" s="32"/>
      <c r="AS69" s="32"/>
      <c r="AT69" s="32"/>
      <c r="AU69" s="32"/>
      <c r="AV69" s="32"/>
      <c r="AW69" s="32"/>
      <c r="AX69" s="32"/>
      <c r="AY69" s="32"/>
      <c r="AZ69" s="32"/>
    </row>
    <row r="70" spans="1:52" s="12" customFormat="1" ht="160.5" customHeight="1" x14ac:dyDescent="0.2">
      <c r="A70" s="832">
        <v>51</v>
      </c>
      <c r="B70" s="833" t="s">
        <v>987</v>
      </c>
      <c r="C70" s="833">
        <v>80101706</v>
      </c>
      <c r="D70" s="164" t="s">
        <v>146</v>
      </c>
      <c r="E70" s="833" t="s">
        <v>125</v>
      </c>
      <c r="F70" s="833">
        <v>1</v>
      </c>
      <c r="G70" s="834" t="s">
        <v>159</v>
      </c>
      <c r="H70" s="485">
        <v>2</v>
      </c>
      <c r="I70" s="836" t="s">
        <v>96</v>
      </c>
      <c r="J70" s="836" t="s">
        <v>127</v>
      </c>
      <c r="K70" s="833" t="s">
        <v>108</v>
      </c>
      <c r="L70" s="68">
        <v>11000000</v>
      </c>
      <c r="M70" s="69">
        <v>11000000</v>
      </c>
      <c r="N70" s="833" t="s">
        <v>81</v>
      </c>
      <c r="O70" s="833" t="s">
        <v>56</v>
      </c>
      <c r="P70" s="25" t="s">
        <v>126</v>
      </c>
      <c r="Q70" s="981"/>
      <c r="R70" s="172" t="s">
        <v>281</v>
      </c>
      <c r="S70" s="982" t="s">
        <v>282</v>
      </c>
      <c r="T70" s="166">
        <v>42377</v>
      </c>
      <c r="U70" s="831" t="s">
        <v>283</v>
      </c>
      <c r="V70" s="411" t="s">
        <v>212</v>
      </c>
      <c r="W70" s="134">
        <v>11000000</v>
      </c>
      <c r="X70" s="134"/>
      <c r="Y70" s="134">
        <f t="shared" si="0"/>
        <v>11000000</v>
      </c>
      <c r="Z70" s="411" t="s">
        <v>284</v>
      </c>
      <c r="AA70" s="411" t="s">
        <v>285</v>
      </c>
      <c r="AB70" s="411" t="s">
        <v>225</v>
      </c>
      <c r="AC70" s="411" t="s">
        <v>286</v>
      </c>
      <c r="AD70" s="411" t="s">
        <v>56</v>
      </c>
      <c r="AE70" s="411" t="s">
        <v>56</v>
      </c>
      <c r="AF70" s="411" t="s">
        <v>56</v>
      </c>
      <c r="AG70" s="411" t="s">
        <v>227</v>
      </c>
      <c r="AH70" s="169">
        <v>42377</v>
      </c>
      <c r="AI70" s="169">
        <v>42436</v>
      </c>
      <c r="AJ70" s="411" t="s">
        <v>248</v>
      </c>
      <c r="AK70" s="170" t="s">
        <v>241</v>
      </c>
      <c r="AL70" s="87" t="s">
        <v>56</v>
      </c>
      <c r="AM70" s="1045">
        <v>5500000</v>
      </c>
      <c r="AN70" s="1045">
        <v>5500000</v>
      </c>
      <c r="AO70" s="32"/>
      <c r="AP70" s="32"/>
      <c r="AQ70" s="32"/>
      <c r="AR70" s="32"/>
      <c r="AS70" s="32"/>
      <c r="AT70" s="32"/>
      <c r="AU70" s="32"/>
      <c r="AV70" s="32"/>
      <c r="AW70" s="32"/>
      <c r="AX70" s="32"/>
      <c r="AY70" s="32"/>
      <c r="AZ70" s="32"/>
    </row>
    <row r="71" spans="1:52" s="12" customFormat="1" ht="171.75" customHeight="1" x14ac:dyDescent="0.25">
      <c r="A71" s="832">
        <v>52</v>
      </c>
      <c r="B71" s="833" t="s">
        <v>990</v>
      </c>
      <c r="C71" s="833">
        <v>80101706</v>
      </c>
      <c r="D71" s="164" t="s">
        <v>113</v>
      </c>
      <c r="E71" s="833" t="s">
        <v>125</v>
      </c>
      <c r="F71" s="833">
        <v>1</v>
      </c>
      <c r="G71" s="834" t="s">
        <v>159</v>
      </c>
      <c r="H71" s="485">
        <v>2</v>
      </c>
      <c r="I71" s="836" t="s">
        <v>96</v>
      </c>
      <c r="J71" s="836" t="s">
        <v>127</v>
      </c>
      <c r="K71" s="833" t="s">
        <v>108</v>
      </c>
      <c r="L71" s="56">
        <v>6000000</v>
      </c>
      <c r="M71" s="57">
        <v>6000000</v>
      </c>
      <c r="N71" s="833" t="s">
        <v>81</v>
      </c>
      <c r="O71" s="833" t="s">
        <v>56</v>
      </c>
      <c r="P71" s="25" t="s">
        <v>126</v>
      </c>
      <c r="Q71" s="1073"/>
      <c r="R71" s="172" t="s">
        <v>287</v>
      </c>
      <c r="S71" s="982" t="s">
        <v>288</v>
      </c>
      <c r="T71" s="166">
        <v>42384</v>
      </c>
      <c r="U71" s="831" t="s">
        <v>289</v>
      </c>
      <c r="V71" s="411" t="s">
        <v>212</v>
      </c>
      <c r="W71" s="134">
        <v>6000000</v>
      </c>
      <c r="X71" s="134"/>
      <c r="Y71" s="134">
        <f t="shared" si="0"/>
        <v>6000000</v>
      </c>
      <c r="Z71" s="411" t="s">
        <v>290</v>
      </c>
      <c r="AA71" s="411" t="s">
        <v>291</v>
      </c>
      <c r="AB71" s="411" t="s">
        <v>225</v>
      </c>
      <c r="AC71" s="411" t="s">
        <v>292</v>
      </c>
      <c r="AD71" s="411" t="s">
        <v>56</v>
      </c>
      <c r="AE71" s="411" t="s">
        <v>56</v>
      </c>
      <c r="AF71" s="411" t="s">
        <v>56</v>
      </c>
      <c r="AG71" s="411" t="s">
        <v>227</v>
      </c>
      <c r="AH71" s="169">
        <v>42384</v>
      </c>
      <c r="AI71" s="169">
        <v>42443</v>
      </c>
      <c r="AJ71" s="411" t="s">
        <v>218</v>
      </c>
      <c r="AK71" s="170" t="s">
        <v>219</v>
      </c>
      <c r="AL71" s="1044" t="s">
        <v>56</v>
      </c>
      <c r="AM71" s="1045">
        <v>3000000</v>
      </c>
      <c r="AN71" s="1045">
        <v>3000000</v>
      </c>
      <c r="AO71" s="32"/>
      <c r="AP71" s="32"/>
      <c r="AQ71" s="32"/>
      <c r="AR71" s="32"/>
      <c r="AS71" s="32"/>
      <c r="AT71" s="32"/>
      <c r="AU71" s="32"/>
      <c r="AV71" s="32"/>
      <c r="AW71" s="32"/>
      <c r="AX71" s="32"/>
      <c r="AY71" s="32"/>
      <c r="AZ71" s="32"/>
    </row>
    <row r="72" spans="1:52" s="12" customFormat="1" ht="90" customHeight="1" x14ac:dyDescent="0.2">
      <c r="A72" s="832">
        <v>53</v>
      </c>
      <c r="B72" s="833" t="s">
        <v>987</v>
      </c>
      <c r="C72" s="833">
        <v>80101706</v>
      </c>
      <c r="D72" s="164" t="s">
        <v>555</v>
      </c>
      <c r="E72" s="833" t="s">
        <v>125</v>
      </c>
      <c r="F72" s="833">
        <v>1</v>
      </c>
      <c r="G72" s="412" t="s">
        <v>159</v>
      </c>
      <c r="H72" s="485">
        <v>2</v>
      </c>
      <c r="I72" s="836" t="s">
        <v>96</v>
      </c>
      <c r="J72" s="836" t="s">
        <v>127</v>
      </c>
      <c r="K72" s="833" t="s">
        <v>108</v>
      </c>
      <c r="L72" s="69">
        <v>3400000</v>
      </c>
      <c r="M72" s="69">
        <v>3400000</v>
      </c>
      <c r="N72" s="833" t="s">
        <v>81</v>
      </c>
      <c r="O72" s="833" t="s">
        <v>56</v>
      </c>
      <c r="P72" s="25" t="s">
        <v>126</v>
      </c>
      <c r="Q72" s="981"/>
      <c r="R72" s="172" t="s">
        <v>293</v>
      </c>
      <c r="S72" s="982" t="s">
        <v>294</v>
      </c>
      <c r="T72" s="166">
        <v>42384</v>
      </c>
      <c r="U72" s="831" t="s">
        <v>295</v>
      </c>
      <c r="V72" s="411" t="s">
        <v>296</v>
      </c>
      <c r="W72" s="134">
        <v>3400000</v>
      </c>
      <c r="X72" s="134"/>
      <c r="Y72" s="134">
        <f t="shared" si="0"/>
        <v>3400000</v>
      </c>
      <c r="Z72" s="411" t="s">
        <v>297</v>
      </c>
      <c r="AA72" s="411" t="s">
        <v>298</v>
      </c>
      <c r="AB72" s="411" t="s">
        <v>225</v>
      </c>
      <c r="AC72" s="411" t="s">
        <v>299</v>
      </c>
      <c r="AD72" s="411" t="s">
        <v>56</v>
      </c>
      <c r="AE72" s="411" t="s">
        <v>56</v>
      </c>
      <c r="AF72" s="411" t="s">
        <v>56</v>
      </c>
      <c r="AG72" s="411" t="s">
        <v>227</v>
      </c>
      <c r="AH72" s="169">
        <v>42384</v>
      </c>
      <c r="AI72" s="169">
        <v>42443</v>
      </c>
      <c r="AJ72" s="411" t="s">
        <v>248</v>
      </c>
      <c r="AK72" s="170" t="s">
        <v>241</v>
      </c>
      <c r="AL72" s="1044" t="s">
        <v>56</v>
      </c>
      <c r="AM72" s="1045">
        <v>1700000</v>
      </c>
      <c r="AN72" s="1045">
        <v>1700000</v>
      </c>
      <c r="AO72" s="32"/>
      <c r="AP72" s="32"/>
      <c r="AQ72" s="32"/>
      <c r="AR72" s="32"/>
      <c r="AS72" s="32"/>
      <c r="AT72" s="32"/>
      <c r="AU72" s="32"/>
      <c r="AV72" s="32"/>
      <c r="AW72" s="32"/>
      <c r="AX72" s="32"/>
      <c r="AY72" s="32"/>
      <c r="AZ72" s="16"/>
    </row>
    <row r="73" spans="1:52" s="12" customFormat="1" ht="135" customHeight="1" x14ac:dyDescent="0.2">
      <c r="A73" s="832">
        <v>54</v>
      </c>
      <c r="B73" s="833" t="s">
        <v>1000</v>
      </c>
      <c r="C73" s="833">
        <v>80101706</v>
      </c>
      <c r="D73" s="164" t="s">
        <v>114</v>
      </c>
      <c r="E73" s="833" t="s">
        <v>125</v>
      </c>
      <c r="F73" s="833">
        <v>1</v>
      </c>
      <c r="G73" s="412" t="s">
        <v>159</v>
      </c>
      <c r="H73" s="485">
        <v>2</v>
      </c>
      <c r="I73" s="836" t="s">
        <v>96</v>
      </c>
      <c r="J73" s="836" t="s">
        <v>127</v>
      </c>
      <c r="K73" s="833" t="s">
        <v>108</v>
      </c>
      <c r="L73" s="68">
        <v>12000000</v>
      </c>
      <c r="M73" s="69">
        <v>12000000</v>
      </c>
      <c r="N73" s="833" t="s">
        <v>81</v>
      </c>
      <c r="O73" s="833" t="s">
        <v>56</v>
      </c>
      <c r="P73" s="25" t="s">
        <v>126</v>
      </c>
      <c r="Q73" s="981"/>
      <c r="R73" s="172" t="s">
        <v>300</v>
      </c>
      <c r="S73" s="1074" t="s">
        <v>178</v>
      </c>
      <c r="T73" s="166">
        <v>42388</v>
      </c>
      <c r="U73" s="831" t="s">
        <v>301</v>
      </c>
      <c r="V73" s="411" t="s">
        <v>212</v>
      </c>
      <c r="W73" s="134">
        <v>12000000</v>
      </c>
      <c r="X73" s="134"/>
      <c r="Y73" s="134">
        <f t="shared" si="0"/>
        <v>12000000</v>
      </c>
      <c r="Z73" s="411" t="s">
        <v>302</v>
      </c>
      <c r="AA73" s="411" t="s">
        <v>303</v>
      </c>
      <c r="AB73" s="411" t="s">
        <v>225</v>
      </c>
      <c r="AC73" s="411" t="s">
        <v>304</v>
      </c>
      <c r="AD73" s="411" t="s">
        <v>56</v>
      </c>
      <c r="AE73" s="411" t="s">
        <v>56</v>
      </c>
      <c r="AF73" s="411" t="s">
        <v>56</v>
      </c>
      <c r="AG73" s="411" t="s">
        <v>217</v>
      </c>
      <c r="AH73" s="169">
        <v>42388</v>
      </c>
      <c r="AI73" s="169">
        <v>42447</v>
      </c>
      <c r="AJ73" s="411" t="s">
        <v>218</v>
      </c>
      <c r="AK73" s="170" t="s">
        <v>219</v>
      </c>
      <c r="AL73" s="1044" t="s">
        <v>56</v>
      </c>
      <c r="AM73" s="983">
        <v>6000000</v>
      </c>
      <c r="AN73" s="983">
        <v>6000000</v>
      </c>
      <c r="AO73" s="32"/>
      <c r="AP73" s="32"/>
      <c r="AQ73" s="32"/>
      <c r="AR73" s="32"/>
      <c r="AS73" s="32"/>
      <c r="AT73" s="32"/>
      <c r="AU73" s="32"/>
      <c r="AV73" s="32"/>
      <c r="AW73" s="32"/>
      <c r="AX73" s="32"/>
      <c r="AY73" s="32"/>
      <c r="AZ73" s="16"/>
    </row>
    <row r="74" spans="1:52" s="12" customFormat="1" ht="198" customHeight="1" x14ac:dyDescent="0.2">
      <c r="A74" s="832">
        <v>55</v>
      </c>
      <c r="B74" s="833" t="s">
        <v>987</v>
      </c>
      <c r="C74" s="833">
        <v>80101706</v>
      </c>
      <c r="D74" s="831" t="s">
        <v>307</v>
      </c>
      <c r="E74" s="833" t="s">
        <v>125</v>
      </c>
      <c r="F74" s="833">
        <v>1</v>
      </c>
      <c r="G74" s="412" t="s">
        <v>159</v>
      </c>
      <c r="H74" s="485">
        <v>2</v>
      </c>
      <c r="I74" s="836" t="s">
        <v>96</v>
      </c>
      <c r="J74" s="836" t="s">
        <v>127</v>
      </c>
      <c r="K74" s="833" t="s">
        <v>108</v>
      </c>
      <c r="L74" s="56">
        <v>14000000</v>
      </c>
      <c r="M74" s="57">
        <v>14000000</v>
      </c>
      <c r="N74" s="833" t="s">
        <v>81</v>
      </c>
      <c r="O74" s="833" t="s">
        <v>56</v>
      </c>
      <c r="P74" s="25" t="s">
        <v>126</v>
      </c>
      <c r="Q74" s="981"/>
      <c r="R74" s="172" t="s">
        <v>305</v>
      </c>
      <c r="S74" s="982" t="s">
        <v>306</v>
      </c>
      <c r="T74" s="166">
        <v>42384</v>
      </c>
      <c r="U74" s="831" t="s">
        <v>307</v>
      </c>
      <c r="V74" s="411" t="s">
        <v>212</v>
      </c>
      <c r="W74" s="134">
        <v>14000000</v>
      </c>
      <c r="X74" s="134"/>
      <c r="Y74" s="134">
        <f t="shared" si="0"/>
        <v>14000000</v>
      </c>
      <c r="Z74" s="411" t="s">
        <v>308</v>
      </c>
      <c r="AA74" s="411" t="s">
        <v>309</v>
      </c>
      <c r="AB74" s="411" t="s">
        <v>225</v>
      </c>
      <c r="AC74" s="411" t="s">
        <v>310</v>
      </c>
      <c r="AD74" s="411" t="s">
        <v>56</v>
      </c>
      <c r="AE74" s="411" t="s">
        <v>56</v>
      </c>
      <c r="AF74" s="411" t="s">
        <v>56</v>
      </c>
      <c r="AG74" s="411" t="s">
        <v>227</v>
      </c>
      <c r="AH74" s="169">
        <v>42384</v>
      </c>
      <c r="AI74" s="169">
        <v>42443</v>
      </c>
      <c r="AJ74" s="411" t="s">
        <v>240</v>
      </c>
      <c r="AK74" s="170" t="s">
        <v>241</v>
      </c>
      <c r="AL74" s="1044" t="s">
        <v>56</v>
      </c>
      <c r="AM74" s="1045">
        <v>7000000</v>
      </c>
      <c r="AN74" s="1045">
        <v>7000000</v>
      </c>
      <c r="AO74" s="32"/>
      <c r="AP74" s="32"/>
      <c r="AQ74" s="32"/>
      <c r="AR74" s="32"/>
      <c r="AS74" s="32"/>
      <c r="AT74" s="32"/>
      <c r="AU74" s="32"/>
      <c r="AV74" s="32"/>
      <c r="AW74" s="32"/>
      <c r="AX74" s="32"/>
      <c r="AY74" s="32"/>
      <c r="AZ74" s="16"/>
    </row>
    <row r="75" spans="1:52" s="41" customFormat="1" ht="196.5" customHeight="1" x14ac:dyDescent="0.2">
      <c r="A75" s="832">
        <v>56</v>
      </c>
      <c r="B75" s="833" t="s">
        <v>987</v>
      </c>
      <c r="C75" s="833">
        <v>80101706</v>
      </c>
      <c r="D75" s="164" t="s">
        <v>115</v>
      </c>
      <c r="E75" s="833" t="s">
        <v>125</v>
      </c>
      <c r="F75" s="833">
        <v>1</v>
      </c>
      <c r="G75" s="412" t="s">
        <v>159</v>
      </c>
      <c r="H75" s="485">
        <v>2</v>
      </c>
      <c r="I75" s="836" t="s">
        <v>96</v>
      </c>
      <c r="J75" s="836" t="s">
        <v>127</v>
      </c>
      <c r="K75" s="833" t="s">
        <v>108</v>
      </c>
      <c r="L75" s="68">
        <v>13000000</v>
      </c>
      <c r="M75" s="69">
        <v>13000000</v>
      </c>
      <c r="N75" s="833" t="s">
        <v>81</v>
      </c>
      <c r="O75" s="833" t="s">
        <v>56</v>
      </c>
      <c r="P75" s="25" t="s">
        <v>126</v>
      </c>
      <c r="Q75" s="981"/>
      <c r="R75" s="172" t="s">
        <v>611</v>
      </c>
      <c r="S75" s="172" t="s">
        <v>612</v>
      </c>
      <c r="T75" s="28">
        <v>42398</v>
      </c>
      <c r="U75" s="29" t="s">
        <v>613</v>
      </c>
      <c r="V75" s="181" t="s">
        <v>212</v>
      </c>
      <c r="W75" s="30">
        <v>13000000</v>
      </c>
      <c r="X75" s="30"/>
      <c r="Y75" s="134">
        <f t="shared" si="0"/>
        <v>13000000</v>
      </c>
      <c r="Z75" s="181" t="s">
        <v>614</v>
      </c>
      <c r="AA75" s="181" t="s">
        <v>615</v>
      </c>
      <c r="AB75" s="181" t="s">
        <v>225</v>
      </c>
      <c r="AC75" s="181"/>
      <c r="AD75" s="181" t="s">
        <v>56</v>
      </c>
      <c r="AE75" s="181" t="s">
        <v>56</v>
      </c>
      <c r="AF75" s="181" t="s">
        <v>56</v>
      </c>
      <c r="AG75" s="181" t="s">
        <v>217</v>
      </c>
      <c r="AH75" s="1014">
        <v>42398</v>
      </c>
      <c r="AI75" s="1014">
        <v>42457</v>
      </c>
      <c r="AJ75" s="181" t="s">
        <v>248</v>
      </c>
      <c r="AK75" s="1017" t="s">
        <v>241</v>
      </c>
      <c r="AL75" s="1044" t="s">
        <v>56</v>
      </c>
      <c r="AM75" s="983">
        <v>6500000</v>
      </c>
      <c r="AN75" s="983">
        <v>6500000</v>
      </c>
      <c r="AO75" s="32"/>
      <c r="AP75" s="32"/>
      <c r="AQ75" s="32"/>
      <c r="AR75" s="32"/>
      <c r="AS75" s="32"/>
      <c r="AT75" s="32"/>
      <c r="AU75" s="32"/>
      <c r="AV75" s="32"/>
      <c r="AW75" s="16"/>
      <c r="AX75" s="16"/>
      <c r="AY75" s="16"/>
      <c r="AZ75" s="16"/>
    </row>
    <row r="76" spans="1:52" s="41" customFormat="1" ht="183" customHeight="1" x14ac:dyDescent="0.2">
      <c r="A76" s="832">
        <v>57</v>
      </c>
      <c r="B76" s="833" t="s">
        <v>987</v>
      </c>
      <c r="C76" s="833">
        <v>80101706</v>
      </c>
      <c r="D76" s="164" t="s">
        <v>116</v>
      </c>
      <c r="E76" s="833" t="s">
        <v>125</v>
      </c>
      <c r="F76" s="833">
        <v>1</v>
      </c>
      <c r="G76" s="412" t="s">
        <v>159</v>
      </c>
      <c r="H76" s="485">
        <v>2</v>
      </c>
      <c r="I76" s="836" t="s">
        <v>96</v>
      </c>
      <c r="J76" s="836" t="s">
        <v>127</v>
      </c>
      <c r="K76" s="833" t="s">
        <v>108</v>
      </c>
      <c r="L76" s="68">
        <v>6000000</v>
      </c>
      <c r="M76" s="69">
        <v>6000000</v>
      </c>
      <c r="N76" s="833" t="s">
        <v>81</v>
      </c>
      <c r="O76" s="833" t="s">
        <v>56</v>
      </c>
      <c r="P76" s="25" t="s">
        <v>126</v>
      </c>
      <c r="Q76" s="981"/>
      <c r="R76" s="172" t="s">
        <v>311</v>
      </c>
      <c r="S76" s="982" t="s">
        <v>312</v>
      </c>
      <c r="T76" s="166">
        <v>42384</v>
      </c>
      <c r="U76" s="831" t="s">
        <v>313</v>
      </c>
      <c r="V76" s="411" t="s">
        <v>212</v>
      </c>
      <c r="W76" s="134">
        <v>6000000</v>
      </c>
      <c r="X76" s="134"/>
      <c r="Y76" s="134">
        <f t="shared" si="0"/>
        <v>6000000</v>
      </c>
      <c r="Z76" s="411" t="s">
        <v>314</v>
      </c>
      <c r="AA76" s="411" t="s">
        <v>315</v>
      </c>
      <c r="AB76" s="411" t="s">
        <v>225</v>
      </c>
      <c r="AC76" s="411" t="s">
        <v>316</v>
      </c>
      <c r="AD76" s="411" t="s">
        <v>56</v>
      </c>
      <c r="AE76" s="411" t="s">
        <v>56</v>
      </c>
      <c r="AF76" s="411" t="s">
        <v>56</v>
      </c>
      <c r="AG76" s="411" t="s">
        <v>227</v>
      </c>
      <c r="AH76" s="169">
        <v>42384</v>
      </c>
      <c r="AI76" s="169">
        <v>42443</v>
      </c>
      <c r="AJ76" s="411" t="s">
        <v>248</v>
      </c>
      <c r="AK76" s="170" t="s">
        <v>241</v>
      </c>
      <c r="AL76" s="1044" t="s">
        <v>56</v>
      </c>
      <c r="AM76" s="1045">
        <v>3000000</v>
      </c>
      <c r="AN76" s="1045">
        <v>3000000</v>
      </c>
      <c r="AO76" s="32"/>
      <c r="AP76" s="32"/>
      <c r="AQ76" s="32"/>
      <c r="AR76" s="32"/>
      <c r="AS76" s="32"/>
      <c r="AT76" s="32"/>
      <c r="AU76" s="32"/>
      <c r="AV76" s="32"/>
      <c r="AW76" s="32"/>
      <c r="AX76" s="32"/>
      <c r="AY76" s="32"/>
      <c r="AZ76" s="32"/>
    </row>
    <row r="77" spans="1:52" s="12" customFormat="1" ht="175.5" customHeight="1" x14ac:dyDescent="0.25">
      <c r="A77" s="832">
        <v>58</v>
      </c>
      <c r="B77" s="833" t="s">
        <v>987</v>
      </c>
      <c r="C77" s="833">
        <v>80101706</v>
      </c>
      <c r="D77" s="164" t="s">
        <v>117</v>
      </c>
      <c r="E77" s="833" t="s">
        <v>125</v>
      </c>
      <c r="F77" s="833">
        <v>1</v>
      </c>
      <c r="G77" s="412" t="s">
        <v>159</v>
      </c>
      <c r="H77" s="485">
        <v>2</v>
      </c>
      <c r="I77" s="836" t="s">
        <v>96</v>
      </c>
      <c r="J77" s="836" t="s">
        <v>127</v>
      </c>
      <c r="K77" s="833" t="s">
        <v>108</v>
      </c>
      <c r="L77" s="68">
        <v>12400000</v>
      </c>
      <c r="M77" s="69">
        <v>12400000</v>
      </c>
      <c r="N77" s="833" t="s">
        <v>81</v>
      </c>
      <c r="O77" s="833" t="s">
        <v>56</v>
      </c>
      <c r="P77" s="25" t="s">
        <v>126</v>
      </c>
      <c r="Q77" s="1075"/>
      <c r="R77" s="172" t="s">
        <v>391</v>
      </c>
      <c r="S77" s="982" t="s">
        <v>392</v>
      </c>
      <c r="T77" s="166">
        <v>42394</v>
      </c>
      <c r="U77" s="831" t="s">
        <v>393</v>
      </c>
      <c r="V77" s="411" t="s">
        <v>212</v>
      </c>
      <c r="W77" s="134">
        <v>12400000</v>
      </c>
      <c r="X77" s="134"/>
      <c r="Y77" s="134">
        <f t="shared" si="0"/>
        <v>12400000</v>
      </c>
      <c r="Z77" s="411" t="s">
        <v>394</v>
      </c>
      <c r="AA77" s="411" t="s">
        <v>395</v>
      </c>
      <c r="AB77" s="411" t="s">
        <v>225</v>
      </c>
      <c r="AC77" s="411" t="s">
        <v>396</v>
      </c>
      <c r="AD77" s="411" t="s">
        <v>56</v>
      </c>
      <c r="AE77" s="411" t="s">
        <v>56</v>
      </c>
      <c r="AF77" s="411" t="s">
        <v>56</v>
      </c>
      <c r="AG77" s="411" t="s">
        <v>217</v>
      </c>
      <c r="AH77" s="169">
        <v>42394</v>
      </c>
      <c r="AI77" s="169">
        <v>42453</v>
      </c>
      <c r="AJ77" s="411" t="s">
        <v>248</v>
      </c>
      <c r="AK77" s="170" t="s">
        <v>241</v>
      </c>
      <c r="AL77" s="1044" t="s">
        <v>56</v>
      </c>
      <c r="AM77" s="983">
        <v>6200000</v>
      </c>
      <c r="AN77" s="983">
        <v>6200000</v>
      </c>
      <c r="AO77" s="70">
        <f>SUBTOTAL(9,AM77:AN77)</f>
        <v>12400000</v>
      </c>
      <c r="AP77" s="1044" t="s">
        <v>56</v>
      </c>
      <c r="AQ77" s="1044" t="s">
        <v>56</v>
      </c>
      <c r="AR77" s="1044" t="s">
        <v>56</v>
      </c>
      <c r="AS77" s="1044" t="s">
        <v>56</v>
      </c>
      <c r="AT77" s="1044" t="s">
        <v>56</v>
      </c>
      <c r="AU77" s="1044" t="s">
        <v>56</v>
      </c>
      <c r="AV77" s="1044" t="s">
        <v>56</v>
      </c>
      <c r="AW77" s="1044" t="s">
        <v>56</v>
      </c>
      <c r="AX77" s="1044" t="s">
        <v>56</v>
      </c>
      <c r="AY77" s="1044" t="s">
        <v>56</v>
      </c>
      <c r="AZ77" s="1044" t="s">
        <v>56</v>
      </c>
    </row>
    <row r="78" spans="1:52" s="12" customFormat="1" ht="135" customHeight="1" x14ac:dyDescent="0.2">
      <c r="A78" s="832">
        <v>59</v>
      </c>
      <c r="B78" s="833" t="s">
        <v>984</v>
      </c>
      <c r="C78" s="833">
        <v>80101706</v>
      </c>
      <c r="D78" s="164" t="s">
        <v>118</v>
      </c>
      <c r="E78" s="833" t="s">
        <v>125</v>
      </c>
      <c r="F78" s="833">
        <v>1</v>
      </c>
      <c r="G78" s="834" t="s">
        <v>166</v>
      </c>
      <c r="H78" s="485">
        <v>2</v>
      </c>
      <c r="I78" s="836" t="s">
        <v>96</v>
      </c>
      <c r="J78" s="836" t="s">
        <v>128</v>
      </c>
      <c r="K78" s="833" t="s">
        <v>108</v>
      </c>
      <c r="L78" s="68">
        <v>6600000</v>
      </c>
      <c r="M78" s="69">
        <v>6600000</v>
      </c>
      <c r="N78" s="833" t="s">
        <v>81</v>
      </c>
      <c r="O78" s="833" t="s">
        <v>56</v>
      </c>
      <c r="P78" s="25" t="s">
        <v>126</v>
      </c>
      <c r="Q78" s="1076"/>
      <c r="R78" s="172" t="s">
        <v>737</v>
      </c>
      <c r="S78" s="172" t="s">
        <v>738</v>
      </c>
      <c r="T78" s="28">
        <v>42426</v>
      </c>
      <c r="U78" s="1012" t="s">
        <v>739</v>
      </c>
      <c r="V78" s="181" t="s">
        <v>212</v>
      </c>
      <c r="W78" s="30">
        <v>6600000</v>
      </c>
      <c r="X78" s="30"/>
      <c r="Y78" s="134">
        <f t="shared" si="0"/>
        <v>6600000</v>
      </c>
      <c r="Z78" s="181" t="s">
        <v>740</v>
      </c>
      <c r="AA78" s="181" t="s">
        <v>741</v>
      </c>
      <c r="AB78" s="181" t="s">
        <v>215</v>
      </c>
      <c r="AC78" s="181" t="s">
        <v>742</v>
      </c>
      <c r="AD78" s="181" t="s">
        <v>56</v>
      </c>
      <c r="AE78" s="181" t="s">
        <v>56</v>
      </c>
      <c r="AF78" s="181" t="s">
        <v>56</v>
      </c>
      <c r="AG78" s="1016" t="s">
        <v>227</v>
      </c>
      <c r="AH78" s="1014">
        <v>42426</v>
      </c>
      <c r="AI78" s="1014">
        <v>42485</v>
      </c>
      <c r="AJ78" s="181" t="s">
        <v>743</v>
      </c>
      <c r="AK78" s="1017" t="s">
        <v>744</v>
      </c>
      <c r="AL78" s="87" t="s">
        <v>56</v>
      </c>
      <c r="AM78" s="87" t="s">
        <v>56</v>
      </c>
      <c r="AN78" s="87" t="s">
        <v>56</v>
      </c>
      <c r="AO78" s="87" t="s">
        <v>56</v>
      </c>
      <c r="AP78" s="32">
        <v>3300000</v>
      </c>
      <c r="AQ78" s="32">
        <v>3300000</v>
      </c>
      <c r="AR78" s="87" t="s">
        <v>56</v>
      </c>
      <c r="AS78" s="70">
        <f>SUBTOTAL(9,AP78:AR78)</f>
        <v>6600000</v>
      </c>
      <c r="AT78" s="87" t="s">
        <v>56</v>
      </c>
      <c r="AU78" s="87" t="s">
        <v>56</v>
      </c>
      <c r="AV78" s="87" t="s">
        <v>56</v>
      </c>
      <c r="AW78" s="87" t="s">
        <v>56</v>
      </c>
      <c r="AX78" s="87" t="s">
        <v>56</v>
      </c>
      <c r="AY78" s="87" t="s">
        <v>56</v>
      </c>
      <c r="AZ78" s="87" t="s">
        <v>56</v>
      </c>
    </row>
    <row r="79" spans="1:52" ht="158.25" customHeight="1" x14ac:dyDescent="0.25">
      <c r="A79" s="832">
        <v>60</v>
      </c>
      <c r="B79" s="833" t="s">
        <v>984</v>
      </c>
      <c r="C79" s="833">
        <v>80101706</v>
      </c>
      <c r="D79" s="164" t="s">
        <v>118</v>
      </c>
      <c r="E79" s="833" t="s">
        <v>125</v>
      </c>
      <c r="F79" s="833">
        <v>1</v>
      </c>
      <c r="G79" s="834" t="s">
        <v>166</v>
      </c>
      <c r="H79" s="485">
        <v>2</v>
      </c>
      <c r="I79" s="836" t="s">
        <v>96</v>
      </c>
      <c r="J79" s="836" t="s">
        <v>128</v>
      </c>
      <c r="K79" s="833" t="s">
        <v>108</v>
      </c>
      <c r="L79" s="68">
        <v>6600000</v>
      </c>
      <c r="M79" s="69">
        <v>6600000</v>
      </c>
      <c r="N79" s="833" t="s">
        <v>81</v>
      </c>
      <c r="O79" s="833" t="s">
        <v>56</v>
      </c>
      <c r="P79" s="25" t="s">
        <v>126</v>
      </c>
      <c r="Q79" s="981"/>
      <c r="R79" s="172" t="s">
        <v>821</v>
      </c>
      <c r="S79" s="172" t="s">
        <v>822</v>
      </c>
      <c r="T79" s="28">
        <v>42431</v>
      </c>
      <c r="U79" s="1012" t="s">
        <v>739</v>
      </c>
      <c r="V79" s="181" t="s">
        <v>212</v>
      </c>
      <c r="W79" s="30">
        <v>6600000</v>
      </c>
      <c r="X79" s="30"/>
      <c r="Y79" s="134">
        <f t="shared" si="0"/>
        <v>6600000</v>
      </c>
      <c r="Z79" s="181" t="s">
        <v>823</v>
      </c>
      <c r="AA79" s="181" t="s">
        <v>824</v>
      </c>
      <c r="AB79" s="181" t="s">
        <v>215</v>
      </c>
      <c r="AC79" s="181" t="s">
        <v>825</v>
      </c>
      <c r="AD79" s="181" t="s">
        <v>56</v>
      </c>
      <c r="AE79" s="181" t="s">
        <v>56</v>
      </c>
      <c r="AF79" s="181" t="s">
        <v>56</v>
      </c>
      <c r="AG79" s="1016" t="s">
        <v>227</v>
      </c>
      <c r="AH79" s="1014">
        <v>42431</v>
      </c>
      <c r="AI79" s="1014">
        <v>42491</v>
      </c>
      <c r="AJ79" s="181" t="s">
        <v>743</v>
      </c>
      <c r="AK79" s="1017" t="s">
        <v>744</v>
      </c>
      <c r="AL79" s="1077" t="s">
        <v>56</v>
      </c>
      <c r="AM79" s="1077" t="s">
        <v>56</v>
      </c>
      <c r="AN79" s="1077" t="s">
        <v>56</v>
      </c>
      <c r="AO79" s="1077" t="s">
        <v>56</v>
      </c>
      <c r="AP79" s="1078">
        <v>3300000</v>
      </c>
      <c r="AQ79" s="1078">
        <v>3300000</v>
      </c>
      <c r="AR79" s="1077" t="s">
        <v>56</v>
      </c>
      <c r="AS79" s="1079">
        <f>SUBTOTAL(9,AP79:AR79)</f>
        <v>6600000</v>
      </c>
      <c r="AT79" s="1077" t="s">
        <v>56</v>
      </c>
      <c r="AU79" s="1077" t="s">
        <v>56</v>
      </c>
      <c r="AV79" s="1077" t="s">
        <v>56</v>
      </c>
      <c r="AW79" s="1077" t="s">
        <v>56</v>
      </c>
      <c r="AX79" s="1077" t="s">
        <v>56</v>
      </c>
      <c r="AY79" s="1077" t="s">
        <v>56</v>
      </c>
      <c r="AZ79" s="1077" t="s">
        <v>56</v>
      </c>
    </row>
    <row r="80" spans="1:52" s="12" customFormat="1" ht="135.75" customHeight="1" x14ac:dyDescent="0.2">
      <c r="A80" s="832">
        <v>61</v>
      </c>
      <c r="B80" s="833" t="s">
        <v>1000</v>
      </c>
      <c r="C80" s="833">
        <v>80101706</v>
      </c>
      <c r="D80" s="164" t="s">
        <v>119</v>
      </c>
      <c r="E80" s="833" t="s">
        <v>125</v>
      </c>
      <c r="F80" s="833">
        <v>1</v>
      </c>
      <c r="G80" s="412" t="s">
        <v>159</v>
      </c>
      <c r="H80" s="485">
        <v>2</v>
      </c>
      <c r="I80" s="836" t="s">
        <v>96</v>
      </c>
      <c r="J80" s="836" t="s">
        <v>127</v>
      </c>
      <c r="K80" s="833" t="s">
        <v>108</v>
      </c>
      <c r="L80" s="68">
        <v>9000000</v>
      </c>
      <c r="M80" s="69">
        <v>9000000</v>
      </c>
      <c r="N80" s="833" t="s">
        <v>81</v>
      </c>
      <c r="O80" s="833" t="s">
        <v>56</v>
      </c>
      <c r="P80" s="25" t="s">
        <v>126</v>
      </c>
      <c r="Q80" s="981"/>
      <c r="R80" s="172" t="s">
        <v>317</v>
      </c>
      <c r="S80" s="982" t="s">
        <v>318</v>
      </c>
      <c r="T80" s="166">
        <v>42388</v>
      </c>
      <c r="U80" s="831" t="s">
        <v>319</v>
      </c>
      <c r="V80" s="411" t="s">
        <v>212</v>
      </c>
      <c r="W80" s="134">
        <v>9000000</v>
      </c>
      <c r="X80" s="134"/>
      <c r="Y80" s="134">
        <f t="shared" si="0"/>
        <v>9000000</v>
      </c>
      <c r="Z80" s="411" t="s">
        <v>320</v>
      </c>
      <c r="AA80" s="411" t="s">
        <v>321</v>
      </c>
      <c r="AB80" s="411" t="s">
        <v>225</v>
      </c>
      <c r="AC80" s="411" t="s">
        <v>322</v>
      </c>
      <c r="AD80" s="411" t="s">
        <v>56</v>
      </c>
      <c r="AE80" s="411" t="s">
        <v>56</v>
      </c>
      <c r="AF80" s="411" t="s">
        <v>56</v>
      </c>
      <c r="AG80" s="411" t="s">
        <v>217</v>
      </c>
      <c r="AH80" s="169">
        <v>42388</v>
      </c>
      <c r="AI80" s="169">
        <v>42446</v>
      </c>
      <c r="AJ80" s="411" t="s">
        <v>218</v>
      </c>
      <c r="AK80" s="170" t="s">
        <v>219</v>
      </c>
      <c r="AL80" s="1044" t="s">
        <v>56</v>
      </c>
      <c r="AM80" s="983">
        <v>4500000</v>
      </c>
      <c r="AN80" s="983">
        <v>4500000</v>
      </c>
      <c r="AO80" s="32"/>
      <c r="AP80" s="32"/>
      <c r="AQ80" s="32"/>
      <c r="AR80" s="32"/>
      <c r="AS80" s="32"/>
      <c r="AT80" s="32"/>
      <c r="AU80" s="32"/>
      <c r="AV80" s="32"/>
      <c r="AW80" s="16"/>
      <c r="AX80" s="32"/>
      <c r="AY80" s="32"/>
      <c r="AZ80" s="32"/>
    </row>
    <row r="81" spans="1:52" s="93" customFormat="1" ht="75" customHeight="1" x14ac:dyDescent="0.2">
      <c r="A81" s="938">
        <v>62</v>
      </c>
      <c r="B81" s="944" t="s">
        <v>999</v>
      </c>
      <c r="C81" s="838">
        <v>80101706</v>
      </c>
      <c r="D81" s="1021" t="s">
        <v>147</v>
      </c>
      <c r="E81" s="940" t="s">
        <v>125</v>
      </c>
      <c r="F81" s="944">
        <v>1</v>
      </c>
      <c r="G81" s="963" t="s">
        <v>159</v>
      </c>
      <c r="H81" s="952">
        <v>2</v>
      </c>
      <c r="I81" s="940" t="s">
        <v>96</v>
      </c>
      <c r="J81" s="836" t="s">
        <v>860</v>
      </c>
      <c r="K81" s="838" t="s">
        <v>108</v>
      </c>
      <c r="L81" s="56">
        <v>4000000</v>
      </c>
      <c r="M81" s="57">
        <v>4000000</v>
      </c>
      <c r="N81" s="940" t="s">
        <v>81</v>
      </c>
      <c r="O81" s="940" t="s">
        <v>56</v>
      </c>
      <c r="P81" s="956" t="s">
        <v>126</v>
      </c>
      <c r="Q81" s="1080"/>
      <c r="R81" s="1019" t="s">
        <v>330</v>
      </c>
      <c r="S81" s="1019" t="s">
        <v>331</v>
      </c>
      <c r="T81" s="1081">
        <v>42377</v>
      </c>
      <c r="U81" s="988" t="s">
        <v>325</v>
      </c>
      <c r="V81" s="988" t="s">
        <v>212</v>
      </c>
      <c r="W81" s="134">
        <v>4000000</v>
      </c>
      <c r="X81" s="134"/>
      <c r="Y81" s="134">
        <f t="shared" ref="Y81:Y91" si="1">SUM(W81+X81)</f>
        <v>4000000</v>
      </c>
      <c r="Z81" s="988" t="s">
        <v>213</v>
      </c>
      <c r="AA81" s="988" t="s">
        <v>332</v>
      </c>
      <c r="AB81" s="988" t="s">
        <v>215</v>
      </c>
      <c r="AC81" s="988" t="s">
        <v>333</v>
      </c>
      <c r="AD81" s="988" t="s">
        <v>56</v>
      </c>
      <c r="AE81" s="988" t="s">
        <v>56</v>
      </c>
      <c r="AF81" s="988" t="s">
        <v>56</v>
      </c>
      <c r="AG81" s="988" t="s">
        <v>227</v>
      </c>
      <c r="AH81" s="1034">
        <v>42377</v>
      </c>
      <c r="AI81" s="1034">
        <v>42436</v>
      </c>
      <c r="AJ81" s="988" t="s">
        <v>328</v>
      </c>
      <c r="AK81" s="1036" t="s">
        <v>329</v>
      </c>
      <c r="AL81" s="1082" t="s">
        <v>56</v>
      </c>
      <c r="AM81" s="983">
        <v>4000000</v>
      </c>
      <c r="AN81" s="983" t="s">
        <v>1094</v>
      </c>
      <c r="AO81" s="43"/>
      <c r="AP81" s="43"/>
      <c r="AQ81" s="43"/>
      <c r="AR81" s="43"/>
      <c r="AS81" s="43"/>
      <c r="AT81" s="43"/>
      <c r="AU81" s="43"/>
      <c r="AV81" s="43"/>
      <c r="AW81" s="43"/>
      <c r="AX81" s="43"/>
      <c r="AY81" s="43"/>
      <c r="AZ81" s="43"/>
    </row>
    <row r="82" spans="1:52" s="93" customFormat="1" ht="80.25" customHeight="1" x14ac:dyDescent="0.2">
      <c r="A82" s="939"/>
      <c r="B82" s="945"/>
      <c r="C82" s="839"/>
      <c r="D82" s="959"/>
      <c r="E82" s="941"/>
      <c r="F82" s="945"/>
      <c r="G82" s="964"/>
      <c r="H82" s="953"/>
      <c r="I82" s="941"/>
      <c r="J82" s="836" t="s">
        <v>859</v>
      </c>
      <c r="K82" s="838" t="s">
        <v>108</v>
      </c>
      <c r="L82" s="56">
        <v>4000000</v>
      </c>
      <c r="M82" s="57">
        <v>4000000</v>
      </c>
      <c r="N82" s="941"/>
      <c r="O82" s="941"/>
      <c r="P82" s="957"/>
      <c r="Q82" s="1080"/>
      <c r="R82" s="1027"/>
      <c r="S82" s="1027"/>
      <c r="T82" s="1083"/>
      <c r="U82" s="1006"/>
      <c r="V82" s="1006"/>
      <c r="W82" s="134">
        <v>4000000</v>
      </c>
      <c r="X82" s="134">
        <v>2666667</v>
      </c>
      <c r="Y82" s="134">
        <f t="shared" si="1"/>
        <v>6666667</v>
      </c>
      <c r="Z82" s="1006"/>
      <c r="AA82" s="1006"/>
      <c r="AB82" s="1006"/>
      <c r="AC82" s="1006"/>
      <c r="AD82" s="1006"/>
      <c r="AE82" s="1006"/>
      <c r="AF82" s="1006"/>
      <c r="AG82" s="1006"/>
      <c r="AH82" s="1039"/>
      <c r="AI82" s="1039"/>
      <c r="AJ82" s="1006"/>
      <c r="AK82" s="1041"/>
      <c r="AL82" s="1084"/>
      <c r="AM82" s="1045"/>
      <c r="AN82" s="43"/>
      <c r="AO82" s="43"/>
      <c r="AP82" s="43"/>
      <c r="AQ82" s="43"/>
      <c r="AR82" s="43"/>
      <c r="AS82" s="43"/>
      <c r="AT82" s="43"/>
      <c r="AU82" s="43"/>
      <c r="AV82" s="43"/>
      <c r="AW82" s="43"/>
      <c r="AX82" s="43"/>
      <c r="AY82" s="43"/>
      <c r="AZ82" s="43"/>
    </row>
    <row r="83" spans="1:52" s="12" customFormat="1" ht="80.25" customHeight="1" x14ac:dyDescent="0.25">
      <c r="A83" s="938">
        <v>63</v>
      </c>
      <c r="B83" s="944" t="s">
        <v>999</v>
      </c>
      <c r="C83" s="840">
        <v>80101706</v>
      </c>
      <c r="D83" s="988" t="s">
        <v>147</v>
      </c>
      <c r="E83" s="944" t="s">
        <v>125</v>
      </c>
      <c r="F83" s="944">
        <v>1</v>
      </c>
      <c r="G83" s="963" t="s">
        <v>159</v>
      </c>
      <c r="H83" s="952">
        <v>2</v>
      </c>
      <c r="I83" s="940" t="s">
        <v>96</v>
      </c>
      <c r="J83" s="836" t="s">
        <v>860</v>
      </c>
      <c r="K83" s="838" t="s">
        <v>108</v>
      </c>
      <c r="L83" s="68">
        <v>4000000</v>
      </c>
      <c r="M83" s="69">
        <v>4000000</v>
      </c>
      <c r="N83" s="944" t="s">
        <v>81</v>
      </c>
      <c r="O83" s="944" t="s">
        <v>56</v>
      </c>
      <c r="P83" s="992" t="s">
        <v>126</v>
      </c>
      <c r="Q83" s="1075"/>
      <c r="R83" s="1019" t="s">
        <v>323</v>
      </c>
      <c r="S83" s="1085" t="s">
        <v>324</v>
      </c>
      <c r="T83" s="1081">
        <v>42377</v>
      </c>
      <c r="U83" s="1086" t="s">
        <v>325</v>
      </c>
      <c r="V83" s="988" t="s">
        <v>212</v>
      </c>
      <c r="W83" s="134">
        <v>4000000</v>
      </c>
      <c r="X83" s="134"/>
      <c r="Y83" s="134">
        <f t="shared" si="1"/>
        <v>4000000</v>
      </c>
      <c r="Z83" s="1086" t="s">
        <v>213</v>
      </c>
      <c r="AA83" s="988" t="s">
        <v>326</v>
      </c>
      <c r="AB83" s="988" t="s">
        <v>215</v>
      </c>
      <c r="AC83" s="988" t="s">
        <v>327</v>
      </c>
      <c r="AD83" s="988" t="s">
        <v>56</v>
      </c>
      <c r="AE83" s="988" t="s">
        <v>56</v>
      </c>
      <c r="AF83" s="988" t="s">
        <v>56</v>
      </c>
      <c r="AG83" s="988" t="s">
        <v>227</v>
      </c>
      <c r="AH83" s="1034">
        <v>42377</v>
      </c>
      <c r="AI83" s="1034">
        <v>42436</v>
      </c>
      <c r="AJ83" s="988" t="s">
        <v>328</v>
      </c>
      <c r="AK83" s="1036" t="s">
        <v>329</v>
      </c>
      <c r="AL83" s="1044" t="s">
        <v>56</v>
      </c>
      <c r="AM83" s="1045">
        <v>4000000</v>
      </c>
      <c r="AN83" s="1045">
        <v>1333333</v>
      </c>
      <c r="AO83" s="32"/>
      <c r="AP83" s="32"/>
      <c r="AQ83" s="32"/>
      <c r="AR83" s="32"/>
      <c r="AS83" s="32"/>
      <c r="AT83" s="32"/>
      <c r="AU83" s="32"/>
      <c r="AV83" s="32"/>
      <c r="AW83" s="16"/>
      <c r="AX83" s="32"/>
      <c r="AY83" s="32"/>
      <c r="AZ83" s="32"/>
    </row>
    <row r="84" spans="1:52" s="12" customFormat="1" ht="78.75" customHeight="1" x14ac:dyDescent="0.25">
      <c r="A84" s="939"/>
      <c r="B84" s="945"/>
      <c r="C84" s="841"/>
      <c r="D84" s="1006"/>
      <c r="E84" s="945"/>
      <c r="F84" s="945"/>
      <c r="G84" s="964"/>
      <c r="H84" s="953"/>
      <c r="I84" s="941"/>
      <c r="J84" s="836" t="s">
        <v>1006</v>
      </c>
      <c r="K84" s="838" t="s">
        <v>108</v>
      </c>
      <c r="L84" s="68">
        <v>4000000</v>
      </c>
      <c r="M84" s="69">
        <v>4000000</v>
      </c>
      <c r="N84" s="945"/>
      <c r="O84" s="945"/>
      <c r="P84" s="1009"/>
      <c r="Q84" s="1075"/>
      <c r="R84" s="1027"/>
      <c r="S84" s="1087"/>
      <c r="T84" s="1083"/>
      <c r="U84" s="1006"/>
      <c r="V84" s="1006"/>
      <c r="W84" s="134">
        <v>4000000</v>
      </c>
      <c r="X84" s="134">
        <v>-2666667</v>
      </c>
      <c r="Y84" s="134">
        <f t="shared" si="1"/>
        <v>1333333</v>
      </c>
      <c r="Z84" s="1006"/>
      <c r="AA84" s="1006"/>
      <c r="AB84" s="1006"/>
      <c r="AC84" s="1006"/>
      <c r="AD84" s="1006"/>
      <c r="AE84" s="1006"/>
      <c r="AF84" s="1006"/>
      <c r="AG84" s="1006"/>
      <c r="AH84" s="1039"/>
      <c r="AI84" s="1039"/>
      <c r="AJ84" s="1006"/>
      <c r="AK84" s="1041"/>
      <c r="AL84" s="1044"/>
      <c r="AM84" s="1045"/>
      <c r="AN84" s="32"/>
      <c r="AO84" s="32"/>
      <c r="AP84" s="32"/>
      <c r="AQ84" s="32"/>
      <c r="AR84" s="32"/>
      <c r="AS84" s="32"/>
      <c r="AT84" s="32"/>
      <c r="AU84" s="32"/>
      <c r="AV84" s="32"/>
      <c r="AW84" s="16"/>
      <c r="AX84" s="32"/>
      <c r="AY84" s="32"/>
      <c r="AZ84" s="32"/>
    </row>
    <row r="85" spans="1:52" s="93" customFormat="1" ht="97.5" customHeight="1" x14ac:dyDescent="0.2">
      <c r="A85" s="938">
        <v>64</v>
      </c>
      <c r="B85" s="944" t="s">
        <v>999</v>
      </c>
      <c r="C85" s="840">
        <v>80101706</v>
      </c>
      <c r="D85" s="988" t="s">
        <v>616</v>
      </c>
      <c r="E85" s="944" t="s">
        <v>125</v>
      </c>
      <c r="F85" s="944">
        <v>1</v>
      </c>
      <c r="G85" s="963" t="s">
        <v>159</v>
      </c>
      <c r="H85" s="952">
        <v>2</v>
      </c>
      <c r="I85" s="940" t="s">
        <v>96</v>
      </c>
      <c r="J85" s="836" t="s">
        <v>885</v>
      </c>
      <c r="K85" s="838" t="s">
        <v>108</v>
      </c>
      <c r="L85" s="56">
        <v>1700000</v>
      </c>
      <c r="M85" s="57">
        <v>1700000</v>
      </c>
      <c r="N85" s="944" t="s">
        <v>81</v>
      </c>
      <c r="O85" s="944" t="s">
        <v>56</v>
      </c>
      <c r="P85" s="992" t="s">
        <v>126</v>
      </c>
      <c r="Q85" s="1080"/>
      <c r="R85" s="1019" t="s">
        <v>617</v>
      </c>
      <c r="S85" s="1019" t="s">
        <v>745</v>
      </c>
      <c r="T85" s="1020">
        <v>42402</v>
      </c>
      <c r="U85" s="1021" t="s">
        <v>746</v>
      </c>
      <c r="V85" s="1021" t="s">
        <v>296</v>
      </c>
      <c r="W85" s="30">
        <v>1700000</v>
      </c>
      <c r="X85" s="30"/>
      <c r="Y85" s="134">
        <f t="shared" si="1"/>
        <v>1700000</v>
      </c>
      <c r="Z85" s="1021" t="s">
        <v>297</v>
      </c>
      <c r="AA85" s="1021" t="s">
        <v>747</v>
      </c>
      <c r="AB85" s="1021" t="s">
        <v>748</v>
      </c>
      <c r="AC85" s="1021" t="s">
        <v>749</v>
      </c>
      <c r="AD85" s="1021" t="s">
        <v>56</v>
      </c>
      <c r="AE85" s="1021" t="s">
        <v>56</v>
      </c>
      <c r="AF85" s="1021" t="s">
        <v>56</v>
      </c>
      <c r="AG85" s="1021" t="s">
        <v>217</v>
      </c>
      <c r="AH85" s="1024">
        <v>42402</v>
      </c>
      <c r="AI85" s="1024">
        <v>42461</v>
      </c>
      <c r="AJ85" s="1021" t="s">
        <v>328</v>
      </c>
      <c r="AK85" s="1025" t="s">
        <v>329</v>
      </c>
      <c r="AL85" s="1044" t="s">
        <v>56</v>
      </c>
      <c r="AM85" s="1044" t="s">
        <v>56</v>
      </c>
      <c r="AN85" s="983">
        <v>1700000</v>
      </c>
      <c r="AO85" s="983"/>
      <c r="AP85" s="983">
        <v>1700000</v>
      </c>
      <c r="AQ85" s="32"/>
      <c r="AR85" s="32"/>
      <c r="AS85" s="32"/>
      <c r="AT85" s="32"/>
      <c r="AU85" s="32"/>
      <c r="AV85" s="32"/>
      <c r="AW85" s="32"/>
      <c r="AX85" s="32"/>
      <c r="AY85" s="32"/>
      <c r="AZ85" s="24"/>
    </row>
    <row r="86" spans="1:52" s="93" customFormat="1" ht="81" customHeight="1" x14ac:dyDescent="0.2">
      <c r="A86" s="939"/>
      <c r="B86" s="945"/>
      <c r="C86" s="841"/>
      <c r="D86" s="1006"/>
      <c r="E86" s="945"/>
      <c r="F86" s="945"/>
      <c r="G86" s="964"/>
      <c r="H86" s="953"/>
      <c r="I86" s="941"/>
      <c r="J86" s="833" t="s">
        <v>997</v>
      </c>
      <c r="K86" s="838" t="s">
        <v>108</v>
      </c>
      <c r="L86" s="56">
        <v>1700000</v>
      </c>
      <c r="M86" s="57">
        <v>1700000</v>
      </c>
      <c r="N86" s="945"/>
      <c r="O86" s="945"/>
      <c r="P86" s="1009"/>
      <c r="Q86" s="1080"/>
      <c r="R86" s="1027"/>
      <c r="S86" s="1027"/>
      <c r="T86" s="1028"/>
      <c r="U86" s="959"/>
      <c r="V86" s="959"/>
      <c r="W86" s="30">
        <v>1700000</v>
      </c>
      <c r="X86" s="30"/>
      <c r="Y86" s="134">
        <f t="shared" si="1"/>
        <v>1700000</v>
      </c>
      <c r="Z86" s="959"/>
      <c r="AA86" s="959"/>
      <c r="AB86" s="959"/>
      <c r="AC86" s="959"/>
      <c r="AD86" s="959"/>
      <c r="AE86" s="959"/>
      <c r="AF86" s="959"/>
      <c r="AG86" s="959"/>
      <c r="AH86" s="1030"/>
      <c r="AI86" s="1030"/>
      <c r="AJ86" s="959"/>
      <c r="AK86" s="1031"/>
      <c r="AL86" s="87"/>
      <c r="AM86" s="32"/>
      <c r="AN86" s="32"/>
      <c r="AO86" s="32"/>
      <c r="AP86" s="32"/>
      <c r="AQ86" s="32"/>
      <c r="AR86" s="32"/>
      <c r="AS86" s="32"/>
      <c r="AT86" s="32"/>
      <c r="AU86" s="1048"/>
      <c r="AV86" s="32"/>
      <c r="AW86" s="32"/>
      <c r="AX86" s="32"/>
      <c r="AY86" s="32"/>
      <c r="AZ86" s="24"/>
    </row>
    <row r="87" spans="1:52" s="12" customFormat="1" ht="111.75" customHeight="1" x14ac:dyDescent="0.2">
      <c r="A87" s="832">
        <v>65</v>
      </c>
      <c r="B87" s="833" t="s">
        <v>1000</v>
      </c>
      <c r="C87" s="833">
        <v>80101706</v>
      </c>
      <c r="D87" s="164" t="s">
        <v>149</v>
      </c>
      <c r="E87" s="833" t="s">
        <v>125</v>
      </c>
      <c r="F87" s="833">
        <v>1</v>
      </c>
      <c r="G87" s="834" t="s">
        <v>159</v>
      </c>
      <c r="H87" s="485">
        <v>2</v>
      </c>
      <c r="I87" s="836" t="s">
        <v>96</v>
      </c>
      <c r="J87" s="836" t="s">
        <v>128</v>
      </c>
      <c r="K87" s="833" t="s">
        <v>108</v>
      </c>
      <c r="L87" s="56">
        <v>8000000</v>
      </c>
      <c r="M87" s="57">
        <v>8000000</v>
      </c>
      <c r="N87" s="833" t="s">
        <v>81</v>
      </c>
      <c r="O87" s="833" t="s">
        <v>56</v>
      </c>
      <c r="P87" s="25" t="s">
        <v>126</v>
      </c>
      <c r="Q87" s="981"/>
      <c r="R87" s="172" t="s">
        <v>209</v>
      </c>
      <c r="S87" s="982" t="s">
        <v>210</v>
      </c>
      <c r="T87" s="166">
        <v>42388</v>
      </c>
      <c r="U87" s="831" t="s">
        <v>211</v>
      </c>
      <c r="V87" s="411" t="s">
        <v>212</v>
      </c>
      <c r="W87" s="134">
        <v>8000000</v>
      </c>
      <c r="X87" s="134"/>
      <c r="Y87" s="134">
        <f t="shared" si="1"/>
        <v>8000000</v>
      </c>
      <c r="Z87" s="411" t="s">
        <v>213</v>
      </c>
      <c r="AA87" s="411" t="s">
        <v>214</v>
      </c>
      <c r="AB87" s="411" t="s">
        <v>215</v>
      </c>
      <c r="AC87" s="411" t="s">
        <v>216</v>
      </c>
      <c r="AD87" s="411" t="s">
        <v>56</v>
      </c>
      <c r="AE87" s="411" t="s">
        <v>56</v>
      </c>
      <c r="AF87" s="411" t="s">
        <v>56</v>
      </c>
      <c r="AG87" s="411" t="s">
        <v>217</v>
      </c>
      <c r="AH87" s="169">
        <v>42387</v>
      </c>
      <c r="AI87" s="169">
        <v>42446</v>
      </c>
      <c r="AJ87" s="411" t="s">
        <v>218</v>
      </c>
      <c r="AK87" s="170" t="s">
        <v>219</v>
      </c>
      <c r="AL87" s="1044" t="s">
        <v>56</v>
      </c>
      <c r="AM87" s="983">
        <v>4000000</v>
      </c>
      <c r="AN87" s="983">
        <v>4000000</v>
      </c>
      <c r="AO87" s="833"/>
      <c r="AP87" s="32"/>
      <c r="AQ87" s="16"/>
      <c r="AR87" s="16"/>
      <c r="AS87" s="16"/>
      <c r="AT87" s="16"/>
      <c r="AU87" s="36"/>
      <c r="AV87" s="16"/>
      <c r="AW87" s="16"/>
      <c r="AX87" s="16"/>
      <c r="AY87" s="16"/>
      <c r="AZ87" s="16"/>
    </row>
    <row r="88" spans="1:52" s="12" customFormat="1" ht="103.5" customHeight="1" x14ac:dyDescent="0.25">
      <c r="A88" s="832">
        <v>66</v>
      </c>
      <c r="B88" s="833" t="s">
        <v>1000</v>
      </c>
      <c r="C88" s="833">
        <v>80101706</v>
      </c>
      <c r="D88" s="164" t="s">
        <v>187</v>
      </c>
      <c r="E88" s="833" t="s">
        <v>125</v>
      </c>
      <c r="F88" s="833">
        <v>1</v>
      </c>
      <c r="G88" s="834" t="s">
        <v>159</v>
      </c>
      <c r="H88" s="485">
        <v>2</v>
      </c>
      <c r="I88" s="836" t="s">
        <v>96</v>
      </c>
      <c r="J88" s="836" t="s">
        <v>128</v>
      </c>
      <c r="K88" s="833" t="s">
        <v>108</v>
      </c>
      <c r="L88" s="56">
        <v>8000000</v>
      </c>
      <c r="M88" s="57">
        <v>8000000</v>
      </c>
      <c r="N88" s="833" t="s">
        <v>81</v>
      </c>
      <c r="O88" s="833" t="s">
        <v>56</v>
      </c>
      <c r="P88" s="25" t="s">
        <v>126</v>
      </c>
      <c r="Q88" s="1075"/>
      <c r="R88" s="172" t="s">
        <v>397</v>
      </c>
      <c r="S88" s="982" t="s">
        <v>398</v>
      </c>
      <c r="T88" s="166">
        <v>42394</v>
      </c>
      <c r="U88" s="831" t="s">
        <v>399</v>
      </c>
      <c r="V88" s="411" t="s">
        <v>212</v>
      </c>
      <c r="W88" s="134">
        <v>8000000</v>
      </c>
      <c r="X88" s="134"/>
      <c r="Y88" s="134">
        <f t="shared" si="1"/>
        <v>8000000</v>
      </c>
      <c r="Z88" s="411" t="s">
        <v>213</v>
      </c>
      <c r="AA88" s="411" t="s">
        <v>400</v>
      </c>
      <c r="AB88" s="411" t="s">
        <v>215</v>
      </c>
      <c r="AC88" s="411" t="s">
        <v>401</v>
      </c>
      <c r="AD88" s="411" t="s">
        <v>56</v>
      </c>
      <c r="AE88" s="411" t="s">
        <v>56</v>
      </c>
      <c r="AF88" s="411" t="s">
        <v>56</v>
      </c>
      <c r="AG88" s="411" t="s">
        <v>217</v>
      </c>
      <c r="AH88" s="169">
        <v>42394</v>
      </c>
      <c r="AI88" s="169">
        <v>42453</v>
      </c>
      <c r="AJ88" s="411" t="s">
        <v>218</v>
      </c>
      <c r="AK88" s="170" t="s">
        <v>219</v>
      </c>
      <c r="AL88" s="1044" t="s">
        <v>56</v>
      </c>
      <c r="AM88" s="983">
        <v>4000000</v>
      </c>
      <c r="AN88" s="983">
        <v>4000000</v>
      </c>
      <c r="AO88" s="32"/>
      <c r="AP88" s="32"/>
      <c r="AQ88" s="32"/>
      <c r="AR88" s="32"/>
      <c r="AS88" s="32"/>
      <c r="AT88" s="32"/>
      <c r="AU88" s="32"/>
      <c r="AV88" s="32"/>
      <c r="AW88" s="32"/>
      <c r="AX88" s="32"/>
      <c r="AY88" s="32"/>
      <c r="AZ88" s="32"/>
    </row>
    <row r="89" spans="1:52" s="93" customFormat="1" ht="161.25" customHeight="1" x14ac:dyDescent="0.25">
      <c r="A89" s="832">
        <v>67</v>
      </c>
      <c r="B89" s="833" t="s">
        <v>1000</v>
      </c>
      <c r="C89" s="833">
        <v>80101706</v>
      </c>
      <c r="D89" s="164" t="s">
        <v>150</v>
      </c>
      <c r="E89" s="833" t="s">
        <v>125</v>
      </c>
      <c r="F89" s="833">
        <v>1</v>
      </c>
      <c r="G89" s="834" t="s">
        <v>159</v>
      </c>
      <c r="H89" s="485">
        <v>2</v>
      </c>
      <c r="I89" s="836" t="s">
        <v>96</v>
      </c>
      <c r="J89" s="836" t="s">
        <v>128</v>
      </c>
      <c r="K89" s="833" t="s">
        <v>108</v>
      </c>
      <c r="L89" s="56">
        <v>20880000</v>
      </c>
      <c r="M89" s="57">
        <v>20880000</v>
      </c>
      <c r="N89" s="833" t="s">
        <v>81</v>
      </c>
      <c r="O89" s="833" t="s">
        <v>56</v>
      </c>
      <c r="P89" s="25" t="s">
        <v>126</v>
      </c>
      <c r="Q89" s="1073"/>
      <c r="R89" s="172" t="s">
        <v>334</v>
      </c>
      <c r="S89" s="982" t="s">
        <v>335</v>
      </c>
      <c r="T89" s="166">
        <v>42387</v>
      </c>
      <c r="U89" s="831" t="s">
        <v>336</v>
      </c>
      <c r="V89" s="411" t="s">
        <v>212</v>
      </c>
      <c r="W89" s="134">
        <v>20880000</v>
      </c>
      <c r="X89" s="134"/>
      <c r="Y89" s="134">
        <f t="shared" si="1"/>
        <v>20880000</v>
      </c>
      <c r="Z89" s="411" t="s">
        <v>337</v>
      </c>
      <c r="AA89" s="411" t="s">
        <v>338</v>
      </c>
      <c r="AB89" s="411" t="s">
        <v>215</v>
      </c>
      <c r="AC89" s="411" t="s">
        <v>339</v>
      </c>
      <c r="AD89" s="411" t="s">
        <v>56</v>
      </c>
      <c r="AE89" s="411" t="s">
        <v>56</v>
      </c>
      <c r="AF89" s="411" t="s">
        <v>56</v>
      </c>
      <c r="AG89" s="411" t="s">
        <v>227</v>
      </c>
      <c r="AH89" s="169">
        <v>42387</v>
      </c>
      <c r="AI89" s="169">
        <v>42446</v>
      </c>
      <c r="AJ89" s="411" t="s">
        <v>218</v>
      </c>
      <c r="AK89" s="170" t="s">
        <v>219</v>
      </c>
      <c r="AL89" s="1044" t="s">
        <v>56</v>
      </c>
      <c r="AM89" s="983">
        <v>10440000</v>
      </c>
      <c r="AN89" s="983">
        <v>10440000</v>
      </c>
      <c r="AO89" s="32"/>
      <c r="AP89" s="32"/>
      <c r="AQ89" s="32"/>
      <c r="AR89" s="32"/>
      <c r="AS89" s="32"/>
      <c r="AT89" s="32"/>
      <c r="AU89" s="32"/>
      <c r="AV89" s="32"/>
      <c r="AW89" s="32"/>
      <c r="AX89" s="32"/>
      <c r="AY89" s="32"/>
      <c r="AZ89" s="32"/>
    </row>
    <row r="90" spans="1:52" s="12" customFormat="1" ht="135" customHeight="1" x14ac:dyDescent="0.25">
      <c r="A90" s="832">
        <v>68</v>
      </c>
      <c r="B90" s="833" t="s">
        <v>996</v>
      </c>
      <c r="C90" s="833">
        <v>80101706</v>
      </c>
      <c r="D90" s="1012" t="s">
        <v>179</v>
      </c>
      <c r="E90" s="833" t="s">
        <v>125</v>
      </c>
      <c r="F90" s="833">
        <v>1</v>
      </c>
      <c r="G90" s="412" t="s">
        <v>159</v>
      </c>
      <c r="H90" s="485">
        <v>2</v>
      </c>
      <c r="I90" s="836" t="s">
        <v>96</v>
      </c>
      <c r="J90" s="836" t="s">
        <v>127</v>
      </c>
      <c r="K90" s="833" t="s">
        <v>108</v>
      </c>
      <c r="L90" s="68">
        <v>9000000</v>
      </c>
      <c r="M90" s="69">
        <v>9000000</v>
      </c>
      <c r="N90" s="833" t="s">
        <v>81</v>
      </c>
      <c r="O90" s="833" t="s">
        <v>56</v>
      </c>
      <c r="P90" s="25" t="s">
        <v>126</v>
      </c>
      <c r="Q90" s="1075"/>
      <c r="R90" s="172" t="s">
        <v>409</v>
      </c>
      <c r="S90" s="982" t="s">
        <v>410</v>
      </c>
      <c r="T90" s="166">
        <v>42395</v>
      </c>
      <c r="U90" s="831" t="s">
        <v>413</v>
      </c>
      <c r="V90" s="411" t="s">
        <v>212</v>
      </c>
      <c r="W90" s="134">
        <v>9000000</v>
      </c>
      <c r="X90" s="134"/>
      <c r="Y90" s="134">
        <f t="shared" si="1"/>
        <v>9000000</v>
      </c>
      <c r="Z90" s="411" t="s">
        <v>414</v>
      </c>
      <c r="AA90" s="411" t="s">
        <v>415</v>
      </c>
      <c r="AB90" s="411" t="s">
        <v>225</v>
      </c>
      <c r="AC90" s="411" t="s">
        <v>416</v>
      </c>
      <c r="AD90" s="411" t="s">
        <v>56</v>
      </c>
      <c r="AE90" s="411" t="s">
        <v>56</v>
      </c>
      <c r="AF90" s="411" t="s">
        <v>56</v>
      </c>
      <c r="AG90" s="411" t="s">
        <v>217</v>
      </c>
      <c r="AH90" s="169">
        <v>42395</v>
      </c>
      <c r="AI90" s="169">
        <v>42454</v>
      </c>
      <c r="AJ90" s="411" t="s">
        <v>417</v>
      </c>
      <c r="AK90" s="170" t="s">
        <v>408</v>
      </c>
      <c r="AL90" s="1044" t="s">
        <v>56</v>
      </c>
      <c r="AM90" s="983">
        <v>4500000</v>
      </c>
      <c r="AN90" s="983">
        <v>4500000</v>
      </c>
      <c r="AO90" s="32"/>
      <c r="AP90" s="32"/>
      <c r="AQ90" s="32"/>
      <c r="AR90" s="32"/>
      <c r="AS90" s="32"/>
      <c r="AT90" s="32"/>
      <c r="AU90" s="32"/>
      <c r="AV90" s="32"/>
      <c r="AW90" s="32"/>
      <c r="AX90" s="32"/>
      <c r="AY90" s="32"/>
      <c r="AZ90" s="32"/>
    </row>
    <row r="91" spans="1:52" s="12" customFormat="1" ht="130.5" customHeight="1" x14ac:dyDescent="0.25">
      <c r="A91" s="832">
        <v>69</v>
      </c>
      <c r="B91" s="833" t="s">
        <v>996</v>
      </c>
      <c r="C91" s="833">
        <v>80101706</v>
      </c>
      <c r="D91" s="1012" t="s">
        <v>179</v>
      </c>
      <c r="E91" s="833" t="s">
        <v>125</v>
      </c>
      <c r="F91" s="833">
        <v>1</v>
      </c>
      <c r="G91" s="412" t="s">
        <v>159</v>
      </c>
      <c r="H91" s="485">
        <v>2</v>
      </c>
      <c r="I91" s="836" t="s">
        <v>96</v>
      </c>
      <c r="J91" s="836" t="s">
        <v>127</v>
      </c>
      <c r="K91" s="833" t="s">
        <v>108</v>
      </c>
      <c r="L91" s="68">
        <v>9000000</v>
      </c>
      <c r="M91" s="69">
        <v>9000000</v>
      </c>
      <c r="N91" s="833" t="s">
        <v>81</v>
      </c>
      <c r="O91" s="833" t="s">
        <v>56</v>
      </c>
      <c r="P91" s="25" t="s">
        <v>126</v>
      </c>
      <c r="Q91" s="1075"/>
      <c r="R91" s="172" t="s">
        <v>411</v>
      </c>
      <c r="S91" s="982" t="s">
        <v>412</v>
      </c>
      <c r="T91" s="166">
        <v>42395</v>
      </c>
      <c r="U91" s="831" t="s">
        <v>413</v>
      </c>
      <c r="V91" s="411" t="s">
        <v>212</v>
      </c>
      <c r="W91" s="134">
        <v>9000000</v>
      </c>
      <c r="X91" s="134"/>
      <c r="Y91" s="134">
        <f t="shared" si="1"/>
        <v>9000000</v>
      </c>
      <c r="Z91" s="411" t="s">
        <v>414</v>
      </c>
      <c r="AA91" s="411" t="s">
        <v>418</v>
      </c>
      <c r="AB91" s="411" t="s">
        <v>225</v>
      </c>
      <c r="AC91" s="411" t="s">
        <v>419</v>
      </c>
      <c r="AD91" s="411" t="s">
        <v>56</v>
      </c>
      <c r="AE91" s="411" t="s">
        <v>56</v>
      </c>
      <c r="AF91" s="411" t="s">
        <v>56</v>
      </c>
      <c r="AG91" s="411" t="s">
        <v>217</v>
      </c>
      <c r="AH91" s="169">
        <v>42395</v>
      </c>
      <c r="AI91" s="169">
        <v>42454</v>
      </c>
      <c r="AJ91" s="411" t="s">
        <v>417</v>
      </c>
      <c r="AK91" s="170" t="s">
        <v>408</v>
      </c>
      <c r="AL91" s="1044" t="s">
        <v>56</v>
      </c>
      <c r="AM91" s="983">
        <v>4500000</v>
      </c>
      <c r="AN91" s="983">
        <v>4500000</v>
      </c>
      <c r="AO91" s="32"/>
      <c r="AP91" s="32"/>
      <c r="AQ91" s="32"/>
      <c r="AR91" s="32"/>
      <c r="AS91" s="32"/>
      <c r="AT91" s="32"/>
      <c r="AU91" s="32"/>
      <c r="AV91" s="32"/>
      <c r="AW91" s="32"/>
      <c r="AX91" s="32"/>
      <c r="AY91" s="32"/>
      <c r="AZ91" s="32"/>
    </row>
    <row r="92" spans="1:52" s="12" customFormat="1" ht="167.25" customHeight="1" x14ac:dyDescent="0.25">
      <c r="A92" s="832">
        <v>70</v>
      </c>
      <c r="B92" s="833" t="s">
        <v>996</v>
      </c>
      <c r="C92" s="833">
        <v>80101706</v>
      </c>
      <c r="D92" s="1012" t="s">
        <v>556</v>
      </c>
      <c r="E92" s="833" t="s">
        <v>125</v>
      </c>
      <c r="F92" s="833">
        <v>1</v>
      </c>
      <c r="G92" s="412" t="s">
        <v>159</v>
      </c>
      <c r="H92" s="485">
        <v>2</v>
      </c>
      <c r="I92" s="836" t="s">
        <v>96</v>
      </c>
      <c r="J92" s="836" t="s">
        <v>127</v>
      </c>
      <c r="K92" s="833" t="s">
        <v>108</v>
      </c>
      <c r="L92" s="68">
        <v>10000000</v>
      </c>
      <c r="M92" s="69">
        <v>10000000</v>
      </c>
      <c r="N92" s="833" t="s">
        <v>81</v>
      </c>
      <c r="O92" s="833" t="s">
        <v>56</v>
      </c>
      <c r="P92" s="25" t="s">
        <v>126</v>
      </c>
      <c r="Q92" s="1075"/>
      <c r="R92" s="172" t="s">
        <v>402</v>
      </c>
      <c r="S92" s="982" t="s">
        <v>403</v>
      </c>
      <c r="T92" s="166">
        <v>42394</v>
      </c>
      <c r="U92" s="831" t="s">
        <v>404</v>
      </c>
      <c r="V92" s="411" t="s">
        <v>212</v>
      </c>
      <c r="W92" s="134">
        <v>10000000</v>
      </c>
      <c r="X92" s="134"/>
      <c r="Y92" s="134">
        <f>SUM(W92+X92)</f>
        <v>10000000</v>
      </c>
      <c r="Z92" s="411" t="s">
        <v>386</v>
      </c>
      <c r="AA92" s="411" t="s">
        <v>405</v>
      </c>
      <c r="AB92" s="411" t="s">
        <v>225</v>
      </c>
      <c r="AC92" s="411" t="s">
        <v>406</v>
      </c>
      <c r="AD92" s="411" t="s">
        <v>56</v>
      </c>
      <c r="AE92" s="411" t="s">
        <v>56</v>
      </c>
      <c r="AF92" s="411" t="s">
        <v>56</v>
      </c>
      <c r="AG92" s="411" t="s">
        <v>217</v>
      </c>
      <c r="AH92" s="169">
        <v>42394</v>
      </c>
      <c r="AI92" s="169">
        <v>42453</v>
      </c>
      <c r="AJ92" s="411" t="s">
        <v>407</v>
      </c>
      <c r="AK92" s="170" t="s">
        <v>408</v>
      </c>
      <c r="AL92" s="1044" t="s">
        <v>56</v>
      </c>
      <c r="AM92" s="983">
        <v>5000000</v>
      </c>
      <c r="AN92" s="983">
        <v>5000000</v>
      </c>
      <c r="AO92" s="32"/>
      <c r="AP92" s="32"/>
      <c r="AQ92" s="32"/>
      <c r="AR92" s="32"/>
      <c r="AS92" s="32"/>
      <c r="AT92" s="32"/>
      <c r="AU92" s="32"/>
      <c r="AV92" s="32"/>
      <c r="AW92" s="32"/>
      <c r="AX92" s="32"/>
      <c r="AY92" s="32"/>
      <c r="AZ92" s="32"/>
    </row>
    <row r="93" spans="1:52" s="12" customFormat="1" ht="128.25" customHeight="1" x14ac:dyDescent="0.25">
      <c r="A93" s="832">
        <v>71</v>
      </c>
      <c r="B93" s="833" t="s">
        <v>996</v>
      </c>
      <c r="C93" s="833">
        <v>80101706</v>
      </c>
      <c r="D93" s="1012" t="s">
        <v>180</v>
      </c>
      <c r="E93" s="833" t="s">
        <v>125</v>
      </c>
      <c r="F93" s="833">
        <v>1</v>
      </c>
      <c r="G93" s="834" t="s">
        <v>166</v>
      </c>
      <c r="H93" s="485">
        <v>2</v>
      </c>
      <c r="I93" s="836" t="s">
        <v>96</v>
      </c>
      <c r="J93" s="836" t="s">
        <v>127</v>
      </c>
      <c r="K93" s="833" t="s">
        <v>108</v>
      </c>
      <c r="L93" s="68">
        <v>17000000</v>
      </c>
      <c r="M93" s="69">
        <v>17000000</v>
      </c>
      <c r="N93" s="833" t="s">
        <v>81</v>
      </c>
      <c r="O93" s="833" t="s">
        <v>56</v>
      </c>
      <c r="P93" s="25" t="s">
        <v>126</v>
      </c>
      <c r="Q93" s="1075"/>
      <c r="R93" s="172" t="s">
        <v>1067</v>
      </c>
      <c r="S93" s="982" t="s">
        <v>1068</v>
      </c>
      <c r="T93" s="166">
        <v>42417</v>
      </c>
      <c r="U93" s="164" t="s">
        <v>1069</v>
      </c>
      <c r="V93" s="411" t="s">
        <v>212</v>
      </c>
      <c r="W93" s="993">
        <v>17000000</v>
      </c>
      <c r="X93" s="134"/>
      <c r="Y93" s="134">
        <f>SUM(W93+X93)</f>
        <v>17000000</v>
      </c>
      <c r="Z93" s="411" t="s">
        <v>1070</v>
      </c>
      <c r="AA93" s="411" t="s">
        <v>1071</v>
      </c>
      <c r="AB93" s="411" t="s">
        <v>225</v>
      </c>
      <c r="AC93" s="181" t="s">
        <v>1072</v>
      </c>
      <c r="AD93" s="411" t="s">
        <v>56</v>
      </c>
      <c r="AE93" s="411" t="s">
        <v>56</v>
      </c>
      <c r="AF93" s="411" t="s">
        <v>56</v>
      </c>
      <c r="AG93" s="1088" t="s">
        <v>1073</v>
      </c>
      <c r="AH93" s="169">
        <v>42417</v>
      </c>
      <c r="AI93" s="169">
        <v>42476</v>
      </c>
      <c r="AJ93" s="411" t="s">
        <v>407</v>
      </c>
      <c r="AK93" s="170" t="s">
        <v>408</v>
      </c>
      <c r="AL93" s="87" t="s">
        <v>56</v>
      </c>
      <c r="AM93" s="87" t="s">
        <v>56</v>
      </c>
      <c r="AN93" s="32">
        <v>8500000</v>
      </c>
      <c r="AO93" s="32">
        <v>8500000</v>
      </c>
      <c r="AP93" s="32"/>
      <c r="AQ93" s="32"/>
      <c r="AR93" s="32"/>
      <c r="AS93" s="32"/>
      <c r="AT93" s="32"/>
      <c r="AU93" s="32"/>
      <c r="AV93" s="32"/>
      <c r="AW93" s="32"/>
      <c r="AX93" s="32"/>
      <c r="AY93" s="32"/>
      <c r="AZ93" s="32"/>
    </row>
    <row r="94" spans="1:52" s="12" customFormat="1" ht="287.25" customHeight="1" x14ac:dyDescent="0.25">
      <c r="A94" s="832">
        <v>72</v>
      </c>
      <c r="B94" s="833" t="s">
        <v>986</v>
      </c>
      <c r="C94" s="833">
        <v>80101706</v>
      </c>
      <c r="D94" s="164" t="s">
        <v>826</v>
      </c>
      <c r="E94" s="833" t="s">
        <v>125</v>
      </c>
      <c r="F94" s="833">
        <v>1</v>
      </c>
      <c r="G94" s="834" t="s">
        <v>164</v>
      </c>
      <c r="H94" s="485">
        <v>2</v>
      </c>
      <c r="I94" s="836" t="s">
        <v>96</v>
      </c>
      <c r="J94" s="836" t="s">
        <v>844</v>
      </c>
      <c r="K94" s="833" t="s">
        <v>108</v>
      </c>
      <c r="L94" s="68">
        <v>18560000</v>
      </c>
      <c r="M94" s="68">
        <v>18560000</v>
      </c>
      <c r="N94" s="134" t="s">
        <v>81</v>
      </c>
      <c r="O94" s="134" t="s">
        <v>56</v>
      </c>
      <c r="P94" s="134" t="s">
        <v>126</v>
      </c>
      <c r="Q94" s="1075"/>
      <c r="R94" s="172" t="s">
        <v>1095</v>
      </c>
      <c r="S94" s="172" t="s">
        <v>1096</v>
      </c>
      <c r="T94" s="28">
        <v>42471</v>
      </c>
      <c r="U94" s="1012" t="s">
        <v>1097</v>
      </c>
      <c r="V94" s="181" t="s">
        <v>212</v>
      </c>
      <c r="W94" s="1005">
        <v>18560000</v>
      </c>
      <c r="X94" s="134"/>
      <c r="Y94" s="134">
        <f t="shared" ref="Y94:Y154" si="2">SUM(W94+X94)</f>
        <v>18560000</v>
      </c>
      <c r="Z94" s="411" t="s">
        <v>1098</v>
      </c>
      <c r="AA94" s="411" t="s">
        <v>1099</v>
      </c>
      <c r="AB94" s="411" t="s">
        <v>225</v>
      </c>
      <c r="AC94" s="181"/>
      <c r="AD94" s="411" t="s">
        <v>56</v>
      </c>
      <c r="AE94" s="411" t="s">
        <v>56</v>
      </c>
      <c r="AF94" s="411" t="s">
        <v>56</v>
      </c>
      <c r="AG94" s="168" t="s">
        <v>1100</v>
      </c>
      <c r="AH94" s="169">
        <v>42471</v>
      </c>
      <c r="AI94" s="169">
        <v>42531</v>
      </c>
      <c r="AJ94" s="411" t="s">
        <v>1101</v>
      </c>
      <c r="AK94" s="1089" t="s">
        <v>390</v>
      </c>
      <c r="AL94" s="87" t="s">
        <v>56</v>
      </c>
      <c r="AM94" s="87" t="s">
        <v>56</v>
      </c>
      <c r="AN94" s="87" t="s">
        <v>56</v>
      </c>
      <c r="AO94" s="87" t="s">
        <v>56</v>
      </c>
      <c r="AP94" s="87" t="s">
        <v>56</v>
      </c>
      <c r="AQ94" s="87">
        <v>9280000</v>
      </c>
      <c r="AR94" s="32">
        <v>9280000</v>
      </c>
      <c r="AS94" s="32"/>
      <c r="AT94" s="32"/>
      <c r="AU94" s="32"/>
      <c r="AV94" s="32"/>
      <c r="AW94" s="32"/>
      <c r="AX94" s="32"/>
      <c r="AY94" s="32"/>
      <c r="AZ94" s="32"/>
    </row>
    <row r="95" spans="1:52" s="12" customFormat="1" ht="118.5" customHeight="1" x14ac:dyDescent="0.25">
      <c r="A95" s="832">
        <v>73</v>
      </c>
      <c r="B95" s="833" t="s">
        <v>986</v>
      </c>
      <c r="C95" s="833">
        <v>80101706</v>
      </c>
      <c r="D95" s="164" t="s">
        <v>543</v>
      </c>
      <c r="E95" s="833" t="s">
        <v>125</v>
      </c>
      <c r="F95" s="833">
        <v>1</v>
      </c>
      <c r="G95" s="412" t="s">
        <v>159</v>
      </c>
      <c r="H95" s="485">
        <v>2</v>
      </c>
      <c r="I95" s="836" t="s">
        <v>96</v>
      </c>
      <c r="J95" s="836" t="s">
        <v>127</v>
      </c>
      <c r="K95" s="833" t="s">
        <v>108</v>
      </c>
      <c r="L95" s="68">
        <v>16000000</v>
      </c>
      <c r="M95" s="69">
        <v>16000000</v>
      </c>
      <c r="N95" s="833" t="s">
        <v>81</v>
      </c>
      <c r="O95" s="833" t="s">
        <v>56</v>
      </c>
      <c r="P95" s="25" t="s">
        <v>126</v>
      </c>
      <c r="Q95" s="1075"/>
      <c r="R95" s="172" t="s">
        <v>618</v>
      </c>
      <c r="S95" s="172" t="s">
        <v>619</v>
      </c>
      <c r="T95" s="28">
        <v>42401</v>
      </c>
      <c r="U95" s="831" t="s">
        <v>543</v>
      </c>
      <c r="V95" s="181" t="s">
        <v>212</v>
      </c>
      <c r="W95" s="1005">
        <v>16000000</v>
      </c>
      <c r="X95" s="30"/>
      <c r="Y95" s="134">
        <f t="shared" si="2"/>
        <v>16000000</v>
      </c>
      <c r="Z95" s="181" t="s">
        <v>620</v>
      </c>
      <c r="AA95" s="181" t="s">
        <v>621</v>
      </c>
      <c r="AB95" s="181" t="s">
        <v>225</v>
      </c>
      <c r="AC95" s="181" t="s">
        <v>622</v>
      </c>
      <c r="AD95" s="181" t="s">
        <v>56</v>
      </c>
      <c r="AE95" s="181" t="s">
        <v>56</v>
      </c>
      <c r="AF95" s="181" t="s">
        <v>56</v>
      </c>
      <c r="AG95" s="181" t="s">
        <v>217</v>
      </c>
      <c r="AH95" s="1014">
        <v>42401</v>
      </c>
      <c r="AI95" s="1014">
        <v>42460</v>
      </c>
      <c r="AJ95" s="181" t="s">
        <v>346</v>
      </c>
      <c r="AK95" s="1017" t="s">
        <v>347</v>
      </c>
      <c r="AL95" s="1044" t="s">
        <v>56</v>
      </c>
      <c r="AM95" s="1045">
        <v>8000000</v>
      </c>
      <c r="AN95" s="1045">
        <v>8000000</v>
      </c>
      <c r="AO95" s="32"/>
      <c r="AP95" s="32"/>
      <c r="AQ95" s="32"/>
      <c r="AR95" s="32"/>
      <c r="AS95" s="32"/>
      <c r="AT95" s="32"/>
      <c r="AU95" s="32"/>
      <c r="AV95" s="32"/>
      <c r="AW95" s="32"/>
      <c r="AX95" s="32"/>
      <c r="AY95" s="32"/>
      <c r="AZ95" s="32"/>
    </row>
    <row r="96" spans="1:52" s="12" customFormat="1" ht="127.5" customHeight="1" x14ac:dyDescent="0.25">
      <c r="A96" s="832">
        <v>74</v>
      </c>
      <c r="B96" s="833" t="s">
        <v>986</v>
      </c>
      <c r="C96" s="833">
        <v>80101706</v>
      </c>
      <c r="D96" s="164" t="s">
        <v>183</v>
      </c>
      <c r="E96" s="833" t="s">
        <v>125</v>
      </c>
      <c r="F96" s="833">
        <v>1</v>
      </c>
      <c r="G96" s="412" t="s">
        <v>159</v>
      </c>
      <c r="H96" s="485">
        <v>2</v>
      </c>
      <c r="I96" s="836" t="s">
        <v>96</v>
      </c>
      <c r="J96" s="836" t="s">
        <v>127</v>
      </c>
      <c r="K96" s="833" t="s">
        <v>108</v>
      </c>
      <c r="L96" s="68">
        <v>7800000</v>
      </c>
      <c r="M96" s="69">
        <v>7800000</v>
      </c>
      <c r="N96" s="833" t="s">
        <v>81</v>
      </c>
      <c r="O96" s="833" t="s">
        <v>56</v>
      </c>
      <c r="P96" s="25" t="s">
        <v>126</v>
      </c>
      <c r="Q96" s="1075"/>
      <c r="R96" s="172" t="s">
        <v>340</v>
      </c>
      <c r="S96" s="982" t="s">
        <v>341</v>
      </c>
      <c r="T96" s="166">
        <v>42389</v>
      </c>
      <c r="U96" s="831" t="s">
        <v>342</v>
      </c>
      <c r="V96" s="411" t="s">
        <v>212</v>
      </c>
      <c r="W96" s="1090">
        <v>7800000</v>
      </c>
      <c r="X96" s="134"/>
      <c r="Y96" s="134">
        <f t="shared" si="2"/>
        <v>7800000</v>
      </c>
      <c r="Z96" s="411" t="s">
        <v>343</v>
      </c>
      <c r="AA96" s="411" t="s">
        <v>344</v>
      </c>
      <c r="AB96" s="411" t="s">
        <v>225</v>
      </c>
      <c r="AC96" s="411" t="s">
        <v>345</v>
      </c>
      <c r="AD96" s="411" t="s">
        <v>56</v>
      </c>
      <c r="AE96" s="411" t="s">
        <v>56</v>
      </c>
      <c r="AF96" s="411" t="s">
        <v>56</v>
      </c>
      <c r="AG96" s="411" t="s">
        <v>217</v>
      </c>
      <c r="AH96" s="169">
        <v>42387</v>
      </c>
      <c r="AI96" s="169">
        <v>42446</v>
      </c>
      <c r="AJ96" s="411" t="s">
        <v>346</v>
      </c>
      <c r="AK96" s="170" t="s">
        <v>347</v>
      </c>
      <c r="AL96" s="1044" t="s">
        <v>56</v>
      </c>
      <c r="AM96" s="1045">
        <v>3900000</v>
      </c>
      <c r="AN96" s="1045">
        <v>3900000</v>
      </c>
      <c r="AO96" s="32"/>
      <c r="AP96" s="32"/>
      <c r="AQ96" s="32"/>
      <c r="AR96" s="32"/>
      <c r="AS96" s="32"/>
      <c r="AT96" s="32"/>
      <c r="AU96" s="32"/>
      <c r="AV96" s="32"/>
      <c r="AW96" s="32"/>
      <c r="AX96" s="32"/>
      <c r="AY96" s="32"/>
      <c r="AZ96" s="32"/>
    </row>
    <row r="97" spans="1:52" s="12" customFormat="1" ht="95.25" customHeight="1" x14ac:dyDescent="0.25">
      <c r="A97" s="832">
        <v>75</v>
      </c>
      <c r="B97" s="833" t="s">
        <v>986</v>
      </c>
      <c r="C97" s="833">
        <v>80101706</v>
      </c>
      <c r="D97" s="164" t="s">
        <v>120</v>
      </c>
      <c r="E97" s="833" t="s">
        <v>125</v>
      </c>
      <c r="F97" s="833">
        <v>1</v>
      </c>
      <c r="G97" s="834" t="s">
        <v>164</v>
      </c>
      <c r="H97" s="485">
        <v>4</v>
      </c>
      <c r="I97" s="836" t="s">
        <v>96</v>
      </c>
      <c r="J97" s="836" t="s">
        <v>844</v>
      </c>
      <c r="K97" s="833" t="s">
        <v>108</v>
      </c>
      <c r="L97" s="68">
        <v>44000000</v>
      </c>
      <c r="M97" s="69">
        <v>44000000</v>
      </c>
      <c r="N97" s="833" t="s">
        <v>81</v>
      </c>
      <c r="O97" s="833" t="s">
        <v>56</v>
      </c>
      <c r="P97" s="25" t="s">
        <v>126</v>
      </c>
      <c r="Q97" s="1075"/>
      <c r="R97" s="172" t="s">
        <v>1348</v>
      </c>
      <c r="S97" s="172" t="s">
        <v>1349</v>
      </c>
      <c r="T97" s="28">
        <v>42480</v>
      </c>
      <c r="U97" s="1012" t="s">
        <v>1350</v>
      </c>
      <c r="V97" s="181" t="s">
        <v>212</v>
      </c>
      <c r="W97" s="1005">
        <v>33000000</v>
      </c>
      <c r="X97" s="134"/>
      <c r="Y97" s="134">
        <f t="shared" si="2"/>
        <v>33000000</v>
      </c>
      <c r="Z97" s="411" t="s">
        <v>1351</v>
      </c>
      <c r="AA97" s="411" t="s">
        <v>1352</v>
      </c>
      <c r="AB97" s="411" t="s">
        <v>225</v>
      </c>
      <c r="AC97" s="181" t="s">
        <v>1346</v>
      </c>
      <c r="AD97" s="411" t="s">
        <v>56</v>
      </c>
      <c r="AE97" s="411" t="s">
        <v>56</v>
      </c>
      <c r="AF97" s="411" t="s">
        <v>56</v>
      </c>
      <c r="AG97" s="168" t="s">
        <v>1347</v>
      </c>
      <c r="AH97" s="169">
        <v>42480</v>
      </c>
      <c r="AI97" s="169">
        <v>42570</v>
      </c>
      <c r="AJ97" s="411" t="s">
        <v>1353</v>
      </c>
      <c r="AK97" s="134" t="s">
        <v>347</v>
      </c>
      <c r="AL97" s="44" t="s">
        <v>56</v>
      </c>
      <c r="AM97" s="32" t="s">
        <v>56</v>
      </c>
      <c r="AN97" s="32" t="s">
        <v>56</v>
      </c>
      <c r="AO97" s="32" t="s">
        <v>56</v>
      </c>
      <c r="AP97" s="32" t="s">
        <v>56</v>
      </c>
      <c r="AQ97" s="32" t="s">
        <v>56</v>
      </c>
      <c r="AR97" s="32">
        <v>11000000</v>
      </c>
      <c r="AS97" s="32"/>
      <c r="AT97" s="32">
        <v>11000000</v>
      </c>
      <c r="AU97" s="32"/>
      <c r="AV97" s="32"/>
      <c r="AW97" s="32"/>
      <c r="AX97" s="32"/>
      <c r="AY97" s="32"/>
      <c r="AZ97" s="32"/>
    </row>
    <row r="98" spans="1:52" s="12" customFormat="1" ht="105" customHeight="1" x14ac:dyDescent="0.25">
      <c r="A98" s="832">
        <v>76</v>
      </c>
      <c r="B98" s="833" t="s">
        <v>987</v>
      </c>
      <c r="C98" s="833">
        <v>80101706</v>
      </c>
      <c r="D98" s="164" t="s">
        <v>121</v>
      </c>
      <c r="E98" s="833" t="s">
        <v>125</v>
      </c>
      <c r="F98" s="833">
        <v>1</v>
      </c>
      <c r="G98" s="834" t="s">
        <v>166</v>
      </c>
      <c r="H98" s="485">
        <v>10</v>
      </c>
      <c r="I98" s="836" t="s">
        <v>96</v>
      </c>
      <c r="J98" s="836" t="s">
        <v>128</v>
      </c>
      <c r="K98" s="833" t="s">
        <v>108</v>
      </c>
      <c r="L98" s="68">
        <v>48400000</v>
      </c>
      <c r="M98" s="69">
        <v>48400000</v>
      </c>
      <c r="N98" s="833" t="s">
        <v>81</v>
      </c>
      <c r="O98" s="833" t="s">
        <v>56</v>
      </c>
      <c r="P98" s="25" t="s">
        <v>126</v>
      </c>
      <c r="Q98" s="1075"/>
      <c r="R98" s="172" t="s">
        <v>750</v>
      </c>
      <c r="S98" s="172" t="s">
        <v>751</v>
      </c>
      <c r="T98" s="28">
        <v>42426</v>
      </c>
      <c r="U98" s="1012" t="s">
        <v>752</v>
      </c>
      <c r="V98" s="181" t="s">
        <v>212</v>
      </c>
      <c r="W98" s="30">
        <v>45000000</v>
      </c>
      <c r="X98" s="30"/>
      <c r="Y98" s="134">
        <f t="shared" si="2"/>
        <v>45000000</v>
      </c>
      <c r="Z98" s="181" t="s">
        <v>753</v>
      </c>
      <c r="AA98" s="181" t="s">
        <v>754</v>
      </c>
      <c r="AB98" s="181" t="s">
        <v>215</v>
      </c>
      <c r="AC98" s="181" t="s">
        <v>755</v>
      </c>
      <c r="AD98" s="181" t="s">
        <v>56</v>
      </c>
      <c r="AE98" s="181" t="s">
        <v>56</v>
      </c>
      <c r="AF98" s="181" t="s">
        <v>56</v>
      </c>
      <c r="AG98" s="1016" t="s">
        <v>227</v>
      </c>
      <c r="AH98" s="1014">
        <v>42426</v>
      </c>
      <c r="AI98" s="1014">
        <v>42729</v>
      </c>
      <c r="AJ98" s="181" t="s">
        <v>248</v>
      </c>
      <c r="AK98" s="1017" t="s">
        <v>241</v>
      </c>
      <c r="AL98" s="87" t="s">
        <v>56</v>
      </c>
      <c r="AM98" s="87" t="s">
        <v>56</v>
      </c>
      <c r="AN98" s="87" t="s">
        <v>56</v>
      </c>
      <c r="AO98" s="87" t="s">
        <v>56</v>
      </c>
      <c r="AP98" s="32">
        <v>4500000</v>
      </c>
      <c r="AQ98" s="32">
        <v>4500000</v>
      </c>
      <c r="AR98" s="32">
        <v>4500000</v>
      </c>
      <c r="AS98" s="32"/>
      <c r="AT98" s="32">
        <v>4500000</v>
      </c>
      <c r="AU98" s="32">
        <v>4500000</v>
      </c>
      <c r="AV98" s="32"/>
      <c r="AW98" s="32"/>
      <c r="AX98" s="32"/>
      <c r="AY98" s="32"/>
      <c r="AZ98" s="32"/>
    </row>
    <row r="99" spans="1:52" s="12" customFormat="1" ht="136.5" customHeight="1" x14ac:dyDescent="0.25">
      <c r="A99" s="832">
        <v>77</v>
      </c>
      <c r="B99" s="833" t="s">
        <v>989</v>
      </c>
      <c r="C99" s="833">
        <v>80101706</v>
      </c>
      <c r="D99" s="164" t="s">
        <v>650</v>
      </c>
      <c r="E99" s="833" t="s">
        <v>125</v>
      </c>
      <c r="F99" s="833">
        <v>1</v>
      </c>
      <c r="G99" s="834" t="s">
        <v>166</v>
      </c>
      <c r="H99" s="485">
        <v>1</v>
      </c>
      <c r="I99" s="836" t="s">
        <v>96</v>
      </c>
      <c r="J99" s="836" t="s">
        <v>127</v>
      </c>
      <c r="K99" s="833" t="s">
        <v>108</v>
      </c>
      <c r="L99" s="68">
        <v>4000000</v>
      </c>
      <c r="M99" s="69">
        <v>4000000</v>
      </c>
      <c r="N99" s="833" t="s">
        <v>81</v>
      </c>
      <c r="O99" s="833" t="s">
        <v>56</v>
      </c>
      <c r="P99" s="25" t="s">
        <v>126</v>
      </c>
      <c r="Q99" s="1075"/>
      <c r="R99" s="172" t="s">
        <v>724</v>
      </c>
      <c r="S99" s="172" t="s">
        <v>756</v>
      </c>
      <c r="T99" s="28">
        <v>42416</v>
      </c>
      <c r="U99" s="831" t="s">
        <v>757</v>
      </c>
      <c r="V99" s="181" t="s">
        <v>212</v>
      </c>
      <c r="W99" s="30">
        <v>4000000</v>
      </c>
      <c r="X99" s="30"/>
      <c r="Y99" s="134">
        <f t="shared" si="2"/>
        <v>4000000</v>
      </c>
      <c r="Z99" s="181" t="s">
        <v>758</v>
      </c>
      <c r="AA99" s="181" t="s">
        <v>759</v>
      </c>
      <c r="AB99" s="181" t="s">
        <v>225</v>
      </c>
      <c r="AC99" s="181" t="s">
        <v>760</v>
      </c>
      <c r="AD99" s="181" t="s">
        <v>56</v>
      </c>
      <c r="AE99" s="181" t="s">
        <v>56</v>
      </c>
      <c r="AF99" s="181" t="s">
        <v>56</v>
      </c>
      <c r="AG99" s="1016" t="s">
        <v>761</v>
      </c>
      <c r="AH99" s="1014">
        <v>42416</v>
      </c>
      <c r="AI99" s="1014">
        <v>42444</v>
      </c>
      <c r="AJ99" s="181" t="s">
        <v>389</v>
      </c>
      <c r="AK99" s="1017" t="s">
        <v>390</v>
      </c>
      <c r="AL99" s="1044" t="s">
        <v>56</v>
      </c>
      <c r="AM99" s="1045">
        <v>4000000</v>
      </c>
      <c r="AN99" s="32"/>
      <c r="AO99" s="32"/>
      <c r="AP99" s="32"/>
      <c r="AQ99" s="32"/>
      <c r="AR99" s="32"/>
      <c r="AS99" s="32"/>
      <c r="AT99" s="32"/>
      <c r="AU99" s="32"/>
      <c r="AV99" s="32"/>
      <c r="AW99" s="32"/>
      <c r="AX99" s="32"/>
      <c r="AY99" s="32"/>
      <c r="AZ99" s="32"/>
    </row>
    <row r="100" spans="1:52" s="12" customFormat="1" ht="137.25" customHeight="1" x14ac:dyDescent="0.25">
      <c r="A100" s="832">
        <v>78</v>
      </c>
      <c r="B100" s="833" t="s">
        <v>989</v>
      </c>
      <c r="C100" s="833">
        <v>80101706</v>
      </c>
      <c r="D100" s="164" t="s">
        <v>650</v>
      </c>
      <c r="E100" s="833" t="s">
        <v>125</v>
      </c>
      <c r="F100" s="833">
        <v>1</v>
      </c>
      <c r="G100" s="834" t="s">
        <v>166</v>
      </c>
      <c r="H100" s="485">
        <v>1</v>
      </c>
      <c r="I100" s="836" t="s">
        <v>96</v>
      </c>
      <c r="J100" s="836" t="s">
        <v>127</v>
      </c>
      <c r="K100" s="833" t="s">
        <v>108</v>
      </c>
      <c r="L100" s="68">
        <v>4000000</v>
      </c>
      <c r="M100" s="69">
        <v>4000000</v>
      </c>
      <c r="N100" s="833" t="s">
        <v>81</v>
      </c>
      <c r="O100" s="833" t="s">
        <v>56</v>
      </c>
      <c r="P100" s="25" t="s">
        <v>126</v>
      </c>
      <c r="Q100" s="1075"/>
      <c r="R100" s="172" t="s">
        <v>725</v>
      </c>
      <c r="S100" s="172" t="s">
        <v>762</v>
      </c>
      <c r="T100" s="28">
        <v>42416</v>
      </c>
      <c r="U100" s="831" t="s">
        <v>763</v>
      </c>
      <c r="V100" s="181" t="s">
        <v>212</v>
      </c>
      <c r="W100" s="30">
        <v>4000000</v>
      </c>
      <c r="X100" s="30"/>
      <c r="Y100" s="134">
        <f t="shared" si="2"/>
        <v>4000000</v>
      </c>
      <c r="Z100" s="181" t="s">
        <v>758</v>
      </c>
      <c r="AA100" s="181" t="s">
        <v>764</v>
      </c>
      <c r="AB100" s="181" t="s">
        <v>225</v>
      </c>
      <c r="AC100" s="181" t="s">
        <v>765</v>
      </c>
      <c r="AD100" s="181" t="s">
        <v>56</v>
      </c>
      <c r="AE100" s="181" t="s">
        <v>56</v>
      </c>
      <c r="AF100" s="181" t="s">
        <v>56</v>
      </c>
      <c r="AG100" s="1016" t="s">
        <v>761</v>
      </c>
      <c r="AH100" s="1014">
        <v>42416</v>
      </c>
      <c r="AI100" s="1014">
        <v>42444</v>
      </c>
      <c r="AJ100" s="181" t="s">
        <v>389</v>
      </c>
      <c r="AK100" s="1017" t="s">
        <v>390</v>
      </c>
      <c r="AL100" s="1044" t="s">
        <v>56</v>
      </c>
      <c r="AM100" s="1045">
        <v>4000000</v>
      </c>
      <c r="AN100" s="32"/>
      <c r="AO100" s="32"/>
      <c r="AP100" s="32"/>
      <c r="AQ100" s="32"/>
      <c r="AR100" s="32"/>
      <c r="AS100" s="32"/>
      <c r="AT100" s="32"/>
      <c r="AU100" s="32"/>
      <c r="AV100" s="32"/>
      <c r="AW100" s="32"/>
      <c r="AX100" s="32"/>
      <c r="AY100" s="32"/>
      <c r="AZ100" s="32"/>
    </row>
    <row r="101" spans="1:52" s="12" customFormat="1" ht="180" customHeight="1" x14ac:dyDescent="0.25">
      <c r="A101" s="832">
        <v>79</v>
      </c>
      <c r="B101" s="833" t="s">
        <v>989</v>
      </c>
      <c r="C101" s="833">
        <v>80101706</v>
      </c>
      <c r="D101" s="164" t="s">
        <v>122</v>
      </c>
      <c r="E101" s="833" t="s">
        <v>125</v>
      </c>
      <c r="F101" s="833">
        <v>1</v>
      </c>
      <c r="G101" s="412" t="s">
        <v>159</v>
      </c>
      <c r="H101" s="485">
        <v>2</v>
      </c>
      <c r="I101" s="836" t="s">
        <v>96</v>
      </c>
      <c r="J101" s="836" t="s">
        <v>127</v>
      </c>
      <c r="K101" s="833" t="s">
        <v>108</v>
      </c>
      <c r="L101" s="68">
        <v>10000000</v>
      </c>
      <c r="M101" s="69">
        <v>10000000</v>
      </c>
      <c r="N101" s="833" t="s">
        <v>81</v>
      </c>
      <c r="O101" s="833" t="s">
        <v>56</v>
      </c>
      <c r="P101" s="25" t="s">
        <v>126</v>
      </c>
      <c r="Q101" s="1075"/>
      <c r="R101" s="172" t="s">
        <v>383</v>
      </c>
      <c r="S101" s="982" t="s">
        <v>384</v>
      </c>
      <c r="T101" s="166">
        <v>42391</v>
      </c>
      <c r="U101" s="1091" t="s">
        <v>385</v>
      </c>
      <c r="V101" s="411" t="s">
        <v>212</v>
      </c>
      <c r="W101" s="134">
        <v>10000000</v>
      </c>
      <c r="X101" s="134"/>
      <c r="Y101" s="134">
        <f t="shared" si="2"/>
        <v>10000000</v>
      </c>
      <c r="Z101" s="411" t="s">
        <v>386</v>
      </c>
      <c r="AA101" s="411" t="s">
        <v>387</v>
      </c>
      <c r="AB101" s="411" t="s">
        <v>225</v>
      </c>
      <c r="AC101" s="411" t="s">
        <v>388</v>
      </c>
      <c r="AD101" s="411" t="s">
        <v>56</v>
      </c>
      <c r="AE101" s="411" t="s">
        <v>56</v>
      </c>
      <c r="AF101" s="411" t="s">
        <v>56</v>
      </c>
      <c r="AG101" s="411" t="s">
        <v>217</v>
      </c>
      <c r="AH101" s="169">
        <v>42391</v>
      </c>
      <c r="AI101" s="169">
        <v>42450</v>
      </c>
      <c r="AJ101" s="411" t="s">
        <v>389</v>
      </c>
      <c r="AK101" s="170" t="s">
        <v>390</v>
      </c>
      <c r="AL101" s="1044" t="s">
        <v>56</v>
      </c>
      <c r="AM101" s="1045">
        <v>5000000</v>
      </c>
      <c r="AN101" s="1045">
        <v>5000000</v>
      </c>
      <c r="AO101" s="32"/>
      <c r="AP101" s="32"/>
      <c r="AQ101" s="32"/>
      <c r="AR101" s="32"/>
      <c r="AS101" s="32"/>
      <c r="AT101" s="32"/>
      <c r="AU101" s="32"/>
      <c r="AV101" s="32"/>
      <c r="AW101" s="32"/>
      <c r="AX101" s="32"/>
      <c r="AY101" s="32"/>
      <c r="AZ101" s="32"/>
    </row>
    <row r="102" spans="1:52" s="12" customFormat="1" ht="145.5" customHeight="1" x14ac:dyDescent="0.25">
      <c r="A102" s="832">
        <v>80</v>
      </c>
      <c r="B102" s="833" t="s">
        <v>989</v>
      </c>
      <c r="C102" s="833">
        <v>80101706</v>
      </c>
      <c r="D102" s="164" t="s">
        <v>123</v>
      </c>
      <c r="E102" s="833" t="s">
        <v>125</v>
      </c>
      <c r="F102" s="833">
        <v>1</v>
      </c>
      <c r="G102" s="834" t="s">
        <v>166</v>
      </c>
      <c r="H102" s="485">
        <v>1</v>
      </c>
      <c r="I102" s="836" t="s">
        <v>96</v>
      </c>
      <c r="J102" s="836" t="s">
        <v>127</v>
      </c>
      <c r="K102" s="833" t="s">
        <v>108</v>
      </c>
      <c r="L102" s="68">
        <v>2300000</v>
      </c>
      <c r="M102" s="69">
        <v>2300000</v>
      </c>
      <c r="N102" s="833" t="s">
        <v>81</v>
      </c>
      <c r="O102" s="833" t="s">
        <v>56</v>
      </c>
      <c r="P102" s="25" t="s">
        <v>126</v>
      </c>
      <c r="Q102" s="1075"/>
      <c r="R102" s="172" t="s">
        <v>682</v>
      </c>
      <c r="S102" s="172" t="s">
        <v>766</v>
      </c>
      <c r="T102" s="28">
        <v>42412</v>
      </c>
      <c r="U102" s="1012" t="s">
        <v>767</v>
      </c>
      <c r="V102" s="181" t="s">
        <v>212</v>
      </c>
      <c r="W102" s="30">
        <v>2300000</v>
      </c>
      <c r="X102" s="30"/>
      <c r="Y102" s="134">
        <f t="shared" si="2"/>
        <v>2300000</v>
      </c>
      <c r="Z102" s="181" t="s">
        <v>768</v>
      </c>
      <c r="AA102" s="181" t="s">
        <v>769</v>
      </c>
      <c r="AB102" s="181" t="s">
        <v>35</v>
      </c>
      <c r="AC102" s="181" t="s">
        <v>770</v>
      </c>
      <c r="AD102" s="181" t="s">
        <v>56</v>
      </c>
      <c r="AE102" s="181" t="s">
        <v>56</v>
      </c>
      <c r="AF102" s="181" t="s">
        <v>56</v>
      </c>
      <c r="AG102" s="181" t="s">
        <v>690</v>
      </c>
      <c r="AH102" s="1014">
        <v>42412</v>
      </c>
      <c r="AI102" s="1014">
        <v>42440</v>
      </c>
      <c r="AJ102" s="181" t="s">
        <v>389</v>
      </c>
      <c r="AK102" s="1017" t="s">
        <v>390</v>
      </c>
      <c r="AL102" s="1044" t="s">
        <v>56</v>
      </c>
      <c r="AM102" s="1045">
        <v>2300000</v>
      </c>
      <c r="AN102" s="32"/>
      <c r="AO102" s="32"/>
      <c r="AP102" s="32"/>
      <c r="AQ102" s="32"/>
      <c r="AR102" s="32"/>
      <c r="AS102" s="32"/>
      <c r="AT102" s="32"/>
      <c r="AU102" s="32"/>
      <c r="AV102" s="32"/>
      <c r="AW102" s="32"/>
      <c r="AX102" s="32"/>
      <c r="AY102" s="32"/>
      <c r="AZ102" s="32"/>
    </row>
    <row r="103" spans="1:52" s="12" customFormat="1" ht="168" customHeight="1" x14ac:dyDescent="0.25">
      <c r="A103" s="832">
        <v>81</v>
      </c>
      <c r="B103" s="833" t="s">
        <v>989</v>
      </c>
      <c r="C103" s="833">
        <v>80101706</v>
      </c>
      <c r="D103" s="164" t="s">
        <v>123</v>
      </c>
      <c r="E103" s="833" t="s">
        <v>125</v>
      </c>
      <c r="F103" s="833">
        <v>1</v>
      </c>
      <c r="G103" s="834" t="s">
        <v>166</v>
      </c>
      <c r="H103" s="485">
        <v>1</v>
      </c>
      <c r="I103" s="836" t="s">
        <v>96</v>
      </c>
      <c r="J103" s="836" t="s">
        <v>127</v>
      </c>
      <c r="K103" s="833" t="s">
        <v>108</v>
      </c>
      <c r="L103" s="68">
        <v>2300000</v>
      </c>
      <c r="M103" s="69">
        <v>2300000</v>
      </c>
      <c r="N103" s="833" t="s">
        <v>81</v>
      </c>
      <c r="O103" s="833" t="s">
        <v>56</v>
      </c>
      <c r="P103" s="25" t="s">
        <v>126</v>
      </c>
      <c r="Q103" s="1075"/>
      <c r="R103" s="172" t="s">
        <v>683</v>
      </c>
      <c r="S103" s="172" t="s">
        <v>684</v>
      </c>
      <c r="T103" s="28">
        <v>42412</v>
      </c>
      <c r="U103" s="1012" t="s">
        <v>767</v>
      </c>
      <c r="V103" s="181" t="s">
        <v>212</v>
      </c>
      <c r="W103" s="30">
        <v>2300000</v>
      </c>
      <c r="X103" s="30"/>
      <c r="Y103" s="134">
        <f t="shared" si="2"/>
        <v>2300000</v>
      </c>
      <c r="Z103" s="181" t="s">
        <v>768</v>
      </c>
      <c r="AA103" s="181" t="s">
        <v>771</v>
      </c>
      <c r="AB103" s="181" t="s">
        <v>225</v>
      </c>
      <c r="AC103" s="181" t="s">
        <v>772</v>
      </c>
      <c r="AD103" s="181" t="s">
        <v>56</v>
      </c>
      <c r="AE103" s="181" t="s">
        <v>56</v>
      </c>
      <c r="AF103" s="181" t="s">
        <v>56</v>
      </c>
      <c r="AG103" s="181" t="s">
        <v>690</v>
      </c>
      <c r="AH103" s="1014">
        <v>42412</v>
      </c>
      <c r="AI103" s="1014">
        <v>42440</v>
      </c>
      <c r="AJ103" s="181" t="s">
        <v>389</v>
      </c>
      <c r="AK103" s="1017" t="s">
        <v>390</v>
      </c>
      <c r="AL103" s="1044" t="s">
        <v>56</v>
      </c>
      <c r="AM103" s="1044" t="s">
        <v>56</v>
      </c>
      <c r="AN103" s="1045">
        <v>2300000</v>
      </c>
      <c r="AO103" s="32"/>
      <c r="AP103" s="32"/>
      <c r="AQ103" s="32"/>
      <c r="AR103" s="32"/>
      <c r="AS103" s="32"/>
      <c r="AT103" s="32"/>
      <c r="AU103" s="32"/>
      <c r="AV103" s="32"/>
      <c r="AW103" s="32"/>
      <c r="AX103" s="32"/>
      <c r="AY103" s="32"/>
      <c r="AZ103" s="32"/>
    </row>
    <row r="104" spans="1:52" s="12" customFormat="1" ht="165" customHeight="1" x14ac:dyDescent="0.25">
      <c r="A104" s="832">
        <v>82</v>
      </c>
      <c r="B104" s="833" t="s">
        <v>989</v>
      </c>
      <c r="C104" s="833">
        <v>80101706</v>
      </c>
      <c r="D104" s="164" t="s">
        <v>124</v>
      </c>
      <c r="E104" s="833" t="s">
        <v>125</v>
      </c>
      <c r="F104" s="833">
        <v>1</v>
      </c>
      <c r="G104" s="412" t="s">
        <v>159</v>
      </c>
      <c r="H104" s="485">
        <v>2</v>
      </c>
      <c r="I104" s="836" t="s">
        <v>96</v>
      </c>
      <c r="J104" s="836" t="s">
        <v>127</v>
      </c>
      <c r="K104" s="833" t="s">
        <v>108</v>
      </c>
      <c r="L104" s="68">
        <v>3000000</v>
      </c>
      <c r="M104" s="69">
        <v>3000000</v>
      </c>
      <c r="N104" s="833" t="s">
        <v>81</v>
      </c>
      <c r="O104" s="833" t="s">
        <v>56</v>
      </c>
      <c r="P104" s="25" t="s">
        <v>126</v>
      </c>
      <c r="Q104" s="1075"/>
      <c r="R104" s="172" t="s">
        <v>623</v>
      </c>
      <c r="S104" s="172" t="s">
        <v>624</v>
      </c>
      <c r="T104" s="28">
        <v>42391</v>
      </c>
      <c r="U104" s="29" t="s">
        <v>625</v>
      </c>
      <c r="V104" s="181" t="s">
        <v>296</v>
      </c>
      <c r="W104" s="30">
        <v>3000000</v>
      </c>
      <c r="X104" s="30"/>
      <c r="Y104" s="134">
        <f t="shared" si="2"/>
        <v>3000000</v>
      </c>
      <c r="Z104" s="181" t="s">
        <v>626</v>
      </c>
      <c r="AA104" s="181" t="s">
        <v>627</v>
      </c>
      <c r="AB104" s="181" t="s">
        <v>225</v>
      </c>
      <c r="AC104" s="181" t="s">
        <v>628</v>
      </c>
      <c r="AD104" s="181" t="s">
        <v>56</v>
      </c>
      <c r="AE104" s="181" t="s">
        <v>56</v>
      </c>
      <c r="AF104" s="181" t="s">
        <v>56</v>
      </c>
      <c r="AG104" s="181" t="s">
        <v>217</v>
      </c>
      <c r="AH104" s="1014">
        <v>42391</v>
      </c>
      <c r="AI104" s="1014">
        <v>42450</v>
      </c>
      <c r="AJ104" s="181" t="s">
        <v>389</v>
      </c>
      <c r="AK104" s="1017" t="s">
        <v>390</v>
      </c>
      <c r="AL104" s="1044" t="s">
        <v>56</v>
      </c>
      <c r="AM104" s="1045">
        <v>1500000</v>
      </c>
      <c r="AN104" s="1045">
        <v>1500000</v>
      </c>
      <c r="AO104" s="32"/>
      <c r="AP104" s="32"/>
      <c r="AQ104" s="32"/>
      <c r="AR104" s="32"/>
      <c r="AS104" s="32"/>
      <c r="AT104" s="32"/>
      <c r="AU104" s="32"/>
      <c r="AV104" s="32"/>
      <c r="AW104" s="32"/>
      <c r="AX104" s="32"/>
      <c r="AY104" s="32"/>
      <c r="AZ104" s="32"/>
    </row>
    <row r="105" spans="1:52" s="12" customFormat="1" ht="165" customHeight="1" x14ac:dyDescent="0.25">
      <c r="A105" s="832">
        <v>83</v>
      </c>
      <c r="B105" s="833" t="s">
        <v>989</v>
      </c>
      <c r="C105" s="833">
        <v>80101706</v>
      </c>
      <c r="D105" s="164" t="s">
        <v>124</v>
      </c>
      <c r="E105" s="833" t="s">
        <v>125</v>
      </c>
      <c r="F105" s="833">
        <v>1</v>
      </c>
      <c r="G105" s="834" t="s">
        <v>166</v>
      </c>
      <c r="H105" s="485">
        <v>1</v>
      </c>
      <c r="I105" s="836" t="s">
        <v>96</v>
      </c>
      <c r="J105" s="836" t="s">
        <v>127</v>
      </c>
      <c r="K105" s="833" t="s">
        <v>108</v>
      </c>
      <c r="L105" s="68">
        <v>1500000</v>
      </c>
      <c r="M105" s="69">
        <v>1500000</v>
      </c>
      <c r="N105" s="833" t="s">
        <v>81</v>
      </c>
      <c r="O105" s="833" t="s">
        <v>56</v>
      </c>
      <c r="P105" s="25" t="s">
        <v>126</v>
      </c>
      <c r="Q105" s="1075"/>
      <c r="R105" s="172" t="s">
        <v>685</v>
      </c>
      <c r="S105" s="172" t="s">
        <v>686</v>
      </c>
      <c r="T105" s="28">
        <v>42412</v>
      </c>
      <c r="U105" s="1012" t="s">
        <v>687</v>
      </c>
      <c r="V105" s="181" t="s">
        <v>296</v>
      </c>
      <c r="W105" s="30">
        <v>1500000</v>
      </c>
      <c r="X105" s="30"/>
      <c r="Y105" s="134">
        <f t="shared" si="2"/>
        <v>1500000</v>
      </c>
      <c r="Z105" s="181" t="s">
        <v>688</v>
      </c>
      <c r="AA105" s="181" t="s">
        <v>689</v>
      </c>
      <c r="AB105" s="181" t="s">
        <v>225</v>
      </c>
      <c r="AC105" s="181" t="s">
        <v>773</v>
      </c>
      <c r="AD105" s="181" t="s">
        <v>56</v>
      </c>
      <c r="AE105" s="181" t="s">
        <v>56</v>
      </c>
      <c r="AF105" s="181" t="s">
        <v>56</v>
      </c>
      <c r="AG105" s="181" t="s">
        <v>690</v>
      </c>
      <c r="AH105" s="1014">
        <v>42412</v>
      </c>
      <c r="AI105" s="1014">
        <v>42440</v>
      </c>
      <c r="AJ105" s="181" t="s">
        <v>389</v>
      </c>
      <c r="AK105" s="1017" t="s">
        <v>390</v>
      </c>
      <c r="AL105" s="1044" t="s">
        <v>56</v>
      </c>
      <c r="AM105" s="1045">
        <v>1500000</v>
      </c>
      <c r="AN105" s="32"/>
      <c r="AO105" s="32"/>
      <c r="AP105" s="32"/>
      <c r="AQ105" s="32"/>
      <c r="AR105" s="32"/>
      <c r="AS105" s="32"/>
      <c r="AT105" s="32"/>
      <c r="AU105" s="32"/>
      <c r="AV105" s="32"/>
      <c r="AW105" s="32"/>
      <c r="AX105" s="32"/>
      <c r="AY105" s="32"/>
      <c r="AZ105" s="32"/>
    </row>
    <row r="106" spans="1:52" ht="84.75" customHeight="1" x14ac:dyDescent="0.25">
      <c r="A106" s="832">
        <v>84</v>
      </c>
      <c r="B106" s="836" t="s">
        <v>998</v>
      </c>
      <c r="C106" s="836">
        <v>43233004</v>
      </c>
      <c r="D106" s="1092" t="s">
        <v>193</v>
      </c>
      <c r="E106" s="836" t="s">
        <v>125</v>
      </c>
      <c r="F106" s="833">
        <v>1</v>
      </c>
      <c r="G106" s="834" t="s">
        <v>159</v>
      </c>
      <c r="H106" s="485">
        <v>12</v>
      </c>
      <c r="I106" s="836" t="s">
        <v>140</v>
      </c>
      <c r="J106" s="836" t="s">
        <v>129</v>
      </c>
      <c r="K106" s="836" t="s">
        <v>108</v>
      </c>
      <c r="L106" s="1093">
        <f>70000000+4910000</f>
        <v>74910000</v>
      </c>
      <c r="M106" s="1093">
        <f>70000000+4910000</f>
        <v>74910000</v>
      </c>
      <c r="N106" s="836" t="s">
        <v>81</v>
      </c>
      <c r="O106" s="836" t="s">
        <v>56</v>
      </c>
      <c r="P106" s="58" t="s">
        <v>61</v>
      </c>
      <c r="Q106" s="1094"/>
      <c r="R106" s="172" t="s">
        <v>1007</v>
      </c>
      <c r="S106" s="172" t="s">
        <v>1008</v>
      </c>
      <c r="T106" s="166">
        <v>42451</v>
      </c>
      <c r="U106" s="1012" t="s">
        <v>1009</v>
      </c>
      <c r="V106" s="411" t="s">
        <v>594</v>
      </c>
      <c r="W106" s="134">
        <v>64500000</v>
      </c>
      <c r="X106" s="181"/>
      <c r="Y106" s="134">
        <v>64500000</v>
      </c>
      <c r="Z106" s="411" t="s">
        <v>1010</v>
      </c>
      <c r="AA106" s="411"/>
      <c r="AB106" s="411" t="s">
        <v>350</v>
      </c>
      <c r="AC106" s="181"/>
      <c r="AD106" s="411" t="s">
        <v>56</v>
      </c>
      <c r="AE106" s="411" t="s">
        <v>56</v>
      </c>
      <c r="AF106" s="411" t="s">
        <v>56</v>
      </c>
      <c r="AG106" s="168" t="s">
        <v>1011</v>
      </c>
      <c r="AH106" s="169">
        <v>42451</v>
      </c>
      <c r="AI106" s="169">
        <v>42815</v>
      </c>
      <c r="AJ106" s="411" t="s">
        <v>1012</v>
      </c>
      <c r="AK106" s="170" t="s">
        <v>353</v>
      </c>
      <c r="AL106" s="1095" t="s">
        <v>56</v>
      </c>
      <c r="AM106" s="1095" t="s">
        <v>56</v>
      </c>
      <c r="AN106" s="1095" t="s">
        <v>56</v>
      </c>
      <c r="AO106" s="1095" t="s">
        <v>56</v>
      </c>
      <c r="AP106" s="32">
        <v>64500000</v>
      </c>
      <c r="AQ106" s="1095" t="s">
        <v>56</v>
      </c>
      <c r="AR106" s="1095" t="s">
        <v>56</v>
      </c>
      <c r="AS106" s="70">
        <v>64500000</v>
      </c>
      <c r="AT106" s="1095" t="s">
        <v>56</v>
      </c>
      <c r="AU106" s="1095" t="s">
        <v>56</v>
      </c>
      <c r="AV106" s="1095" t="s">
        <v>56</v>
      </c>
      <c r="AW106" s="1095" t="s">
        <v>56</v>
      </c>
      <c r="AX106" s="1095" t="s">
        <v>56</v>
      </c>
      <c r="AY106" s="1095" t="s">
        <v>56</v>
      </c>
      <c r="AZ106" s="1095" t="s">
        <v>56</v>
      </c>
    </row>
    <row r="107" spans="1:52" ht="99.75" customHeight="1" x14ac:dyDescent="0.25">
      <c r="A107" s="938">
        <v>85</v>
      </c>
      <c r="B107" s="940" t="s">
        <v>998</v>
      </c>
      <c r="C107" s="838">
        <v>81112501</v>
      </c>
      <c r="D107" s="942" t="s">
        <v>2815</v>
      </c>
      <c r="E107" s="940" t="s">
        <v>125</v>
      </c>
      <c r="F107" s="944">
        <v>1</v>
      </c>
      <c r="G107" s="946" t="s">
        <v>167</v>
      </c>
      <c r="H107" s="952">
        <v>12</v>
      </c>
      <c r="I107" s="954" t="s">
        <v>89</v>
      </c>
      <c r="J107" s="836" t="s">
        <v>129</v>
      </c>
      <c r="K107" s="836" t="s">
        <v>108</v>
      </c>
      <c r="L107" s="56">
        <f>7000000*1.2</f>
        <v>8400000</v>
      </c>
      <c r="M107" s="57">
        <v>8400000</v>
      </c>
      <c r="N107" s="940" t="s">
        <v>81</v>
      </c>
      <c r="O107" s="940" t="s">
        <v>56</v>
      </c>
      <c r="P107" s="956" t="s">
        <v>61</v>
      </c>
      <c r="Q107" s="1094"/>
      <c r="R107" s="948"/>
      <c r="S107" s="165"/>
      <c r="T107" s="166"/>
      <c r="U107" s="164"/>
      <c r="V107" s="411"/>
      <c r="W107" s="948"/>
      <c r="X107" s="948"/>
      <c r="Y107" s="950">
        <f>SUM(W107+X107)</f>
        <v>0</v>
      </c>
      <c r="Z107" s="948"/>
      <c r="AA107" s="948"/>
      <c r="AB107" s="948"/>
      <c r="AC107" s="948"/>
      <c r="AD107" s="948"/>
      <c r="AE107" s="948"/>
      <c r="AF107" s="948"/>
      <c r="AG107" s="948"/>
      <c r="AH107" s="948"/>
      <c r="AI107" s="948"/>
      <c r="AJ107" s="948"/>
      <c r="AK107" s="948"/>
      <c r="AL107" s="948"/>
      <c r="AM107" s="948"/>
      <c r="AN107" s="948"/>
      <c r="AO107" s="948"/>
      <c r="AP107" s="948"/>
      <c r="AQ107" s="948"/>
      <c r="AR107" s="948"/>
      <c r="AS107" s="948"/>
      <c r="AT107" s="948"/>
      <c r="AU107" s="948"/>
      <c r="AV107" s="948"/>
      <c r="AW107" s="948"/>
      <c r="AX107" s="948"/>
      <c r="AY107" s="948"/>
      <c r="AZ107" s="948"/>
    </row>
    <row r="108" spans="1:52" ht="99.75" customHeight="1" x14ac:dyDescent="0.25">
      <c r="A108" s="939"/>
      <c r="B108" s="941"/>
      <c r="C108" s="839"/>
      <c r="D108" s="943"/>
      <c r="E108" s="941"/>
      <c r="F108" s="945"/>
      <c r="G108" s="947"/>
      <c r="H108" s="953"/>
      <c r="I108" s="955"/>
      <c r="J108" s="836" t="s">
        <v>2846</v>
      </c>
      <c r="K108" s="836" t="s">
        <v>108</v>
      </c>
      <c r="L108" s="56">
        <v>62782253.799999997</v>
      </c>
      <c r="M108" s="57">
        <v>62782253.799999997</v>
      </c>
      <c r="N108" s="941"/>
      <c r="O108" s="941"/>
      <c r="P108" s="957"/>
      <c r="Q108" s="1094"/>
      <c r="R108" s="949"/>
      <c r="S108" s="165"/>
      <c r="T108" s="166"/>
      <c r="U108" s="164"/>
      <c r="V108" s="411"/>
      <c r="W108" s="949"/>
      <c r="X108" s="949"/>
      <c r="Y108" s="951"/>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49"/>
      <c r="AU108" s="949"/>
      <c r="AV108" s="949"/>
      <c r="AW108" s="949"/>
      <c r="AX108" s="949"/>
      <c r="AY108" s="949"/>
      <c r="AZ108" s="949"/>
    </row>
    <row r="109" spans="1:52" ht="100.5" customHeight="1" x14ac:dyDescent="0.25">
      <c r="A109" s="832">
        <v>86</v>
      </c>
      <c r="B109" s="836" t="s">
        <v>998</v>
      </c>
      <c r="C109" s="836">
        <v>71151007</v>
      </c>
      <c r="D109" s="171" t="s">
        <v>2820</v>
      </c>
      <c r="E109" s="836" t="s">
        <v>95</v>
      </c>
      <c r="F109" s="833">
        <v>1</v>
      </c>
      <c r="G109" s="618" t="s">
        <v>163</v>
      </c>
      <c r="H109" s="485">
        <v>4</v>
      </c>
      <c r="I109" s="73" t="s">
        <v>2614</v>
      </c>
      <c r="J109" s="836" t="s">
        <v>129</v>
      </c>
      <c r="K109" s="836" t="s">
        <v>108</v>
      </c>
      <c r="L109" s="69">
        <v>43700000</v>
      </c>
      <c r="M109" s="69">
        <v>43700000</v>
      </c>
      <c r="N109" s="836" t="s">
        <v>81</v>
      </c>
      <c r="O109" s="836" t="s">
        <v>56</v>
      </c>
      <c r="P109" s="58" t="s">
        <v>61</v>
      </c>
      <c r="Q109" s="1096"/>
      <c r="R109" s="165"/>
      <c r="S109" s="165"/>
      <c r="T109" s="166"/>
      <c r="U109" s="164"/>
      <c r="V109" s="167"/>
      <c r="W109" s="134"/>
      <c r="X109" s="181"/>
      <c r="Y109" s="134">
        <f>SUM(W109+X109)</f>
        <v>0</v>
      </c>
      <c r="Z109" s="411"/>
      <c r="AA109" s="411"/>
      <c r="AB109" s="411"/>
      <c r="AC109" s="181"/>
      <c r="AD109" s="411"/>
      <c r="AE109" s="411"/>
      <c r="AF109" s="411"/>
      <c r="AG109" s="168"/>
      <c r="AH109" s="169"/>
      <c r="AI109" s="169"/>
      <c r="AJ109" s="411"/>
      <c r="AK109" s="170"/>
      <c r="AL109" s="44"/>
      <c r="AM109" s="32"/>
      <c r="AN109" s="32"/>
      <c r="AO109" s="32"/>
      <c r="AP109" s="32"/>
      <c r="AQ109" s="32"/>
      <c r="AR109" s="32"/>
      <c r="AS109" s="32"/>
      <c r="AT109" s="32"/>
      <c r="AU109" s="32"/>
      <c r="AV109" s="32"/>
      <c r="AW109" s="32"/>
      <c r="AX109" s="32"/>
      <c r="AY109" s="32"/>
      <c r="AZ109" s="32"/>
    </row>
    <row r="110" spans="1:52" ht="210" customHeight="1" x14ac:dyDescent="0.25">
      <c r="A110" s="832">
        <v>87</v>
      </c>
      <c r="B110" s="836" t="s">
        <v>998</v>
      </c>
      <c r="C110" s="836">
        <v>93151502</v>
      </c>
      <c r="D110" s="171" t="s">
        <v>133</v>
      </c>
      <c r="E110" s="836" t="s">
        <v>125</v>
      </c>
      <c r="F110" s="833">
        <v>1</v>
      </c>
      <c r="G110" s="618" t="s">
        <v>159</v>
      </c>
      <c r="H110" s="485">
        <v>12</v>
      </c>
      <c r="I110" s="73" t="s">
        <v>96</v>
      </c>
      <c r="J110" s="836" t="s">
        <v>129</v>
      </c>
      <c r="K110" s="836" t="s">
        <v>108</v>
      </c>
      <c r="L110" s="56">
        <f>(64000000*1.07+198900000*1.04+20000000)-70000000</f>
        <v>225336000</v>
      </c>
      <c r="M110" s="69">
        <f>(64000000*1.07+198900000*1.04+20000000)-70000000</f>
        <v>225336000</v>
      </c>
      <c r="N110" s="836" t="s">
        <v>81</v>
      </c>
      <c r="O110" s="836" t="s">
        <v>56</v>
      </c>
      <c r="P110" s="58" t="s">
        <v>61</v>
      </c>
      <c r="Q110" s="1094"/>
      <c r="R110" s="172" t="s">
        <v>1074</v>
      </c>
      <c r="S110" s="172" t="s">
        <v>1075</v>
      </c>
      <c r="T110" s="28">
        <v>42405</v>
      </c>
      <c r="U110" s="1012" t="s">
        <v>1076</v>
      </c>
      <c r="V110" s="181" t="s">
        <v>594</v>
      </c>
      <c r="W110" s="1097">
        <v>219670546</v>
      </c>
      <c r="X110" s="138"/>
      <c r="Y110" s="134">
        <f>SUM(W110+X110)</f>
        <v>219670546</v>
      </c>
      <c r="Z110" s="411" t="s">
        <v>1077</v>
      </c>
      <c r="AA110" s="181" t="s">
        <v>1078</v>
      </c>
      <c r="AB110" s="181" t="s">
        <v>350</v>
      </c>
      <c r="AC110" s="181" t="s">
        <v>1079</v>
      </c>
      <c r="AD110" s="181" t="s">
        <v>691</v>
      </c>
      <c r="AE110" s="1014">
        <v>42409</v>
      </c>
      <c r="AF110" s="1014">
        <v>42409</v>
      </c>
      <c r="AG110" s="181" t="s">
        <v>1080</v>
      </c>
      <c r="AH110" s="1014">
        <v>42409</v>
      </c>
      <c r="AI110" s="1014">
        <v>42774</v>
      </c>
      <c r="AJ110" s="181" t="s">
        <v>1081</v>
      </c>
      <c r="AK110" s="1017" t="s">
        <v>353</v>
      </c>
      <c r="AL110" s="1044" t="s">
        <v>56</v>
      </c>
      <c r="AM110" s="1044" t="s">
        <v>56</v>
      </c>
      <c r="AN110" s="983">
        <v>169670546</v>
      </c>
      <c r="AO110" s="70">
        <f>SUBTOTAL(9,AN110)</f>
        <v>169670546</v>
      </c>
      <c r="AP110" s="32">
        <v>50000000</v>
      </c>
      <c r="AQ110" s="1044" t="s">
        <v>56</v>
      </c>
      <c r="AR110" s="1044" t="s">
        <v>56</v>
      </c>
      <c r="AS110" s="70">
        <v>50000000</v>
      </c>
      <c r="AT110" s="1044" t="s">
        <v>56</v>
      </c>
      <c r="AU110" s="1044" t="s">
        <v>56</v>
      </c>
      <c r="AV110" s="1044" t="s">
        <v>56</v>
      </c>
      <c r="AW110" s="1044" t="s">
        <v>56</v>
      </c>
      <c r="AX110" s="1044" t="s">
        <v>56</v>
      </c>
      <c r="AY110" s="1044" t="s">
        <v>56</v>
      </c>
      <c r="AZ110" s="1044" t="s">
        <v>56</v>
      </c>
    </row>
    <row r="111" spans="1:52" ht="117.75" customHeight="1" x14ac:dyDescent="0.25">
      <c r="A111" s="832">
        <v>88</v>
      </c>
      <c r="B111" s="836" t="s">
        <v>998</v>
      </c>
      <c r="C111" s="836">
        <v>93151502</v>
      </c>
      <c r="D111" s="171" t="s">
        <v>886</v>
      </c>
      <c r="E111" s="836" t="s">
        <v>76</v>
      </c>
      <c r="F111" s="833">
        <v>1</v>
      </c>
      <c r="G111" s="618" t="s">
        <v>166</v>
      </c>
      <c r="H111" s="485">
        <v>12</v>
      </c>
      <c r="I111" s="73" t="s">
        <v>2610</v>
      </c>
      <c r="J111" s="836" t="s">
        <v>129</v>
      </c>
      <c r="K111" s="836" t="s">
        <v>108</v>
      </c>
      <c r="L111" s="56">
        <v>249000000.18000001</v>
      </c>
      <c r="M111" s="69">
        <v>249000000.18000001</v>
      </c>
      <c r="N111" s="836" t="s">
        <v>81</v>
      </c>
      <c r="O111" s="836" t="s">
        <v>56</v>
      </c>
      <c r="P111" s="58" t="s">
        <v>61</v>
      </c>
      <c r="Q111" s="1094"/>
      <c r="R111" s="172" t="s">
        <v>1102</v>
      </c>
      <c r="S111" s="172" t="s">
        <v>1446</v>
      </c>
      <c r="T111" s="28">
        <v>42461</v>
      </c>
      <c r="U111" s="1012" t="s">
        <v>1447</v>
      </c>
      <c r="V111" s="181" t="s">
        <v>594</v>
      </c>
      <c r="W111" s="1005">
        <v>232005998</v>
      </c>
      <c r="X111" s="1098"/>
      <c r="Y111" s="30">
        <f>SUM(W111+X111)</f>
        <v>232005998</v>
      </c>
      <c r="Z111" s="411" t="s">
        <v>1448</v>
      </c>
      <c r="AA111" s="411" t="s">
        <v>1449</v>
      </c>
      <c r="AB111" s="411" t="s">
        <v>350</v>
      </c>
      <c r="AC111" s="181" t="s">
        <v>1450</v>
      </c>
      <c r="AD111" s="411" t="s">
        <v>691</v>
      </c>
      <c r="AE111" s="169">
        <v>42461</v>
      </c>
      <c r="AF111" s="169">
        <v>42464</v>
      </c>
      <c r="AG111" s="1099" t="s">
        <v>1451</v>
      </c>
      <c r="AH111" s="169">
        <v>42464</v>
      </c>
      <c r="AI111" s="169">
        <v>42828</v>
      </c>
      <c r="AJ111" s="411" t="s">
        <v>1012</v>
      </c>
      <c r="AK111" s="134" t="s">
        <v>1452</v>
      </c>
      <c r="AL111" s="43" t="s">
        <v>56</v>
      </c>
      <c r="AM111" s="43" t="s">
        <v>56</v>
      </c>
      <c r="AN111" s="43" t="s">
        <v>56</v>
      </c>
      <c r="AO111" s="43" t="s">
        <v>56</v>
      </c>
      <c r="AP111" s="1052">
        <v>232005988.5</v>
      </c>
      <c r="AQ111" s="43" t="s">
        <v>56</v>
      </c>
      <c r="AR111" s="43" t="s">
        <v>56</v>
      </c>
      <c r="AS111" s="1062">
        <v>232005988.5</v>
      </c>
      <c r="AT111" s="43" t="s">
        <v>56</v>
      </c>
      <c r="AU111" s="43" t="s">
        <v>56</v>
      </c>
      <c r="AV111" s="43" t="s">
        <v>56</v>
      </c>
      <c r="AW111" s="43" t="s">
        <v>56</v>
      </c>
      <c r="AX111" s="43" t="s">
        <v>56</v>
      </c>
      <c r="AY111" s="43" t="s">
        <v>56</v>
      </c>
      <c r="AZ111" s="43" t="s">
        <v>56</v>
      </c>
    </row>
    <row r="112" spans="1:52" ht="210" customHeight="1" x14ac:dyDescent="0.25">
      <c r="A112" s="832">
        <v>89</v>
      </c>
      <c r="B112" s="836" t="s">
        <v>998</v>
      </c>
      <c r="C112" s="833">
        <v>80101706</v>
      </c>
      <c r="D112" s="175" t="s">
        <v>134</v>
      </c>
      <c r="E112" s="833" t="s">
        <v>125</v>
      </c>
      <c r="F112" s="833">
        <v>1</v>
      </c>
      <c r="G112" s="1100" t="s">
        <v>159</v>
      </c>
      <c r="H112" s="485">
        <v>11.5</v>
      </c>
      <c r="I112" s="1101" t="s">
        <v>96</v>
      </c>
      <c r="J112" s="836" t="s">
        <v>129</v>
      </c>
      <c r="K112" s="833" t="s">
        <v>108</v>
      </c>
      <c r="L112" s="68">
        <f>(6200000*11.5)</f>
        <v>71300000</v>
      </c>
      <c r="M112" s="69">
        <f>(6200000*11.5)</f>
        <v>71300000</v>
      </c>
      <c r="N112" s="833" t="s">
        <v>81</v>
      </c>
      <c r="O112" s="833" t="s">
        <v>56</v>
      </c>
      <c r="P112" s="25" t="s">
        <v>61</v>
      </c>
      <c r="Q112" s="45"/>
      <c r="R112" s="172" t="s">
        <v>1082</v>
      </c>
      <c r="S112" s="1004" t="s">
        <v>1083</v>
      </c>
      <c r="T112" s="28">
        <v>42387</v>
      </c>
      <c r="U112" s="29" t="s">
        <v>354</v>
      </c>
      <c r="V112" s="181" t="s">
        <v>212</v>
      </c>
      <c r="W112" s="1097">
        <v>71300000</v>
      </c>
      <c r="X112" s="1102"/>
      <c r="Y112" s="134">
        <f>SUM(W112+X112)</f>
        <v>71300000</v>
      </c>
      <c r="Z112" s="411" t="s">
        <v>349</v>
      </c>
      <c r="AA112" s="181" t="s">
        <v>1084</v>
      </c>
      <c r="AB112" s="181" t="s">
        <v>350</v>
      </c>
      <c r="AC112" s="181" t="s">
        <v>1085</v>
      </c>
      <c r="AD112" s="181" t="s">
        <v>56</v>
      </c>
      <c r="AE112" s="181" t="s">
        <v>56</v>
      </c>
      <c r="AF112" s="181" t="s">
        <v>56</v>
      </c>
      <c r="AG112" s="181" t="s">
        <v>351</v>
      </c>
      <c r="AH112" s="1014">
        <v>42387</v>
      </c>
      <c r="AI112" s="1014">
        <v>42734</v>
      </c>
      <c r="AJ112" s="181" t="s">
        <v>355</v>
      </c>
      <c r="AK112" s="1017" t="s">
        <v>353</v>
      </c>
      <c r="AL112" s="1044" t="s">
        <v>56</v>
      </c>
      <c r="AM112" s="983">
        <v>6200000</v>
      </c>
      <c r="AN112" s="983">
        <v>6200000</v>
      </c>
      <c r="AO112" s="1103">
        <f>SUBTOTAL(9,AM112:AN112)</f>
        <v>12400000</v>
      </c>
      <c r="AP112" s="983">
        <v>6200000</v>
      </c>
      <c r="AQ112" s="983">
        <v>6200000</v>
      </c>
      <c r="AR112" s="1104">
        <v>6200000</v>
      </c>
      <c r="AS112" s="138"/>
      <c r="AT112" s="1104">
        <v>6200000</v>
      </c>
      <c r="AU112" s="138"/>
      <c r="AV112" s="138"/>
      <c r="AW112" s="138"/>
      <c r="AX112" s="138"/>
      <c r="AY112" s="138"/>
      <c r="AZ112" s="138"/>
    </row>
    <row r="113" spans="1:52" ht="165" customHeight="1" x14ac:dyDescent="0.25">
      <c r="A113" s="832">
        <v>90</v>
      </c>
      <c r="B113" s="836" t="s">
        <v>998</v>
      </c>
      <c r="C113" s="833">
        <v>80101706</v>
      </c>
      <c r="D113" s="175" t="s">
        <v>135</v>
      </c>
      <c r="E113" s="833" t="s">
        <v>125</v>
      </c>
      <c r="F113" s="833">
        <v>1</v>
      </c>
      <c r="G113" s="1100" t="s">
        <v>159</v>
      </c>
      <c r="H113" s="485">
        <v>11.5</v>
      </c>
      <c r="I113" s="1101" t="s">
        <v>96</v>
      </c>
      <c r="J113" s="836" t="s">
        <v>129</v>
      </c>
      <c r="K113" s="833" t="s">
        <v>108</v>
      </c>
      <c r="L113" s="68">
        <f>(6200000*11.5)</f>
        <v>71300000</v>
      </c>
      <c r="M113" s="69">
        <f>(6200000*11.5)</f>
        <v>71300000</v>
      </c>
      <c r="N113" s="833" t="s">
        <v>81</v>
      </c>
      <c r="O113" s="833" t="s">
        <v>56</v>
      </c>
      <c r="P113" s="25" t="s">
        <v>61</v>
      </c>
      <c r="Q113" s="45"/>
      <c r="R113" s="172" t="s">
        <v>1086</v>
      </c>
      <c r="S113" s="172" t="s">
        <v>1087</v>
      </c>
      <c r="T113" s="28">
        <v>42387</v>
      </c>
      <c r="U113" s="29" t="s">
        <v>348</v>
      </c>
      <c r="V113" s="181" t="s">
        <v>212</v>
      </c>
      <c r="W113" s="1105">
        <v>71300000</v>
      </c>
      <c r="X113" s="1106"/>
      <c r="Y113" s="134">
        <f t="shared" si="2"/>
        <v>71300000</v>
      </c>
      <c r="Z113" s="411" t="s">
        <v>349</v>
      </c>
      <c r="AA113" s="181" t="s">
        <v>1088</v>
      </c>
      <c r="AB113" s="181" t="s">
        <v>350</v>
      </c>
      <c r="AC113" s="181" t="s">
        <v>1089</v>
      </c>
      <c r="AD113" s="181" t="s">
        <v>56</v>
      </c>
      <c r="AE113" s="181" t="s">
        <v>56</v>
      </c>
      <c r="AF113" s="181" t="s">
        <v>56</v>
      </c>
      <c r="AG113" s="181" t="s">
        <v>351</v>
      </c>
      <c r="AH113" s="1014">
        <v>42387</v>
      </c>
      <c r="AI113" s="1014">
        <v>42734</v>
      </c>
      <c r="AJ113" s="181" t="s">
        <v>352</v>
      </c>
      <c r="AK113" s="1017" t="s">
        <v>353</v>
      </c>
      <c r="AL113" s="1044" t="s">
        <v>56</v>
      </c>
      <c r="AM113" s="1052">
        <v>6200000</v>
      </c>
      <c r="AN113" s="1052">
        <v>6200000</v>
      </c>
      <c r="AO113" s="1107">
        <f>SUBTOTAL(9,AM113:AN113)</f>
        <v>12400000</v>
      </c>
      <c r="AP113" s="1052">
        <v>6200000</v>
      </c>
      <c r="AQ113" s="1052">
        <v>6200000</v>
      </c>
      <c r="AR113" s="1108">
        <v>6200000</v>
      </c>
      <c r="AS113" s="1106"/>
      <c r="AT113" s="1108">
        <v>6200000</v>
      </c>
      <c r="AU113" s="1106"/>
      <c r="AV113" s="1106"/>
      <c r="AW113" s="1106"/>
      <c r="AX113" s="1106"/>
      <c r="AY113" s="1106"/>
      <c r="AZ113" s="1106"/>
    </row>
    <row r="114" spans="1:52" ht="58.5" customHeight="1" x14ac:dyDescent="0.25">
      <c r="A114" s="832">
        <v>92</v>
      </c>
      <c r="B114" s="836" t="s">
        <v>998</v>
      </c>
      <c r="C114" s="836">
        <v>43223100</v>
      </c>
      <c r="D114" s="171" t="s">
        <v>648</v>
      </c>
      <c r="E114" s="836" t="s">
        <v>76</v>
      </c>
      <c r="F114" s="833">
        <v>1</v>
      </c>
      <c r="G114" s="618" t="s">
        <v>167</v>
      </c>
      <c r="H114" s="485">
        <v>3</v>
      </c>
      <c r="I114" s="73" t="s">
        <v>2614</v>
      </c>
      <c r="J114" s="836" t="s">
        <v>129</v>
      </c>
      <c r="K114" s="836" t="s">
        <v>108</v>
      </c>
      <c r="L114" s="56">
        <v>50815230</v>
      </c>
      <c r="M114" s="56">
        <v>50815230</v>
      </c>
      <c r="N114" s="836" t="s">
        <v>81</v>
      </c>
      <c r="O114" s="836" t="s">
        <v>56</v>
      </c>
      <c r="P114" s="58" t="s">
        <v>61</v>
      </c>
      <c r="Q114" s="1094"/>
      <c r="R114" s="172"/>
      <c r="S114" s="637"/>
      <c r="T114" s="138"/>
      <c r="U114" s="138"/>
      <c r="V114" s="138"/>
      <c r="W114" s="138"/>
      <c r="X114" s="138"/>
      <c r="Y114" s="134">
        <f t="shared" si="2"/>
        <v>0</v>
      </c>
      <c r="Z114" s="138"/>
      <c r="AA114" s="138"/>
      <c r="AB114" s="138"/>
      <c r="AC114" s="138"/>
      <c r="AD114" s="138"/>
      <c r="AE114" s="138"/>
      <c r="AF114" s="138"/>
      <c r="AG114" s="138"/>
      <c r="AH114" s="138"/>
      <c r="AI114" s="138"/>
      <c r="AJ114" s="138"/>
      <c r="AK114" s="635"/>
      <c r="AL114" s="44"/>
      <c r="AM114" s="32"/>
      <c r="AN114" s="32"/>
      <c r="AO114" s="32"/>
      <c r="AP114" s="32"/>
      <c r="AQ114" s="32"/>
      <c r="AR114" s="32"/>
      <c r="AS114" s="32"/>
      <c r="AT114" s="32"/>
      <c r="AU114" s="32"/>
      <c r="AV114" s="32"/>
      <c r="AW114" s="32"/>
      <c r="AX114" s="32"/>
      <c r="AY114" s="32"/>
      <c r="AZ114" s="32"/>
    </row>
    <row r="115" spans="1:52" ht="135" customHeight="1" x14ac:dyDescent="0.25">
      <c r="A115" s="832">
        <v>94</v>
      </c>
      <c r="B115" s="836" t="s">
        <v>998</v>
      </c>
      <c r="C115" s="833">
        <v>80101706</v>
      </c>
      <c r="D115" s="175" t="s">
        <v>136</v>
      </c>
      <c r="E115" s="833" t="s">
        <v>125</v>
      </c>
      <c r="F115" s="833">
        <v>1</v>
      </c>
      <c r="G115" s="412" t="s">
        <v>159</v>
      </c>
      <c r="H115" s="485">
        <v>11.5</v>
      </c>
      <c r="I115" s="1101" t="s">
        <v>96</v>
      </c>
      <c r="J115" s="836" t="s">
        <v>129</v>
      </c>
      <c r="K115" s="833" t="s">
        <v>108</v>
      </c>
      <c r="L115" s="68">
        <f>(3500000*11.5)</f>
        <v>40250000</v>
      </c>
      <c r="M115" s="69">
        <f>(3500000*11.5)</f>
        <v>40250000</v>
      </c>
      <c r="N115" s="833" t="s">
        <v>81</v>
      </c>
      <c r="O115" s="833" t="s">
        <v>56</v>
      </c>
      <c r="P115" s="25" t="s">
        <v>61</v>
      </c>
      <c r="Q115" s="45"/>
      <c r="R115" s="172" t="s">
        <v>356</v>
      </c>
      <c r="S115" s="982" t="s">
        <v>357</v>
      </c>
      <c r="T115" s="166">
        <v>42387</v>
      </c>
      <c r="U115" s="831" t="s">
        <v>358</v>
      </c>
      <c r="V115" s="411" t="s">
        <v>212</v>
      </c>
      <c r="W115" s="134">
        <v>40250000</v>
      </c>
      <c r="X115" s="134"/>
      <c r="Y115" s="134">
        <f t="shared" si="2"/>
        <v>40250000</v>
      </c>
      <c r="Z115" s="411" t="s">
        <v>359</v>
      </c>
      <c r="AA115" s="411" t="s">
        <v>360</v>
      </c>
      <c r="AB115" s="411" t="s">
        <v>350</v>
      </c>
      <c r="AC115" s="411" t="s">
        <v>361</v>
      </c>
      <c r="AD115" s="411" t="s">
        <v>56</v>
      </c>
      <c r="AE115" s="411" t="s">
        <v>56</v>
      </c>
      <c r="AF115" s="411" t="s">
        <v>56</v>
      </c>
      <c r="AG115" s="411" t="s">
        <v>351</v>
      </c>
      <c r="AH115" s="169">
        <v>42387</v>
      </c>
      <c r="AI115" s="169">
        <v>42734</v>
      </c>
      <c r="AJ115" s="411" t="s">
        <v>362</v>
      </c>
      <c r="AK115" s="170" t="s">
        <v>353</v>
      </c>
      <c r="AL115" s="1109" t="s">
        <v>56</v>
      </c>
      <c r="AM115" s="1110">
        <v>3500000</v>
      </c>
      <c r="AN115" s="1110">
        <v>3500000</v>
      </c>
      <c r="AO115" s="1111">
        <f>SUBTOTAL(9,AM115:AN115)</f>
        <v>7000000</v>
      </c>
      <c r="AP115" s="1110">
        <v>3500000</v>
      </c>
      <c r="AQ115" s="1110">
        <v>3500000</v>
      </c>
      <c r="AR115" s="1112">
        <v>3500000</v>
      </c>
      <c r="AS115" s="1113"/>
      <c r="AT115" s="1112">
        <v>3500000</v>
      </c>
      <c r="AU115" s="1113"/>
      <c r="AV115" s="1113"/>
      <c r="AW115" s="1113"/>
      <c r="AX115" s="1113"/>
      <c r="AY115" s="1113"/>
      <c r="AZ115" s="1113"/>
    </row>
    <row r="116" spans="1:52" ht="97.5" customHeight="1" x14ac:dyDescent="0.25">
      <c r="A116" s="832">
        <v>95</v>
      </c>
      <c r="B116" s="836" t="s">
        <v>998</v>
      </c>
      <c r="C116" s="836">
        <v>80101706</v>
      </c>
      <c r="D116" s="171" t="s">
        <v>137</v>
      </c>
      <c r="E116" s="836" t="s">
        <v>125</v>
      </c>
      <c r="F116" s="833">
        <v>1</v>
      </c>
      <c r="G116" s="834" t="s">
        <v>161</v>
      </c>
      <c r="H116" s="485">
        <v>9</v>
      </c>
      <c r="I116" s="1101" t="s">
        <v>96</v>
      </c>
      <c r="J116" s="836" t="s">
        <v>129</v>
      </c>
      <c r="K116" s="836" t="s">
        <v>108</v>
      </c>
      <c r="L116" s="56">
        <f>4000000*9</f>
        <v>36000000</v>
      </c>
      <c r="M116" s="69">
        <f>4000000*9</f>
        <v>36000000</v>
      </c>
      <c r="N116" s="836" t="s">
        <v>81</v>
      </c>
      <c r="O116" s="836" t="s">
        <v>56</v>
      </c>
      <c r="P116" s="58" t="s">
        <v>61</v>
      </c>
      <c r="Q116" s="1094"/>
      <c r="R116" s="172" t="s">
        <v>1013</v>
      </c>
      <c r="S116" s="172" t="s">
        <v>1014</v>
      </c>
      <c r="T116" s="166">
        <v>42457</v>
      </c>
      <c r="U116" s="164" t="s">
        <v>1015</v>
      </c>
      <c r="V116" s="411" t="s">
        <v>212</v>
      </c>
      <c r="W116" s="134">
        <v>36000000</v>
      </c>
      <c r="X116" s="181"/>
      <c r="Y116" s="134">
        <f t="shared" si="2"/>
        <v>36000000</v>
      </c>
      <c r="Z116" s="411" t="s">
        <v>1016</v>
      </c>
      <c r="AA116" s="411" t="s">
        <v>1017</v>
      </c>
      <c r="AB116" s="411" t="s">
        <v>350</v>
      </c>
      <c r="AC116" s="181" t="s">
        <v>1018</v>
      </c>
      <c r="AD116" s="411" t="s">
        <v>56</v>
      </c>
      <c r="AE116" s="411" t="s">
        <v>56</v>
      </c>
      <c r="AF116" s="411" t="s">
        <v>56</v>
      </c>
      <c r="AG116" s="168" t="s">
        <v>1019</v>
      </c>
      <c r="AH116" s="169">
        <v>42457</v>
      </c>
      <c r="AI116" s="169">
        <v>42733</v>
      </c>
      <c r="AJ116" s="411" t="s">
        <v>1020</v>
      </c>
      <c r="AK116" s="170" t="s">
        <v>353</v>
      </c>
      <c r="AL116" s="1095" t="s">
        <v>56</v>
      </c>
      <c r="AM116" s="1095" t="s">
        <v>56</v>
      </c>
      <c r="AN116" s="1095" t="s">
        <v>56</v>
      </c>
      <c r="AO116" s="1095" t="s">
        <v>56</v>
      </c>
      <c r="AP116" s="983">
        <v>4000000</v>
      </c>
      <c r="AQ116" s="983">
        <v>4000000</v>
      </c>
      <c r="AR116" s="1114" t="s">
        <v>2933</v>
      </c>
      <c r="AS116" s="32"/>
      <c r="AT116" s="983">
        <v>4000000</v>
      </c>
      <c r="AU116" s="32"/>
      <c r="AV116" s="32"/>
      <c r="AW116" s="32"/>
      <c r="AX116" s="32"/>
      <c r="AY116" s="32"/>
      <c r="AZ116" s="32"/>
    </row>
    <row r="117" spans="1:52" ht="108" customHeight="1" x14ac:dyDescent="0.25">
      <c r="A117" s="832">
        <v>96</v>
      </c>
      <c r="B117" s="836" t="s">
        <v>998</v>
      </c>
      <c r="C117" s="836">
        <v>80101706</v>
      </c>
      <c r="D117" s="171" t="s">
        <v>138</v>
      </c>
      <c r="E117" s="836" t="s">
        <v>76</v>
      </c>
      <c r="F117" s="833">
        <v>1</v>
      </c>
      <c r="G117" s="618" t="s">
        <v>161</v>
      </c>
      <c r="H117" s="485">
        <v>12</v>
      </c>
      <c r="I117" s="1101" t="s">
        <v>96</v>
      </c>
      <c r="J117" s="836" t="s">
        <v>129</v>
      </c>
      <c r="K117" s="836" t="s">
        <v>108</v>
      </c>
      <c r="L117" s="56">
        <f>(369933430)*1.07</f>
        <v>395828770.10000002</v>
      </c>
      <c r="M117" s="69">
        <f>(369933430)*1.07</f>
        <v>395828770.10000002</v>
      </c>
      <c r="N117" s="836" t="s">
        <v>81</v>
      </c>
      <c r="O117" s="836" t="s">
        <v>56</v>
      </c>
      <c r="P117" s="58" t="s">
        <v>61</v>
      </c>
      <c r="Q117" s="1094"/>
      <c r="R117" s="172" t="s">
        <v>1103</v>
      </c>
      <c r="S117" s="172" t="s">
        <v>1104</v>
      </c>
      <c r="T117" s="28">
        <v>42464</v>
      </c>
      <c r="U117" s="1012" t="s">
        <v>1105</v>
      </c>
      <c r="V117" s="181" t="s">
        <v>594</v>
      </c>
      <c r="W117" s="134">
        <v>395726000</v>
      </c>
      <c r="X117" s="181"/>
      <c r="Y117" s="134">
        <f t="shared" si="2"/>
        <v>395726000</v>
      </c>
      <c r="Z117" s="411" t="s">
        <v>1106</v>
      </c>
      <c r="AA117" s="411" t="s">
        <v>1107</v>
      </c>
      <c r="AB117" s="411" t="s">
        <v>350</v>
      </c>
      <c r="AC117" s="181" t="s">
        <v>1108</v>
      </c>
      <c r="AD117" s="411" t="s">
        <v>691</v>
      </c>
      <c r="AE117" s="169">
        <v>42464</v>
      </c>
      <c r="AF117" s="169">
        <v>42465</v>
      </c>
      <c r="AG117" s="168" t="s">
        <v>1109</v>
      </c>
      <c r="AH117" s="169">
        <v>42464</v>
      </c>
      <c r="AI117" s="169">
        <v>42734</v>
      </c>
      <c r="AJ117" s="411" t="s">
        <v>1110</v>
      </c>
      <c r="AK117" s="1115" t="s">
        <v>347</v>
      </c>
      <c r="AL117" s="32" t="s">
        <v>56</v>
      </c>
      <c r="AM117" s="32" t="s">
        <v>56</v>
      </c>
      <c r="AN117" s="32" t="s">
        <v>56</v>
      </c>
      <c r="AO117" s="32" t="s">
        <v>56</v>
      </c>
      <c r="AP117" s="32" t="s">
        <v>56</v>
      </c>
      <c r="AQ117" s="1116">
        <v>19314000</v>
      </c>
      <c r="AR117" s="1116">
        <v>40352000</v>
      </c>
      <c r="AS117" s="153"/>
      <c r="AT117" s="153">
        <v>58383000</v>
      </c>
      <c r="AU117" s="153">
        <v>45900000</v>
      </c>
      <c r="AV117" s="153"/>
      <c r="AW117" s="153"/>
      <c r="AX117" s="153"/>
      <c r="AY117" s="153"/>
      <c r="AZ117" s="153"/>
    </row>
    <row r="118" spans="1:52" ht="165" customHeight="1" x14ac:dyDescent="0.25">
      <c r="A118" s="832">
        <v>97</v>
      </c>
      <c r="B118" s="836" t="s">
        <v>998</v>
      </c>
      <c r="C118" s="833">
        <v>80101706</v>
      </c>
      <c r="D118" s="175" t="s">
        <v>139</v>
      </c>
      <c r="E118" s="833" t="s">
        <v>125</v>
      </c>
      <c r="F118" s="833">
        <v>1</v>
      </c>
      <c r="G118" s="412" t="s">
        <v>159</v>
      </c>
      <c r="H118" s="485">
        <v>11.5</v>
      </c>
      <c r="I118" s="1101" t="s">
        <v>96</v>
      </c>
      <c r="J118" s="836" t="s">
        <v>129</v>
      </c>
      <c r="K118" s="833" t="s">
        <v>108</v>
      </c>
      <c r="L118" s="68">
        <f>(6200000*11.5)</f>
        <v>71300000</v>
      </c>
      <c r="M118" s="69">
        <f>(6200000*11.5)</f>
        <v>71300000</v>
      </c>
      <c r="N118" s="833" t="s">
        <v>81</v>
      </c>
      <c r="O118" s="833" t="s">
        <v>56</v>
      </c>
      <c r="P118" s="25" t="s">
        <v>61</v>
      </c>
      <c r="Q118" s="45"/>
      <c r="R118" s="172" t="s">
        <v>363</v>
      </c>
      <c r="S118" s="982" t="s">
        <v>364</v>
      </c>
      <c r="T118" s="166">
        <v>42387</v>
      </c>
      <c r="U118" s="831" t="s">
        <v>354</v>
      </c>
      <c r="V118" s="411" t="s">
        <v>212</v>
      </c>
      <c r="W118" s="134">
        <v>71300000</v>
      </c>
      <c r="X118" s="134"/>
      <c r="Y118" s="134">
        <f t="shared" si="2"/>
        <v>71300000</v>
      </c>
      <c r="Z118" s="411" t="s">
        <v>349</v>
      </c>
      <c r="AA118" s="411" t="s">
        <v>365</v>
      </c>
      <c r="AB118" s="411" t="s">
        <v>350</v>
      </c>
      <c r="AC118" s="411" t="s">
        <v>366</v>
      </c>
      <c r="AD118" s="411" t="s">
        <v>56</v>
      </c>
      <c r="AE118" s="411" t="s">
        <v>56</v>
      </c>
      <c r="AF118" s="411" t="s">
        <v>56</v>
      </c>
      <c r="AG118" s="411" t="s">
        <v>351</v>
      </c>
      <c r="AH118" s="169">
        <v>42387</v>
      </c>
      <c r="AI118" s="169">
        <v>42734</v>
      </c>
      <c r="AJ118" s="411" t="s">
        <v>355</v>
      </c>
      <c r="AK118" s="170" t="s">
        <v>353</v>
      </c>
      <c r="AL118" s="1044" t="s">
        <v>56</v>
      </c>
      <c r="AM118" s="983">
        <v>6200000</v>
      </c>
      <c r="AN118" s="983">
        <v>6200000</v>
      </c>
      <c r="AO118" s="1117">
        <f>SUBTOTAL(9,AM118:AN118)</f>
        <v>12400000</v>
      </c>
      <c r="AP118" s="1045">
        <v>6200000</v>
      </c>
      <c r="AQ118" s="1045">
        <v>6200000</v>
      </c>
      <c r="AR118" s="1104">
        <v>6200000</v>
      </c>
      <c r="AS118" s="138"/>
      <c r="AT118" s="1104">
        <v>6200000</v>
      </c>
      <c r="AU118" s="138"/>
      <c r="AV118" s="138"/>
      <c r="AW118" s="138"/>
      <c r="AX118" s="138"/>
      <c r="AY118" s="138"/>
      <c r="AZ118" s="138"/>
    </row>
    <row r="119" spans="1:52" ht="210" customHeight="1" x14ac:dyDescent="0.25">
      <c r="A119" s="832">
        <v>98</v>
      </c>
      <c r="B119" s="836" t="s">
        <v>998</v>
      </c>
      <c r="C119" s="833">
        <v>80101706</v>
      </c>
      <c r="D119" s="175" t="s">
        <v>139</v>
      </c>
      <c r="E119" s="833" t="s">
        <v>125</v>
      </c>
      <c r="F119" s="833">
        <v>1</v>
      </c>
      <c r="G119" s="412" t="s">
        <v>159</v>
      </c>
      <c r="H119" s="485">
        <v>11.5</v>
      </c>
      <c r="I119" s="1101" t="s">
        <v>96</v>
      </c>
      <c r="J119" s="836" t="s">
        <v>129</v>
      </c>
      <c r="K119" s="833" t="s">
        <v>108</v>
      </c>
      <c r="L119" s="68">
        <f>(6200000*11.5)</f>
        <v>71300000</v>
      </c>
      <c r="M119" s="69">
        <f>(6200000*11.5)</f>
        <v>71300000</v>
      </c>
      <c r="N119" s="833" t="s">
        <v>81</v>
      </c>
      <c r="O119" s="833" t="s">
        <v>56</v>
      </c>
      <c r="P119" s="25" t="s">
        <v>61</v>
      </c>
      <c r="Q119" s="45"/>
      <c r="R119" s="172" t="s">
        <v>367</v>
      </c>
      <c r="S119" s="982" t="s">
        <v>368</v>
      </c>
      <c r="T119" s="166">
        <v>42387</v>
      </c>
      <c r="U119" s="831" t="s">
        <v>348</v>
      </c>
      <c r="V119" s="411" t="s">
        <v>212</v>
      </c>
      <c r="W119" s="134">
        <v>71300000</v>
      </c>
      <c r="X119" s="134"/>
      <c r="Y119" s="134">
        <f t="shared" si="2"/>
        <v>71300000</v>
      </c>
      <c r="Z119" s="411" t="s">
        <v>349</v>
      </c>
      <c r="AA119" s="411" t="s">
        <v>369</v>
      </c>
      <c r="AB119" s="411" t="s">
        <v>350</v>
      </c>
      <c r="AC119" s="411" t="s">
        <v>370</v>
      </c>
      <c r="AD119" s="411" t="s">
        <v>56</v>
      </c>
      <c r="AE119" s="411" t="s">
        <v>56</v>
      </c>
      <c r="AF119" s="411" t="s">
        <v>56</v>
      </c>
      <c r="AG119" s="411" t="s">
        <v>351</v>
      </c>
      <c r="AH119" s="169">
        <v>42387</v>
      </c>
      <c r="AI119" s="169">
        <v>42734</v>
      </c>
      <c r="AJ119" s="411" t="s">
        <v>352</v>
      </c>
      <c r="AK119" s="170" t="s">
        <v>353</v>
      </c>
      <c r="AL119" s="1044" t="s">
        <v>56</v>
      </c>
      <c r="AM119" s="983">
        <v>6200000</v>
      </c>
      <c r="AN119" s="983">
        <v>6200000</v>
      </c>
      <c r="AO119" s="1117">
        <f>SUBTOTAL(9,AM119:AN119)</f>
        <v>12400000</v>
      </c>
      <c r="AP119" s="1045">
        <v>6200000</v>
      </c>
      <c r="AQ119" s="1045">
        <v>6200000</v>
      </c>
      <c r="AR119" s="1104">
        <v>6200000</v>
      </c>
      <c r="AS119" s="138"/>
      <c r="AT119" s="1104">
        <v>6200000</v>
      </c>
      <c r="AU119" s="138"/>
      <c r="AV119" s="138"/>
      <c r="AW119" s="138"/>
      <c r="AX119" s="138"/>
      <c r="AY119" s="138"/>
      <c r="AZ119" s="138"/>
    </row>
    <row r="120" spans="1:52" ht="63.75" customHeight="1" x14ac:dyDescent="0.25">
      <c r="A120" s="938">
        <v>99</v>
      </c>
      <c r="B120" s="940" t="s">
        <v>998</v>
      </c>
      <c r="C120" s="838">
        <v>43232303</v>
      </c>
      <c r="D120" s="940" t="s">
        <v>172</v>
      </c>
      <c r="E120" s="940" t="s">
        <v>125</v>
      </c>
      <c r="F120" s="940">
        <v>1</v>
      </c>
      <c r="G120" s="940" t="s">
        <v>167</v>
      </c>
      <c r="H120" s="940">
        <v>12</v>
      </c>
      <c r="I120" s="940" t="s">
        <v>2610</v>
      </c>
      <c r="J120" s="836" t="s">
        <v>129</v>
      </c>
      <c r="K120" s="836" t="s">
        <v>108</v>
      </c>
      <c r="L120" s="56">
        <v>71755658</v>
      </c>
      <c r="M120" s="56">
        <v>71775658</v>
      </c>
      <c r="N120" s="836" t="s">
        <v>81</v>
      </c>
      <c r="O120" s="836" t="s">
        <v>56</v>
      </c>
      <c r="P120" s="58" t="s">
        <v>61</v>
      </c>
      <c r="Q120" s="45"/>
      <c r="R120" s="94"/>
      <c r="S120" s="92"/>
      <c r="T120" s="27"/>
      <c r="U120" s="28"/>
      <c r="V120" s="29"/>
      <c r="W120" s="181"/>
      <c r="X120" s="181"/>
      <c r="Y120" s="134">
        <f t="shared" si="2"/>
        <v>0</v>
      </c>
      <c r="Z120" s="30"/>
      <c r="AA120" s="29"/>
      <c r="AB120" s="181"/>
      <c r="AC120" s="181"/>
      <c r="AD120" s="181"/>
      <c r="AE120" s="181"/>
      <c r="AF120" s="181"/>
      <c r="AG120" s="833"/>
      <c r="AH120" s="833"/>
      <c r="AI120" s="31"/>
      <c r="AJ120" s="31"/>
      <c r="AK120" s="89"/>
      <c r="AL120" s="87"/>
      <c r="AM120" s="32"/>
      <c r="AN120" s="32"/>
      <c r="AO120" s="32"/>
      <c r="AP120" s="32"/>
      <c r="AQ120" s="32"/>
      <c r="AR120" s="32"/>
      <c r="AS120" s="32"/>
      <c r="AT120" s="32"/>
      <c r="AU120" s="32"/>
      <c r="AV120" s="32"/>
      <c r="AW120" s="32"/>
      <c r="AX120" s="32"/>
      <c r="AY120" s="32"/>
      <c r="AZ120" s="32"/>
    </row>
    <row r="121" spans="1:52" ht="63.75" customHeight="1" x14ac:dyDescent="0.25">
      <c r="A121" s="939"/>
      <c r="B121" s="941"/>
      <c r="C121" s="839"/>
      <c r="D121" s="941"/>
      <c r="E121" s="941"/>
      <c r="F121" s="941"/>
      <c r="G121" s="941"/>
      <c r="H121" s="941"/>
      <c r="I121" s="941"/>
      <c r="J121" s="836" t="s">
        <v>2846</v>
      </c>
      <c r="K121" s="836" t="s">
        <v>108</v>
      </c>
      <c r="L121" s="56">
        <v>210000000</v>
      </c>
      <c r="M121" s="56">
        <v>210000000</v>
      </c>
      <c r="N121" s="836" t="s">
        <v>81</v>
      </c>
      <c r="O121" s="836" t="s">
        <v>56</v>
      </c>
      <c r="P121" s="58" t="s">
        <v>61</v>
      </c>
      <c r="Q121" s="45"/>
      <c r="R121" s="94"/>
      <c r="S121" s="92"/>
      <c r="T121" s="27"/>
      <c r="U121" s="28"/>
      <c r="V121" s="29"/>
      <c r="W121" s="181"/>
      <c r="X121" s="181"/>
      <c r="Y121" s="134">
        <f t="shared" si="2"/>
        <v>0</v>
      </c>
      <c r="Z121" s="30"/>
      <c r="AA121" s="29"/>
      <c r="AB121" s="181"/>
      <c r="AC121" s="181"/>
      <c r="AD121" s="181"/>
      <c r="AE121" s="181"/>
      <c r="AF121" s="181"/>
      <c r="AG121" s="833"/>
      <c r="AH121" s="833"/>
      <c r="AI121" s="31"/>
      <c r="AJ121" s="31"/>
      <c r="AK121" s="89"/>
      <c r="AL121" s="87"/>
      <c r="AM121" s="32"/>
      <c r="AN121" s="32"/>
      <c r="AO121" s="32"/>
      <c r="AP121" s="32"/>
      <c r="AQ121" s="32"/>
      <c r="AR121" s="32"/>
      <c r="AS121" s="32"/>
      <c r="AT121" s="32"/>
      <c r="AU121" s="32"/>
      <c r="AV121" s="32"/>
      <c r="AW121" s="32"/>
      <c r="AX121" s="32"/>
      <c r="AY121" s="32"/>
      <c r="AZ121" s="32"/>
    </row>
    <row r="122" spans="1:52" ht="150" customHeight="1" x14ac:dyDescent="0.25">
      <c r="A122" s="832">
        <v>100</v>
      </c>
      <c r="B122" s="836" t="s">
        <v>998</v>
      </c>
      <c r="C122" s="833">
        <v>80101706</v>
      </c>
      <c r="D122" s="175" t="s">
        <v>173</v>
      </c>
      <c r="E122" s="833" t="s">
        <v>125</v>
      </c>
      <c r="F122" s="833">
        <v>1</v>
      </c>
      <c r="G122" s="412" t="s">
        <v>159</v>
      </c>
      <c r="H122" s="485">
        <v>4</v>
      </c>
      <c r="I122" s="1101" t="s">
        <v>96</v>
      </c>
      <c r="J122" s="836" t="s">
        <v>129</v>
      </c>
      <c r="K122" s="833" t="s">
        <v>108</v>
      </c>
      <c r="L122" s="68">
        <v>24800000</v>
      </c>
      <c r="M122" s="69">
        <v>24800000</v>
      </c>
      <c r="N122" s="833" t="s">
        <v>81</v>
      </c>
      <c r="O122" s="833" t="s">
        <v>56</v>
      </c>
      <c r="P122" s="25" t="s">
        <v>61</v>
      </c>
      <c r="Q122" s="45"/>
      <c r="R122" s="172" t="s">
        <v>371</v>
      </c>
      <c r="S122" s="982" t="s">
        <v>372</v>
      </c>
      <c r="T122" s="166">
        <v>42387</v>
      </c>
      <c r="U122" s="831" t="s">
        <v>373</v>
      </c>
      <c r="V122" s="411" t="s">
        <v>212</v>
      </c>
      <c r="W122" s="134">
        <v>24800000</v>
      </c>
      <c r="X122" s="134"/>
      <c r="Y122" s="134">
        <f t="shared" si="2"/>
        <v>24800000</v>
      </c>
      <c r="Z122" s="411" t="s">
        <v>374</v>
      </c>
      <c r="AA122" s="411" t="s">
        <v>375</v>
      </c>
      <c r="AB122" s="411" t="s">
        <v>350</v>
      </c>
      <c r="AC122" s="411" t="s">
        <v>376</v>
      </c>
      <c r="AD122" s="411" t="s">
        <v>56</v>
      </c>
      <c r="AE122" s="411" t="s">
        <v>56</v>
      </c>
      <c r="AF122" s="411" t="s">
        <v>56</v>
      </c>
      <c r="AG122" s="411" t="s">
        <v>377</v>
      </c>
      <c r="AH122" s="169">
        <v>42387</v>
      </c>
      <c r="AI122" s="169">
        <v>42507</v>
      </c>
      <c r="AJ122" s="411" t="s">
        <v>362</v>
      </c>
      <c r="AK122" s="170" t="s">
        <v>353</v>
      </c>
      <c r="AL122" s="1044" t="s">
        <v>56</v>
      </c>
      <c r="AM122" s="983">
        <v>6200000</v>
      </c>
      <c r="AN122" s="983">
        <v>6200000</v>
      </c>
      <c r="AO122" s="1103">
        <f>SUBTOTAL(9,AM122:AN122)</f>
        <v>12400000</v>
      </c>
      <c r="AP122" s="983">
        <v>6200000</v>
      </c>
      <c r="AQ122" s="983">
        <v>6200000</v>
      </c>
      <c r="AR122" s="138"/>
      <c r="AS122" s="138"/>
      <c r="AT122" s="138"/>
      <c r="AU122" s="138"/>
      <c r="AV122" s="138"/>
      <c r="AW122" s="138"/>
      <c r="AX122" s="138"/>
      <c r="AY122" s="138"/>
      <c r="AZ122" s="138"/>
    </row>
    <row r="123" spans="1:52" ht="165" customHeight="1" x14ac:dyDescent="0.25">
      <c r="A123" s="832">
        <v>101</v>
      </c>
      <c r="B123" s="836" t="s">
        <v>998</v>
      </c>
      <c r="C123" s="833">
        <v>80101706</v>
      </c>
      <c r="D123" s="175" t="s">
        <v>174</v>
      </c>
      <c r="E123" s="833" t="s">
        <v>125</v>
      </c>
      <c r="F123" s="833">
        <v>1</v>
      </c>
      <c r="G123" s="412" t="s">
        <v>159</v>
      </c>
      <c r="H123" s="485">
        <v>4</v>
      </c>
      <c r="I123" s="1101" t="s">
        <v>96</v>
      </c>
      <c r="J123" s="836" t="s">
        <v>129</v>
      </c>
      <c r="K123" s="833" t="s">
        <v>108</v>
      </c>
      <c r="L123" s="68">
        <v>24800000</v>
      </c>
      <c r="M123" s="69">
        <v>24800000</v>
      </c>
      <c r="N123" s="833" t="s">
        <v>81</v>
      </c>
      <c r="O123" s="833" t="s">
        <v>56</v>
      </c>
      <c r="P123" s="25" t="s">
        <v>61</v>
      </c>
      <c r="Q123" s="45"/>
      <c r="R123" s="172" t="s">
        <v>378</v>
      </c>
      <c r="S123" s="982" t="s">
        <v>379</v>
      </c>
      <c r="T123" s="166">
        <v>42387</v>
      </c>
      <c r="U123" s="831" t="s">
        <v>380</v>
      </c>
      <c r="V123" s="411" t="s">
        <v>212</v>
      </c>
      <c r="W123" s="134">
        <v>24800000</v>
      </c>
      <c r="X123" s="134"/>
      <c r="Y123" s="134">
        <f t="shared" si="2"/>
        <v>24800000</v>
      </c>
      <c r="Z123" s="411" t="s">
        <v>374</v>
      </c>
      <c r="AA123" s="411" t="s">
        <v>381</v>
      </c>
      <c r="AB123" s="411" t="s">
        <v>350</v>
      </c>
      <c r="AC123" s="411" t="s">
        <v>382</v>
      </c>
      <c r="AD123" s="411" t="s">
        <v>56</v>
      </c>
      <c r="AE123" s="411" t="s">
        <v>56</v>
      </c>
      <c r="AF123" s="411" t="s">
        <v>56</v>
      </c>
      <c r="AG123" s="411" t="s">
        <v>377</v>
      </c>
      <c r="AH123" s="169">
        <v>42387</v>
      </c>
      <c r="AI123" s="169">
        <v>42507</v>
      </c>
      <c r="AJ123" s="411" t="s">
        <v>362</v>
      </c>
      <c r="AK123" s="170" t="s">
        <v>353</v>
      </c>
      <c r="AL123" s="1044" t="s">
        <v>56</v>
      </c>
      <c r="AM123" s="1045">
        <v>6200000</v>
      </c>
      <c r="AN123" s="1045">
        <v>6200000</v>
      </c>
      <c r="AO123" s="1103">
        <f>SUBTOTAL(9,AM123:AN123)</f>
        <v>12400000</v>
      </c>
      <c r="AP123" s="1045">
        <v>6200000</v>
      </c>
      <c r="AQ123" s="1045">
        <v>6200000</v>
      </c>
      <c r="AR123" s="138"/>
      <c r="AS123" s="138"/>
      <c r="AT123" s="138"/>
      <c r="AU123" s="138"/>
      <c r="AV123" s="138"/>
      <c r="AW123" s="138"/>
      <c r="AX123" s="138"/>
      <c r="AY123" s="138"/>
      <c r="AZ123" s="138"/>
    </row>
    <row r="124" spans="1:52" ht="135" customHeight="1" x14ac:dyDescent="0.25">
      <c r="A124" s="832">
        <v>102</v>
      </c>
      <c r="B124" s="836" t="s">
        <v>998</v>
      </c>
      <c r="C124" s="836">
        <v>80101706</v>
      </c>
      <c r="D124" s="171" t="s">
        <v>181</v>
      </c>
      <c r="E124" s="836" t="s">
        <v>125</v>
      </c>
      <c r="F124" s="833">
        <v>1</v>
      </c>
      <c r="G124" s="834" t="s">
        <v>159</v>
      </c>
      <c r="H124" s="485">
        <v>4</v>
      </c>
      <c r="I124" s="1101" t="s">
        <v>96</v>
      </c>
      <c r="J124" s="836" t="s">
        <v>129</v>
      </c>
      <c r="K124" s="836" t="s">
        <v>108</v>
      </c>
      <c r="L124" s="56">
        <v>20000000</v>
      </c>
      <c r="M124" s="69">
        <v>20000000</v>
      </c>
      <c r="N124" s="836" t="s">
        <v>81</v>
      </c>
      <c r="O124" s="836" t="s">
        <v>56</v>
      </c>
      <c r="P124" s="58" t="s">
        <v>61</v>
      </c>
      <c r="Q124" s="1094"/>
      <c r="R124" s="172" t="s">
        <v>420</v>
      </c>
      <c r="S124" s="172" t="s">
        <v>421</v>
      </c>
      <c r="T124" s="28">
        <v>42395</v>
      </c>
      <c r="U124" s="29" t="s">
        <v>422</v>
      </c>
      <c r="V124" s="181" t="s">
        <v>212</v>
      </c>
      <c r="W124" s="30">
        <v>20000000</v>
      </c>
      <c r="X124" s="30"/>
      <c r="Y124" s="134">
        <f t="shared" si="2"/>
        <v>20000000</v>
      </c>
      <c r="Z124" s="181" t="s">
        <v>423</v>
      </c>
      <c r="AA124" s="181" t="s">
        <v>774</v>
      </c>
      <c r="AB124" s="181" t="s">
        <v>350</v>
      </c>
      <c r="AC124" s="181" t="s">
        <v>775</v>
      </c>
      <c r="AD124" s="181" t="s">
        <v>56</v>
      </c>
      <c r="AE124" s="181" t="s">
        <v>56</v>
      </c>
      <c r="AF124" s="181" t="s">
        <v>56</v>
      </c>
      <c r="AG124" s="181" t="s">
        <v>377</v>
      </c>
      <c r="AH124" s="1014">
        <v>42395</v>
      </c>
      <c r="AI124" s="1014">
        <v>42515</v>
      </c>
      <c r="AJ124" s="181" t="s">
        <v>362</v>
      </c>
      <c r="AK124" s="1017" t="s">
        <v>353</v>
      </c>
      <c r="AL124" s="1044" t="s">
        <v>56</v>
      </c>
      <c r="AM124" s="983">
        <v>5000000</v>
      </c>
      <c r="AN124" s="983">
        <v>5000000</v>
      </c>
      <c r="AO124" s="1103">
        <f>SUBTOTAL(9,AM124:AN124)</f>
        <v>10000000</v>
      </c>
      <c r="AP124" s="983">
        <v>5000000</v>
      </c>
      <c r="AQ124" s="1104">
        <v>5000000</v>
      </c>
      <c r="AR124" s="138"/>
      <c r="AS124" s="138"/>
      <c r="AT124" s="138"/>
      <c r="AU124" s="138"/>
      <c r="AV124" s="138"/>
      <c r="AW124" s="138"/>
      <c r="AX124" s="138"/>
      <c r="AY124" s="138"/>
      <c r="AZ124" s="138"/>
    </row>
    <row r="125" spans="1:52" ht="75" customHeight="1" x14ac:dyDescent="0.25">
      <c r="A125" s="832">
        <v>103</v>
      </c>
      <c r="B125" s="836" t="s">
        <v>998</v>
      </c>
      <c r="C125" s="836">
        <v>80101706</v>
      </c>
      <c r="D125" s="171" t="s">
        <v>182</v>
      </c>
      <c r="E125" s="836" t="s">
        <v>125</v>
      </c>
      <c r="F125" s="833">
        <v>1</v>
      </c>
      <c r="G125" s="834" t="s">
        <v>165</v>
      </c>
      <c r="H125" s="485">
        <v>4</v>
      </c>
      <c r="I125" s="73" t="s">
        <v>77</v>
      </c>
      <c r="J125" s="836" t="s">
        <v>129</v>
      </c>
      <c r="K125" s="836" t="s">
        <v>108</v>
      </c>
      <c r="L125" s="56">
        <v>20000000</v>
      </c>
      <c r="M125" s="69">
        <v>20000000</v>
      </c>
      <c r="N125" s="836" t="s">
        <v>81</v>
      </c>
      <c r="O125" s="836" t="s">
        <v>56</v>
      </c>
      <c r="P125" s="58" t="s">
        <v>61</v>
      </c>
      <c r="Q125" s="1094"/>
      <c r="R125" s="172" t="s">
        <v>2643</v>
      </c>
      <c r="S125" s="982" t="s">
        <v>2644</v>
      </c>
      <c r="T125" s="166">
        <v>42538</v>
      </c>
      <c r="U125" s="831" t="s">
        <v>2645</v>
      </c>
      <c r="V125" s="411" t="s">
        <v>212</v>
      </c>
      <c r="W125" s="1090">
        <v>20000000</v>
      </c>
      <c r="X125" s="181"/>
      <c r="Y125" s="134">
        <f t="shared" si="2"/>
        <v>20000000</v>
      </c>
      <c r="Z125" s="831" t="s">
        <v>2646</v>
      </c>
      <c r="AA125" s="411" t="s">
        <v>2647</v>
      </c>
      <c r="AB125" s="411" t="s">
        <v>350</v>
      </c>
      <c r="AC125" s="181" t="s">
        <v>2648</v>
      </c>
      <c r="AD125" s="411" t="s">
        <v>56</v>
      </c>
      <c r="AE125" s="411" t="s">
        <v>56</v>
      </c>
      <c r="AF125" s="411" t="s">
        <v>56</v>
      </c>
      <c r="AG125" s="411" t="s">
        <v>2649</v>
      </c>
      <c r="AH125" s="169">
        <v>42538</v>
      </c>
      <c r="AI125" s="169">
        <v>42690</v>
      </c>
      <c r="AJ125" s="411" t="s">
        <v>2650</v>
      </c>
      <c r="AK125" s="134" t="s">
        <v>1512</v>
      </c>
      <c r="AL125" s="87" t="s">
        <v>56</v>
      </c>
      <c r="AM125" s="32" t="s">
        <v>56</v>
      </c>
      <c r="AN125" s="32" t="s">
        <v>56</v>
      </c>
      <c r="AO125" s="32" t="s">
        <v>56</v>
      </c>
      <c r="AP125" s="32" t="s">
        <v>56</v>
      </c>
      <c r="AQ125" s="32" t="s">
        <v>56</v>
      </c>
      <c r="AR125" s="32" t="s">
        <v>56</v>
      </c>
      <c r="AS125" s="32"/>
      <c r="AT125" s="32"/>
      <c r="AU125" s="32"/>
      <c r="AV125" s="32"/>
      <c r="AW125" s="32"/>
      <c r="AX125" s="32"/>
      <c r="AY125" s="32"/>
      <c r="AZ125" s="32"/>
    </row>
    <row r="126" spans="1:52" ht="135" customHeight="1" x14ac:dyDescent="0.25">
      <c r="A126" s="832">
        <v>104</v>
      </c>
      <c r="B126" s="836" t="s">
        <v>998</v>
      </c>
      <c r="C126" s="836">
        <v>80101706</v>
      </c>
      <c r="D126" s="171" t="s">
        <v>175</v>
      </c>
      <c r="E126" s="836" t="s">
        <v>125</v>
      </c>
      <c r="F126" s="833">
        <v>1</v>
      </c>
      <c r="G126" s="834" t="s">
        <v>159</v>
      </c>
      <c r="H126" s="485">
        <v>2</v>
      </c>
      <c r="I126" s="1101" t="s">
        <v>96</v>
      </c>
      <c r="J126" s="836" t="s">
        <v>129</v>
      </c>
      <c r="K126" s="836" t="s">
        <v>108</v>
      </c>
      <c r="L126" s="56">
        <v>16400000</v>
      </c>
      <c r="M126" s="69">
        <v>16400000</v>
      </c>
      <c r="N126" s="836" t="s">
        <v>81</v>
      </c>
      <c r="O126" s="836" t="s">
        <v>56</v>
      </c>
      <c r="P126" s="58" t="s">
        <v>61</v>
      </c>
      <c r="Q126" s="1094"/>
      <c r="R126" s="172" t="s">
        <v>424</v>
      </c>
      <c r="S126" s="172" t="s">
        <v>425</v>
      </c>
      <c r="T126" s="28">
        <v>42395</v>
      </c>
      <c r="U126" s="29" t="s">
        <v>426</v>
      </c>
      <c r="V126" s="181" t="s">
        <v>212</v>
      </c>
      <c r="W126" s="30">
        <v>16400000</v>
      </c>
      <c r="X126" s="30"/>
      <c r="Y126" s="134">
        <f t="shared" si="2"/>
        <v>16400000</v>
      </c>
      <c r="Z126" s="181" t="s">
        <v>427</v>
      </c>
      <c r="AA126" s="181" t="s">
        <v>776</v>
      </c>
      <c r="AB126" s="181" t="s">
        <v>350</v>
      </c>
      <c r="AC126" s="181" t="s">
        <v>777</v>
      </c>
      <c r="AD126" s="181" t="s">
        <v>56</v>
      </c>
      <c r="AE126" s="181" t="s">
        <v>56</v>
      </c>
      <c r="AF126" s="181" t="s">
        <v>56</v>
      </c>
      <c r="AG126" s="181" t="s">
        <v>217</v>
      </c>
      <c r="AH126" s="1014">
        <v>42395</v>
      </c>
      <c r="AI126" s="1014">
        <v>42454</v>
      </c>
      <c r="AJ126" s="181" t="s">
        <v>778</v>
      </c>
      <c r="AK126" s="1017" t="s">
        <v>353</v>
      </c>
      <c r="AL126" s="1044" t="s">
        <v>56</v>
      </c>
      <c r="AM126" s="983">
        <v>8200000</v>
      </c>
      <c r="AN126" s="983">
        <v>8200000</v>
      </c>
      <c r="AO126" s="138"/>
      <c r="AP126" s="138"/>
      <c r="AQ126" s="138"/>
      <c r="AR126" s="138"/>
      <c r="AS126" s="138"/>
      <c r="AT126" s="138"/>
      <c r="AU126" s="138"/>
      <c r="AV126" s="138"/>
      <c r="AW126" s="138"/>
      <c r="AX126" s="138"/>
      <c r="AY126" s="138"/>
      <c r="AZ126" s="138"/>
    </row>
    <row r="127" spans="1:52" ht="104.25" customHeight="1" x14ac:dyDescent="0.25">
      <c r="A127" s="832">
        <v>105</v>
      </c>
      <c r="B127" s="836" t="s">
        <v>998</v>
      </c>
      <c r="C127" s="836">
        <v>80101706</v>
      </c>
      <c r="D127" s="171" t="s">
        <v>176</v>
      </c>
      <c r="E127" s="836" t="s">
        <v>125</v>
      </c>
      <c r="F127" s="833">
        <v>1</v>
      </c>
      <c r="G127" s="834" t="s">
        <v>159</v>
      </c>
      <c r="H127" s="485">
        <v>2</v>
      </c>
      <c r="I127" s="1101" t="s">
        <v>96</v>
      </c>
      <c r="J127" s="836" t="s">
        <v>129</v>
      </c>
      <c r="K127" s="836" t="s">
        <v>108</v>
      </c>
      <c r="L127" s="56">
        <v>8000000</v>
      </c>
      <c r="M127" s="69">
        <v>8000000</v>
      </c>
      <c r="N127" s="836" t="s">
        <v>81</v>
      </c>
      <c r="O127" s="836" t="s">
        <v>56</v>
      </c>
      <c r="P127" s="58" t="s">
        <v>61</v>
      </c>
      <c r="Q127" s="1094"/>
      <c r="R127" s="172" t="s">
        <v>629</v>
      </c>
      <c r="S127" s="172" t="s">
        <v>630</v>
      </c>
      <c r="T127" s="28">
        <v>42398</v>
      </c>
      <c r="U127" s="29" t="s">
        <v>631</v>
      </c>
      <c r="V127" s="181" t="s">
        <v>212</v>
      </c>
      <c r="W127" s="30">
        <v>8000000</v>
      </c>
      <c r="X127" s="30"/>
      <c r="Y127" s="134">
        <f t="shared" si="2"/>
        <v>8000000</v>
      </c>
      <c r="Z127" s="181" t="s">
        <v>632</v>
      </c>
      <c r="AA127" s="181" t="s">
        <v>633</v>
      </c>
      <c r="AB127" s="181" t="s">
        <v>350</v>
      </c>
      <c r="AC127" s="181" t="s">
        <v>779</v>
      </c>
      <c r="AD127" s="181" t="s">
        <v>56</v>
      </c>
      <c r="AE127" s="181" t="s">
        <v>56</v>
      </c>
      <c r="AF127" s="181" t="s">
        <v>56</v>
      </c>
      <c r="AG127" s="181" t="s">
        <v>217</v>
      </c>
      <c r="AH127" s="1014">
        <v>42398</v>
      </c>
      <c r="AI127" s="1014">
        <v>42457</v>
      </c>
      <c r="AJ127" s="181" t="s">
        <v>362</v>
      </c>
      <c r="AK127" s="1017" t="s">
        <v>353</v>
      </c>
      <c r="AL127" s="87" t="s">
        <v>56</v>
      </c>
      <c r="AM127" s="87" t="s">
        <v>56</v>
      </c>
      <c r="AN127" s="87" t="s">
        <v>56</v>
      </c>
      <c r="AO127" s="87" t="s">
        <v>56</v>
      </c>
      <c r="AP127" s="983">
        <v>4000000</v>
      </c>
      <c r="AQ127" s="983">
        <v>4000000</v>
      </c>
      <c r="AR127" s="32"/>
      <c r="AS127" s="32"/>
      <c r="AT127" s="32"/>
      <c r="AU127" s="32"/>
      <c r="AV127" s="32"/>
      <c r="AW127" s="32"/>
      <c r="AX127" s="32"/>
      <c r="AY127" s="32"/>
      <c r="AZ127" s="32"/>
    </row>
    <row r="128" spans="1:52" ht="93.75" customHeight="1" x14ac:dyDescent="0.25">
      <c r="A128" s="832">
        <v>106</v>
      </c>
      <c r="B128" s="836" t="s">
        <v>998</v>
      </c>
      <c r="C128" s="836">
        <v>80101706</v>
      </c>
      <c r="D128" s="171" t="s">
        <v>177</v>
      </c>
      <c r="E128" s="836" t="s">
        <v>125</v>
      </c>
      <c r="F128" s="833">
        <v>1</v>
      </c>
      <c r="G128" s="834" t="s">
        <v>161</v>
      </c>
      <c r="H128" s="485">
        <v>24</v>
      </c>
      <c r="I128" s="73" t="s">
        <v>89</v>
      </c>
      <c r="J128" s="836" t="s">
        <v>129</v>
      </c>
      <c r="K128" s="836" t="s">
        <v>108</v>
      </c>
      <c r="L128" s="56">
        <v>6560709</v>
      </c>
      <c r="M128" s="69">
        <v>6560709</v>
      </c>
      <c r="N128" s="836" t="s">
        <v>81</v>
      </c>
      <c r="O128" s="836" t="s">
        <v>56</v>
      </c>
      <c r="P128" s="58" t="s">
        <v>61</v>
      </c>
      <c r="Q128" s="1094"/>
      <c r="R128" s="172" t="s">
        <v>1354</v>
      </c>
      <c r="S128" s="172" t="s">
        <v>1355</v>
      </c>
      <c r="T128" s="28">
        <v>42478</v>
      </c>
      <c r="U128" s="1012" t="s">
        <v>1356</v>
      </c>
      <c r="V128" s="181" t="s">
        <v>594</v>
      </c>
      <c r="W128" s="1005">
        <v>5510000</v>
      </c>
      <c r="X128" s="181"/>
      <c r="Y128" s="134">
        <f t="shared" si="2"/>
        <v>5510000</v>
      </c>
      <c r="Z128" s="411" t="s">
        <v>1357</v>
      </c>
      <c r="AA128" s="411" t="s">
        <v>1358</v>
      </c>
      <c r="AB128" s="411" t="s">
        <v>350</v>
      </c>
      <c r="AC128" s="181" t="s">
        <v>1359</v>
      </c>
      <c r="AD128" s="411" t="s">
        <v>56</v>
      </c>
      <c r="AE128" s="411" t="s">
        <v>56</v>
      </c>
      <c r="AF128" s="411" t="s">
        <v>56</v>
      </c>
      <c r="AG128" s="168" t="s">
        <v>1360</v>
      </c>
      <c r="AH128" s="169">
        <v>42479</v>
      </c>
      <c r="AI128" s="169">
        <v>42843</v>
      </c>
      <c r="AJ128" s="411" t="s">
        <v>362</v>
      </c>
      <c r="AK128" s="134" t="s">
        <v>353</v>
      </c>
      <c r="AL128" s="87" t="s">
        <v>56</v>
      </c>
      <c r="AM128" s="87" t="s">
        <v>56</v>
      </c>
      <c r="AN128" s="87" t="s">
        <v>56</v>
      </c>
      <c r="AO128" s="87" t="s">
        <v>56</v>
      </c>
      <c r="AP128" s="87" t="s">
        <v>56</v>
      </c>
      <c r="AQ128" s="87" t="s">
        <v>56</v>
      </c>
      <c r="AR128" s="32">
        <v>5510000</v>
      </c>
      <c r="AS128" s="32"/>
      <c r="AT128" s="32"/>
      <c r="AU128" s="32"/>
      <c r="AV128" s="32"/>
      <c r="AW128" s="32"/>
      <c r="AX128" s="32"/>
      <c r="AY128" s="32"/>
      <c r="AZ128" s="32"/>
    </row>
    <row r="129" spans="1:52" ht="75" customHeight="1" x14ac:dyDescent="0.25">
      <c r="A129" s="832">
        <v>107</v>
      </c>
      <c r="B129" s="836" t="s">
        <v>995</v>
      </c>
      <c r="C129" s="836">
        <v>80101706</v>
      </c>
      <c r="D129" s="162" t="s">
        <v>192</v>
      </c>
      <c r="E129" s="836" t="s">
        <v>76</v>
      </c>
      <c r="F129" s="833">
        <v>1</v>
      </c>
      <c r="G129" s="834" t="s">
        <v>166</v>
      </c>
      <c r="H129" s="485" t="s">
        <v>634</v>
      </c>
      <c r="I129" s="836" t="s">
        <v>184</v>
      </c>
      <c r="J129" s="836" t="s">
        <v>105</v>
      </c>
      <c r="K129" s="836" t="s">
        <v>55</v>
      </c>
      <c r="L129" s="56">
        <v>17000000</v>
      </c>
      <c r="M129" s="57">
        <v>17000000</v>
      </c>
      <c r="N129" s="836" t="s">
        <v>81</v>
      </c>
      <c r="O129" s="836" t="s">
        <v>56</v>
      </c>
      <c r="P129" s="58" t="s">
        <v>185</v>
      </c>
      <c r="Q129" s="1118"/>
      <c r="R129" s="982" t="s">
        <v>692</v>
      </c>
      <c r="S129" s="982" t="s">
        <v>693</v>
      </c>
      <c r="T129" s="166">
        <v>42408</v>
      </c>
      <c r="U129" s="164" t="s">
        <v>694</v>
      </c>
      <c r="V129" s="411" t="s">
        <v>212</v>
      </c>
      <c r="W129" s="134">
        <v>13500000</v>
      </c>
      <c r="X129" s="30"/>
      <c r="Y129" s="134">
        <f t="shared" si="2"/>
        <v>13500000</v>
      </c>
      <c r="Z129" s="411" t="s">
        <v>695</v>
      </c>
      <c r="AA129" s="411" t="s">
        <v>696</v>
      </c>
      <c r="AB129" s="411" t="s">
        <v>35</v>
      </c>
      <c r="AC129" s="411" t="s">
        <v>697</v>
      </c>
      <c r="AD129" s="411" t="s">
        <v>56</v>
      </c>
      <c r="AE129" s="411" t="s">
        <v>56</v>
      </c>
      <c r="AF129" s="411" t="s">
        <v>56</v>
      </c>
      <c r="AG129" s="411" t="s">
        <v>698</v>
      </c>
      <c r="AH129" s="169">
        <v>42408</v>
      </c>
      <c r="AI129" s="169">
        <v>42558</v>
      </c>
      <c r="AJ129" s="411" t="s">
        <v>699</v>
      </c>
      <c r="AK129" s="170" t="s">
        <v>700</v>
      </c>
      <c r="AL129" s="1044" t="s">
        <v>56</v>
      </c>
      <c r="AM129" s="983">
        <v>2700000</v>
      </c>
      <c r="AN129" s="983">
        <v>2700000</v>
      </c>
      <c r="AO129" s="70">
        <f>SUBTOTAL(9,AM129:AN129)</f>
        <v>5400000</v>
      </c>
      <c r="AP129" s="1044" t="s">
        <v>56</v>
      </c>
      <c r="AQ129" s="983">
        <v>2700000</v>
      </c>
      <c r="AR129" s="983">
        <v>2700000</v>
      </c>
      <c r="AS129" s="70">
        <f>SUBTOTAL(9,AQ129:AR129)</f>
        <v>5400000</v>
      </c>
      <c r="AT129" s="983">
        <v>2700000</v>
      </c>
      <c r="AU129" s="32"/>
      <c r="AV129" s="32"/>
      <c r="AW129" s="32"/>
      <c r="AX129" s="32"/>
      <c r="AY129" s="32"/>
      <c r="AZ129" s="32"/>
    </row>
    <row r="130" spans="1:52" ht="72.75" customHeight="1" x14ac:dyDescent="0.25">
      <c r="A130" s="148">
        <v>109</v>
      </c>
      <c r="B130" s="833" t="s">
        <v>991</v>
      </c>
      <c r="C130" s="836">
        <v>56101708</v>
      </c>
      <c r="D130" s="164" t="s">
        <v>887</v>
      </c>
      <c r="E130" s="836" t="s">
        <v>76</v>
      </c>
      <c r="F130" s="833">
        <v>1</v>
      </c>
      <c r="G130" s="834" t="s">
        <v>163</v>
      </c>
      <c r="H130" s="485">
        <v>2</v>
      </c>
      <c r="I130" s="836" t="s">
        <v>2614</v>
      </c>
      <c r="J130" s="836" t="s">
        <v>557</v>
      </c>
      <c r="K130" s="836" t="s">
        <v>108</v>
      </c>
      <c r="L130" s="56">
        <v>64500000</v>
      </c>
      <c r="M130" s="57">
        <v>64500000</v>
      </c>
      <c r="N130" s="836" t="s">
        <v>81</v>
      </c>
      <c r="O130" s="836" t="s">
        <v>56</v>
      </c>
      <c r="P130" s="24" t="s">
        <v>1782</v>
      </c>
      <c r="Q130" s="1119"/>
      <c r="R130" s="94"/>
      <c r="S130" s="92"/>
      <c r="T130" s="27"/>
      <c r="U130" s="28"/>
      <c r="V130" s="29"/>
      <c r="W130" s="181"/>
      <c r="X130" s="181"/>
      <c r="Y130" s="134">
        <f t="shared" si="2"/>
        <v>0</v>
      </c>
      <c r="Z130" s="30"/>
      <c r="AA130" s="29"/>
      <c r="AB130" s="181"/>
      <c r="AC130" s="181"/>
      <c r="AD130" s="181"/>
      <c r="AE130" s="181"/>
      <c r="AF130" s="181"/>
      <c r="AG130" s="833"/>
      <c r="AH130" s="833"/>
      <c r="AI130" s="31"/>
      <c r="AJ130" s="31"/>
      <c r="AK130" s="89"/>
      <c r="AL130" s="87"/>
      <c r="AM130" s="32"/>
      <c r="AN130" s="32"/>
      <c r="AO130" s="32"/>
      <c r="AP130" s="32"/>
      <c r="AQ130" s="32"/>
      <c r="AR130" s="32"/>
      <c r="AS130" s="32"/>
      <c r="AT130" s="32"/>
      <c r="AU130" s="32"/>
      <c r="AV130" s="32"/>
      <c r="AW130" s="32"/>
      <c r="AX130" s="32"/>
      <c r="AY130" s="32"/>
      <c r="AZ130" s="32"/>
    </row>
    <row r="131" spans="1:52" ht="86.25" customHeight="1" x14ac:dyDescent="0.25">
      <c r="A131" s="148">
        <v>110</v>
      </c>
      <c r="B131" s="833" t="s">
        <v>991</v>
      </c>
      <c r="C131" s="836">
        <v>80101706</v>
      </c>
      <c r="D131" s="164" t="s">
        <v>2821</v>
      </c>
      <c r="E131" s="836" t="s">
        <v>95</v>
      </c>
      <c r="F131" s="833">
        <v>1</v>
      </c>
      <c r="G131" s="834" t="s">
        <v>165</v>
      </c>
      <c r="H131" s="485">
        <v>12</v>
      </c>
      <c r="I131" s="836" t="s">
        <v>1783</v>
      </c>
      <c r="J131" s="836" t="s">
        <v>557</v>
      </c>
      <c r="K131" s="836" t="s">
        <v>108</v>
      </c>
      <c r="L131" s="56">
        <v>850000000</v>
      </c>
      <c r="M131" s="57">
        <v>850000000</v>
      </c>
      <c r="N131" s="836" t="s">
        <v>81</v>
      </c>
      <c r="O131" s="836" t="s">
        <v>56</v>
      </c>
      <c r="P131" s="24" t="s">
        <v>1782</v>
      </c>
      <c r="Q131" s="1119"/>
      <c r="R131" s="172" t="s">
        <v>2822</v>
      </c>
      <c r="S131" s="1004" t="s">
        <v>2932</v>
      </c>
      <c r="T131" s="28">
        <v>42551</v>
      </c>
      <c r="U131" s="29" t="s">
        <v>2936</v>
      </c>
      <c r="V131" s="181" t="s">
        <v>2931</v>
      </c>
      <c r="W131" s="1005">
        <v>850000000</v>
      </c>
      <c r="X131" s="181"/>
      <c r="Y131" s="134">
        <f t="shared" si="2"/>
        <v>850000000</v>
      </c>
      <c r="Z131" s="831" t="s">
        <v>2930</v>
      </c>
      <c r="AA131" s="411" t="s">
        <v>2929</v>
      </c>
      <c r="AB131" s="411" t="s">
        <v>2928</v>
      </c>
      <c r="AC131" s="181" t="s">
        <v>2927</v>
      </c>
      <c r="AD131" s="411" t="s">
        <v>56</v>
      </c>
      <c r="AE131" s="411" t="s">
        <v>56</v>
      </c>
      <c r="AF131" s="411" t="s">
        <v>56</v>
      </c>
      <c r="AG131" s="831" t="s">
        <v>2926</v>
      </c>
      <c r="AH131" s="169">
        <v>42551</v>
      </c>
      <c r="AI131" s="169">
        <v>42915</v>
      </c>
      <c r="AJ131" s="411" t="s">
        <v>2925</v>
      </c>
      <c r="AK131" s="134" t="s">
        <v>2924</v>
      </c>
      <c r="AL131" s="87" t="s">
        <v>56</v>
      </c>
      <c r="AM131" s="87" t="s">
        <v>56</v>
      </c>
      <c r="AN131" s="87" t="s">
        <v>56</v>
      </c>
      <c r="AO131" s="87" t="s">
        <v>56</v>
      </c>
      <c r="AP131" s="87" t="s">
        <v>56</v>
      </c>
      <c r="AQ131" s="87" t="s">
        <v>56</v>
      </c>
      <c r="AR131" s="87" t="s">
        <v>56</v>
      </c>
      <c r="AS131" s="87" t="s">
        <v>56</v>
      </c>
      <c r="AT131" s="32">
        <v>450000000</v>
      </c>
      <c r="AU131" s="32"/>
      <c r="AV131" s="32"/>
      <c r="AW131" s="32"/>
      <c r="AX131" s="32"/>
      <c r="AY131" s="32"/>
      <c r="AZ131" s="32"/>
    </row>
    <row r="132" spans="1:52" ht="120" customHeight="1" x14ac:dyDescent="0.25">
      <c r="A132" s="832">
        <v>111</v>
      </c>
      <c r="B132" s="836" t="s">
        <v>999</v>
      </c>
      <c r="C132" s="836">
        <v>80101706</v>
      </c>
      <c r="D132" s="171" t="s">
        <v>635</v>
      </c>
      <c r="E132" s="836" t="s">
        <v>125</v>
      </c>
      <c r="F132" s="833">
        <v>1</v>
      </c>
      <c r="G132" s="834" t="s">
        <v>166</v>
      </c>
      <c r="H132" s="485" t="s">
        <v>636</v>
      </c>
      <c r="I132" s="619" t="s">
        <v>96</v>
      </c>
      <c r="J132" s="836" t="s">
        <v>127</v>
      </c>
      <c r="K132" s="836" t="s">
        <v>108</v>
      </c>
      <c r="L132" s="56">
        <v>17000000</v>
      </c>
      <c r="M132" s="57">
        <v>17000000</v>
      </c>
      <c r="N132" s="836" t="s">
        <v>81</v>
      </c>
      <c r="O132" s="836" t="s">
        <v>56</v>
      </c>
      <c r="P132" s="24" t="s">
        <v>126</v>
      </c>
      <c r="Q132" s="45"/>
      <c r="R132" s="172" t="s">
        <v>701</v>
      </c>
      <c r="S132" s="172" t="s">
        <v>702</v>
      </c>
      <c r="T132" s="28">
        <v>42408</v>
      </c>
      <c r="U132" s="1012" t="s">
        <v>703</v>
      </c>
      <c r="V132" s="181" t="s">
        <v>212</v>
      </c>
      <c r="W132" s="30">
        <v>17000000</v>
      </c>
      <c r="X132" s="30"/>
      <c r="Y132" s="134">
        <f t="shared" si="2"/>
        <v>17000000</v>
      </c>
      <c r="Z132" s="181" t="s">
        <v>704</v>
      </c>
      <c r="AA132" s="181" t="s">
        <v>705</v>
      </c>
      <c r="AB132" s="181" t="s">
        <v>225</v>
      </c>
      <c r="AC132" s="181" t="s">
        <v>706</v>
      </c>
      <c r="AD132" s="181" t="s">
        <v>56</v>
      </c>
      <c r="AE132" s="181" t="s">
        <v>56</v>
      </c>
      <c r="AF132" s="181" t="s">
        <v>56</v>
      </c>
      <c r="AG132" s="181" t="s">
        <v>217</v>
      </c>
      <c r="AH132" s="1014">
        <v>42408</v>
      </c>
      <c r="AI132" s="1014">
        <v>42467</v>
      </c>
      <c r="AJ132" s="181" t="s">
        <v>707</v>
      </c>
      <c r="AK132" s="1017" t="s">
        <v>708</v>
      </c>
      <c r="AL132" s="1044" t="s">
        <v>56</v>
      </c>
      <c r="AM132" s="1045">
        <v>8500000</v>
      </c>
      <c r="AN132" s="1045">
        <v>8500000</v>
      </c>
      <c r="AO132" s="32"/>
      <c r="AP132" s="32"/>
      <c r="AQ132" s="32"/>
      <c r="AR132" s="32"/>
      <c r="AS132" s="32"/>
      <c r="AT132" s="32"/>
      <c r="AU132" s="32"/>
      <c r="AV132" s="32"/>
      <c r="AW132" s="32"/>
      <c r="AX132" s="32"/>
      <c r="AY132" s="32"/>
      <c r="AZ132" s="32"/>
    </row>
    <row r="133" spans="1:52" ht="175.5" customHeight="1" x14ac:dyDescent="0.25">
      <c r="A133" s="148">
        <v>112</v>
      </c>
      <c r="B133" s="149" t="s">
        <v>985</v>
      </c>
      <c r="C133" s="839">
        <v>80101706</v>
      </c>
      <c r="D133" s="1120" t="s">
        <v>638</v>
      </c>
      <c r="E133" s="1121" t="s">
        <v>95</v>
      </c>
      <c r="F133" s="841">
        <v>1</v>
      </c>
      <c r="G133" s="843" t="s">
        <v>164</v>
      </c>
      <c r="H133" s="845">
        <v>7</v>
      </c>
      <c r="I133" s="796" t="s">
        <v>96</v>
      </c>
      <c r="J133" s="1122" t="s">
        <v>639</v>
      </c>
      <c r="K133" s="841" t="s">
        <v>108</v>
      </c>
      <c r="L133" s="1123">
        <v>36851864</v>
      </c>
      <c r="M133" s="56">
        <v>36851864</v>
      </c>
      <c r="N133" s="136" t="s">
        <v>81</v>
      </c>
      <c r="O133" s="136" t="s">
        <v>56</v>
      </c>
      <c r="P133" s="16" t="s">
        <v>640</v>
      </c>
      <c r="Q133" s="45"/>
      <c r="R133" s="172" t="s">
        <v>1287</v>
      </c>
      <c r="S133" s="172" t="s">
        <v>1288</v>
      </c>
      <c r="T133" s="28">
        <v>42475</v>
      </c>
      <c r="U133" s="1012" t="s">
        <v>1289</v>
      </c>
      <c r="V133" s="181" t="s">
        <v>212</v>
      </c>
      <c r="W133" s="1005">
        <v>36851864</v>
      </c>
      <c r="X133" s="181"/>
      <c r="Y133" s="134">
        <f t="shared" si="2"/>
        <v>36851864</v>
      </c>
      <c r="Z133" s="411" t="s">
        <v>1290</v>
      </c>
      <c r="AA133" s="411" t="s">
        <v>1291</v>
      </c>
      <c r="AB133" s="411" t="s">
        <v>225</v>
      </c>
      <c r="AC133" s="181"/>
      <c r="AD133" s="411" t="s">
        <v>56</v>
      </c>
      <c r="AE133" s="411" t="s">
        <v>56</v>
      </c>
      <c r="AF133" s="411" t="s">
        <v>56</v>
      </c>
      <c r="AG133" s="168" t="s">
        <v>1292</v>
      </c>
      <c r="AH133" s="169">
        <v>42475</v>
      </c>
      <c r="AI133" s="169">
        <v>42688</v>
      </c>
      <c r="AJ133" s="411" t="s">
        <v>1129</v>
      </c>
      <c r="AK133" s="134" t="s">
        <v>795</v>
      </c>
      <c r="AL133" s="44" t="s">
        <v>56</v>
      </c>
      <c r="AM133" s="32" t="s">
        <v>56</v>
      </c>
      <c r="AN133" s="32" t="s">
        <v>56</v>
      </c>
      <c r="AO133" s="32" t="s">
        <v>56</v>
      </c>
      <c r="AP133" s="32" t="s">
        <v>56</v>
      </c>
      <c r="AQ133" s="32">
        <v>5264552</v>
      </c>
      <c r="AR133" s="32">
        <v>5264552</v>
      </c>
      <c r="AS133" s="32"/>
      <c r="AT133" s="32">
        <v>5264552</v>
      </c>
      <c r="AU133" s="32"/>
      <c r="AV133" s="32"/>
      <c r="AW133" s="32"/>
      <c r="AX133" s="32"/>
      <c r="AY133" s="32"/>
      <c r="AZ133" s="32"/>
    </row>
    <row r="134" spans="1:52" ht="149.25" customHeight="1" x14ac:dyDescent="0.25">
      <c r="A134" s="148">
        <v>113</v>
      </c>
      <c r="B134" s="149" t="s">
        <v>985</v>
      </c>
      <c r="C134" s="836">
        <v>80101706</v>
      </c>
      <c r="D134" s="173" t="s">
        <v>864</v>
      </c>
      <c r="E134" s="137" t="s">
        <v>95</v>
      </c>
      <c r="F134" s="833">
        <v>1</v>
      </c>
      <c r="G134" s="834" t="s">
        <v>162</v>
      </c>
      <c r="H134" s="485">
        <v>6</v>
      </c>
      <c r="I134" s="24" t="s">
        <v>96</v>
      </c>
      <c r="J134" s="136" t="s">
        <v>639</v>
      </c>
      <c r="K134" s="833" t="s">
        <v>108</v>
      </c>
      <c r="L134" s="56">
        <v>45911790</v>
      </c>
      <c r="M134" s="56">
        <v>45911790</v>
      </c>
      <c r="N134" s="136" t="s">
        <v>81</v>
      </c>
      <c r="O134" s="136" t="s">
        <v>56</v>
      </c>
      <c r="P134" s="16" t="s">
        <v>640</v>
      </c>
      <c r="Q134" s="45"/>
      <c r="R134" s="172" t="s">
        <v>2651</v>
      </c>
      <c r="S134" s="172" t="s">
        <v>2652</v>
      </c>
      <c r="T134" s="28">
        <v>42503</v>
      </c>
      <c r="U134" s="1012" t="s">
        <v>2653</v>
      </c>
      <c r="V134" s="181" t="s">
        <v>212</v>
      </c>
      <c r="W134" s="1005">
        <v>45911790</v>
      </c>
      <c r="X134" s="181"/>
      <c r="Y134" s="134">
        <f t="shared" si="2"/>
        <v>45911790</v>
      </c>
      <c r="Z134" s="994" t="s">
        <v>2654</v>
      </c>
      <c r="AA134" s="411" t="s">
        <v>2655</v>
      </c>
      <c r="AB134" s="411" t="s">
        <v>225</v>
      </c>
      <c r="AC134" s="181" t="s">
        <v>2656</v>
      </c>
      <c r="AD134" s="411" t="s">
        <v>56</v>
      </c>
      <c r="AE134" s="411" t="s">
        <v>56</v>
      </c>
      <c r="AF134" s="411" t="s">
        <v>56</v>
      </c>
      <c r="AG134" s="168" t="s">
        <v>2657</v>
      </c>
      <c r="AH134" s="169">
        <v>42503</v>
      </c>
      <c r="AI134" s="169">
        <v>42686</v>
      </c>
      <c r="AJ134" s="411" t="s">
        <v>2658</v>
      </c>
      <c r="AK134" s="134" t="s">
        <v>795</v>
      </c>
      <c r="AL134" s="44" t="s">
        <v>56</v>
      </c>
      <c r="AM134" s="32" t="s">
        <v>56</v>
      </c>
      <c r="AN134" s="32" t="s">
        <v>56</v>
      </c>
      <c r="AO134" s="32" t="s">
        <v>56</v>
      </c>
      <c r="AP134" s="32" t="s">
        <v>56</v>
      </c>
      <c r="AQ134" s="32" t="s">
        <v>56</v>
      </c>
      <c r="AR134" s="32">
        <v>7651965</v>
      </c>
      <c r="AS134" s="32"/>
      <c r="AT134" s="32">
        <v>7651965</v>
      </c>
      <c r="AU134" s="32">
        <v>7651965</v>
      </c>
      <c r="AV134" s="32"/>
      <c r="AW134" s="32"/>
      <c r="AX134" s="32"/>
      <c r="AY134" s="32"/>
      <c r="AZ134" s="32"/>
    </row>
    <row r="135" spans="1:52" ht="149.25" customHeight="1" x14ac:dyDescent="0.25">
      <c r="A135" s="148">
        <v>114</v>
      </c>
      <c r="B135" s="149" t="s">
        <v>985</v>
      </c>
      <c r="C135" s="836">
        <v>80101706</v>
      </c>
      <c r="D135" s="173" t="s">
        <v>865</v>
      </c>
      <c r="E135" s="137" t="s">
        <v>95</v>
      </c>
      <c r="F135" s="833">
        <v>1</v>
      </c>
      <c r="G135" s="834" t="s">
        <v>164</v>
      </c>
      <c r="H135" s="485">
        <v>7</v>
      </c>
      <c r="I135" s="24" t="s">
        <v>96</v>
      </c>
      <c r="J135" s="136" t="s">
        <v>639</v>
      </c>
      <c r="K135" s="833" t="s">
        <v>108</v>
      </c>
      <c r="L135" s="56">
        <v>24500000</v>
      </c>
      <c r="M135" s="56">
        <v>24500000</v>
      </c>
      <c r="N135" s="136" t="s">
        <v>81</v>
      </c>
      <c r="O135" s="136" t="s">
        <v>56</v>
      </c>
      <c r="P135" s="16" t="s">
        <v>640</v>
      </c>
      <c r="Q135" s="45"/>
      <c r="R135" s="172" t="s">
        <v>1293</v>
      </c>
      <c r="S135" s="172" t="s">
        <v>1294</v>
      </c>
      <c r="T135" s="28">
        <v>42475</v>
      </c>
      <c r="U135" s="1012" t="s">
        <v>1295</v>
      </c>
      <c r="V135" s="181" t="s">
        <v>212</v>
      </c>
      <c r="W135" s="1005">
        <v>24500000</v>
      </c>
      <c r="X135" s="181"/>
      <c r="Y135" s="134">
        <f t="shared" si="2"/>
        <v>24500000</v>
      </c>
      <c r="Z135" s="411" t="s">
        <v>1296</v>
      </c>
      <c r="AA135" s="411" t="s">
        <v>1297</v>
      </c>
      <c r="AB135" s="411" t="s">
        <v>225</v>
      </c>
      <c r="AC135" s="181"/>
      <c r="AD135" s="411" t="s">
        <v>56</v>
      </c>
      <c r="AE135" s="411" t="s">
        <v>56</v>
      </c>
      <c r="AF135" s="411" t="s">
        <v>56</v>
      </c>
      <c r="AG135" s="168" t="s">
        <v>1292</v>
      </c>
      <c r="AH135" s="169">
        <v>42475</v>
      </c>
      <c r="AI135" s="169">
        <v>42688</v>
      </c>
      <c r="AJ135" s="411" t="s">
        <v>1129</v>
      </c>
      <c r="AK135" s="134" t="s">
        <v>795</v>
      </c>
      <c r="AL135" s="44" t="s">
        <v>56</v>
      </c>
      <c r="AM135" s="32" t="s">
        <v>56</v>
      </c>
      <c r="AN135" s="32" t="s">
        <v>56</v>
      </c>
      <c r="AO135" s="32" t="s">
        <v>56</v>
      </c>
      <c r="AP135" s="32" t="s">
        <v>56</v>
      </c>
      <c r="AQ135" s="32">
        <v>3500000</v>
      </c>
      <c r="AR135" s="32">
        <v>3500000</v>
      </c>
      <c r="AS135" s="32"/>
      <c r="AT135" s="32">
        <v>3500000</v>
      </c>
      <c r="AU135" s="32"/>
      <c r="AV135" s="32"/>
      <c r="AW135" s="32"/>
      <c r="AX135" s="32"/>
      <c r="AY135" s="32"/>
      <c r="AZ135" s="32"/>
    </row>
    <row r="136" spans="1:52" ht="175.5" customHeight="1" x14ac:dyDescent="0.25">
      <c r="A136" s="148">
        <v>115</v>
      </c>
      <c r="B136" s="149" t="s">
        <v>985</v>
      </c>
      <c r="C136" s="836">
        <v>80101706</v>
      </c>
      <c r="D136" s="173" t="s">
        <v>641</v>
      </c>
      <c r="E136" s="137" t="s">
        <v>95</v>
      </c>
      <c r="F136" s="833">
        <v>1</v>
      </c>
      <c r="G136" s="834" t="s">
        <v>164</v>
      </c>
      <c r="H136" s="485">
        <v>7</v>
      </c>
      <c r="I136" s="24" t="s">
        <v>96</v>
      </c>
      <c r="J136" s="136" t="s">
        <v>639</v>
      </c>
      <c r="K136" s="833" t="s">
        <v>108</v>
      </c>
      <c r="L136" s="56">
        <v>24500000</v>
      </c>
      <c r="M136" s="56">
        <v>24500000</v>
      </c>
      <c r="N136" s="136" t="s">
        <v>81</v>
      </c>
      <c r="O136" s="136" t="s">
        <v>56</v>
      </c>
      <c r="P136" s="16" t="s">
        <v>640</v>
      </c>
      <c r="Q136" s="45"/>
      <c r="R136" s="172" t="s">
        <v>1298</v>
      </c>
      <c r="S136" s="172" t="s">
        <v>1299</v>
      </c>
      <c r="T136" s="28">
        <v>42475</v>
      </c>
      <c r="U136" s="1012" t="s">
        <v>1300</v>
      </c>
      <c r="V136" s="181" t="s">
        <v>212</v>
      </c>
      <c r="W136" s="1005">
        <v>24500000</v>
      </c>
      <c r="X136" s="181"/>
      <c r="Y136" s="134">
        <f t="shared" si="2"/>
        <v>24500000</v>
      </c>
      <c r="Z136" s="411" t="s">
        <v>1296</v>
      </c>
      <c r="AA136" s="411" t="s">
        <v>1301</v>
      </c>
      <c r="AB136" s="411" t="s">
        <v>225</v>
      </c>
      <c r="AC136" s="181"/>
      <c r="AD136" s="411" t="s">
        <v>56</v>
      </c>
      <c r="AE136" s="411" t="s">
        <v>56</v>
      </c>
      <c r="AF136" s="411" t="s">
        <v>56</v>
      </c>
      <c r="AG136" s="168" t="s">
        <v>1302</v>
      </c>
      <c r="AH136" s="169">
        <v>42475</v>
      </c>
      <c r="AI136" s="169">
        <v>42688</v>
      </c>
      <c r="AJ136" s="411" t="s">
        <v>1129</v>
      </c>
      <c r="AK136" s="134" t="s">
        <v>795</v>
      </c>
      <c r="AL136" s="44" t="s">
        <v>56</v>
      </c>
      <c r="AM136" s="32" t="s">
        <v>56</v>
      </c>
      <c r="AN136" s="32" t="s">
        <v>56</v>
      </c>
      <c r="AO136" s="32" t="s">
        <v>56</v>
      </c>
      <c r="AP136" s="32" t="s">
        <v>56</v>
      </c>
      <c r="AQ136" s="983">
        <v>3500000</v>
      </c>
      <c r="AR136" s="1114">
        <v>3500000</v>
      </c>
      <c r="AS136" s="32"/>
      <c r="AT136" s="1114">
        <v>3500000</v>
      </c>
      <c r="AU136" s="32"/>
      <c r="AV136" s="32"/>
      <c r="AW136" s="32"/>
      <c r="AX136" s="32"/>
      <c r="AY136" s="32"/>
      <c r="AZ136" s="32"/>
    </row>
    <row r="137" spans="1:52" ht="204.75" customHeight="1" x14ac:dyDescent="0.25">
      <c r="A137" s="148">
        <v>116</v>
      </c>
      <c r="B137" s="149" t="s">
        <v>985</v>
      </c>
      <c r="C137" s="836">
        <v>80101706</v>
      </c>
      <c r="D137" s="173" t="s">
        <v>866</v>
      </c>
      <c r="E137" s="137" t="s">
        <v>95</v>
      </c>
      <c r="F137" s="833">
        <v>1</v>
      </c>
      <c r="G137" s="834" t="s">
        <v>164</v>
      </c>
      <c r="H137" s="485">
        <v>7</v>
      </c>
      <c r="I137" s="24" t="s">
        <v>96</v>
      </c>
      <c r="J137" s="136" t="s">
        <v>639</v>
      </c>
      <c r="K137" s="833" t="s">
        <v>108</v>
      </c>
      <c r="L137" s="56">
        <v>22750000</v>
      </c>
      <c r="M137" s="56">
        <v>22750000</v>
      </c>
      <c r="N137" s="136" t="s">
        <v>81</v>
      </c>
      <c r="O137" s="136" t="s">
        <v>56</v>
      </c>
      <c r="P137" s="16" t="s">
        <v>640</v>
      </c>
      <c r="Q137" s="45"/>
      <c r="R137" s="172" t="s">
        <v>1303</v>
      </c>
      <c r="S137" s="982" t="s">
        <v>1304</v>
      </c>
      <c r="T137" s="166">
        <v>42475</v>
      </c>
      <c r="U137" s="164" t="s">
        <v>1305</v>
      </c>
      <c r="V137" s="411" t="s">
        <v>212</v>
      </c>
      <c r="W137" s="1090">
        <v>22750000</v>
      </c>
      <c r="X137" s="181"/>
      <c r="Y137" s="134">
        <f t="shared" si="2"/>
        <v>22750000</v>
      </c>
      <c r="Z137" s="411" t="s">
        <v>1306</v>
      </c>
      <c r="AA137" s="411" t="s">
        <v>1307</v>
      </c>
      <c r="AB137" s="411" t="s">
        <v>225</v>
      </c>
      <c r="AC137" s="181"/>
      <c r="AD137" s="411" t="s">
        <v>56</v>
      </c>
      <c r="AE137" s="411" t="s">
        <v>56</v>
      </c>
      <c r="AF137" s="411" t="s">
        <v>56</v>
      </c>
      <c r="AG137" s="168" t="s">
        <v>1308</v>
      </c>
      <c r="AH137" s="169">
        <v>42475</v>
      </c>
      <c r="AI137" s="169">
        <v>42672</v>
      </c>
      <c r="AJ137" s="411" t="s">
        <v>1129</v>
      </c>
      <c r="AK137" s="134" t="s">
        <v>795</v>
      </c>
      <c r="AL137" s="44" t="s">
        <v>56</v>
      </c>
      <c r="AM137" s="32" t="s">
        <v>56</v>
      </c>
      <c r="AN137" s="32" t="s">
        <v>56</v>
      </c>
      <c r="AO137" s="32" t="s">
        <v>56</v>
      </c>
      <c r="AP137" s="32" t="s">
        <v>56</v>
      </c>
      <c r="AQ137" s="983">
        <v>3500000</v>
      </c>
      <c r="AR137" s="1114">
        <v>3500000</v>
      </c>
      <c r="AS137" s="32"/>
      <c r="AT137" s="1114">
        <v>3500000</v>
      </c>
      <c r="AU137" s="32"/>
      <c r="AV137" s="32"/>
      <c r="AW137" s="32"/>
      <c r="AX137" s="32"/>
      <c r="AY137" s="32"/>
      <c r="AZ137" s="32"/>
    </row>
    <row r="138" spans="1:52" ht="182.25" customHeight="1" x14ac:dyDescent="0.25">
      <c r="A138" s="148">
        <v>117</v>
      </c>
      <c r="B138" s="149" t="s">
        <v>985</v>
      </c>
      <c r="C138" s="836">
        <v>80101706</v>
      </c>
      <c r="D138" s="173" t="s">
        <v>867</v>
      </c>
      <c r="E138" s="137" t="s">
        <v>95</v>
      </c>
      <c r="F138" s="833">
        <v>1</v>
      </c>
      <c r="G138" s="834" t="s">
        <v>164</v>
      </c>
      <c r="H138" s="485">
        <v>7</v>
      </c>
      <c r="I138" s="24" t="s">
        <v>96</v>
      </c>
      <c r="J138" s="136" t="s">
        <v>639</v>
      </c>
      <c r="K138" s="833" t="s">
        <v>108</v>
      </c>
      <c r="L138" s="56">
        <v>22750000</v>
      </c>
      <c r="M138" s="56">
        <v>22750000</v>
      </c>
      <c r="N138" s="136" t="s">
        <v>81</v>
      </c>
      <c r="O138" s="136" t="s">
        <v>56</v>
      </c>
      <c r="P138" s="16" t="s">
        <v>640</v>
      </c>
      <c r="Q138" s="45"/>
      <c r="R138" s="172" t="s">
        <v>1361</v>
      </c>
      <c r="S138" s="172" t="s">
        <v>1362</v>
      </c>
      <c r="T138" s="28">
        <v>42478</v>
      </c>
      <c r="U138" s="1012" t="s">
        <v>1363</v>
      </c>
      <c r="V138" s="181" t="s">
        <v>212</v>
      </c>
      <c r="W138" s="1005">
        <v>22750000</v>
      </c>
      <c r="X138" s="181"/>
      <c r="Y138" s="134">
        <f t="shared" si="2"/>
        <v>22750000</v>
      </c>
      <c r="Z138" s="411" t="s">
        <v>1306</v>
      </c>
      <c r="AA138" s="411" t="s">
        <v>1364</v>
      </c>
      <c r="AB138" s="411" t="s">
        <v>225</v>
      </c>
      <c r="AC138" s="181" t="s">
        <v>1365</v>
      </c>
      <c r="AD138" s="411" t="s">
        <v>56</v>
      </c>
      <c r="AE138" s="411" t="s">
        <v>56</v>
      </c>
      <c r="AF138" s="411" t="s">
        <v>56</v>
      </c>
      <c r="AG138" s="168" t="s">
        <v>1308</v>
      </c>
      <c r="AH138" s="169">
        <v>42479</v>
      </c>
      <c r="AI138" s="169">
        <v>42675</v>
      </c>
      <c r="AJ138" s="411" t="s">
        <v>1129</v>
      </c>
      <c r="AK138" s="134" t="s">
        <v>795</v>
      </c>
      <c r="AL138" s="44" t="s">
        <v>56</v>
      </c>
      <c r="AM138" s="32" t="s">
        <v>56</v>
      </c>
      <c r="AN138" s="32" t="s">
        <v>56</v>
      </c>
      <c r="AO138" s="32" t="s">
        <v>56</v>
      </c>
      <c r="AP138" s="32" t="s">
        <v>56</v>
      </c>
      <c r="AQ138" s="983">
        <v>3500000</v>
      </c>
      <c r="AR138" s="32">
        <v>3500000</v>
      </c>
      <c r="AS138" s="32"/>
      <c r="AT138" s="32">
        <v>3500000</v>
      </c>
      <c r="AU138" s="32"/>
      <c r="AV138" s="32"/>
      <c r="AW138" s="32"/>
      <c r="AX138" s="32"/>
      <c r="AY138" s="32"/>
      <c r="AZ138" s="32"/>
    </row>
    <row r="139" spans="1:52" ht="105.75" customHeight="1" thickBot="1" x14ac:dyDescent="0.3">
      <c r="A139" s="148">
        <v>118</v>
      </c>
      <c r="B139" s="149" t="s">
        <v>985</v>
      </c>
      <c r="C139" s="836">
        <v>80101706</v>
      </c>
      <c r="D139" s="173" t="s">
        <v>642</v>
      </c>
      <c r="E139" s="137" t="s">
        <v>95</v>
      </c>
      <c r="F139" s="833">
        <v>1</v>
      </c>
      <c r="G139" s="834" t="s">
        <v>164</v>
      </c>
      <c r="H139" s="485">
        <v>9</v>
      </c>
      <c r="I139" s="836" t="s">
        <v>2617</v>
      </c>
      <c r="J139" s="136" t="s">
        <v>639</v>
      </c>
      <c r="K139" s="833" t="s">
        <v>108</v>
      </c>
      <c r="L139" s="56">
        <v>9000000</v>
      </c>
      <c r="M139" s="56">
        <v>9000000</v>
      </c>
      <c r="N139" s="136" t="s">
        <v>81</v>
      </c>
      <c r="O139" s="136" t="s">
        <v>56</v>
      </c>
      <c r="P139" s="1124" t="s">
        <v>640</v>
      </c>
      <c r="Q139" s="45"/>
      <c r="R139" s="1125"/>
      <c r="S139" s="92"/>
      <c r="T139" s="27"/>
      <c r="U139" s="28"/>
      <c r="V139" s="29"/>
      <c r="W139" s="181"/>
      <c r="X139" s="181"/>
      <c r="Y139" s="134">
        <f t="shared" si="2"/>
        <v>0</v>
      </c>
      <c r="Z139" s="30"/>
      <c r="AA139" s="29"/>
      <c r="AB139" s="181"/>
      <c r="AC139" s="181"/>
      <c r="AD139" s="181"/>
      <c r="AE139" s="181"/>
      <c r="AF139" s="181"/>
      <c r="AG139" s="833"/>
      <c r="AH139" s="833"/>
      <c r="AI139" s="31"/>
      <c r="AJ139" s="31"/>
      <c r="AK139" s="89"/>
      <c r="AL139" s="1126"/>
      <c r="AM139" s="1127"/>
      <c r="AN139" s="1127"/>
      <c r="AO139" s="1127"/>
      <c r="AP139" s="1127"/>
      <c r="AQ139" s="1127"/>
      <c r="AR139" s="1127"/>
      <c r="AS139" s="1127"/>
      <c r="AT139" s="1127"/>
      <c r="AU139" s="1127"/>
      <c r="AV139" s="1127"/>
      <c r="AW139" s="1127"/>
      <c r="AX139" s="1127"/>
      <c r="AY139" s="1127"/>
      <c r="AZ139" s="1127"/>
    </row>
    <row r="140" spans="1:52" ht="183" customHeight="1" x14ac:dyDescent="0.25">
      <c r="A140" s="148">
        <v>119</v>
      </c>
      <c r="B140" s="1128" t="s">
        <v>985</v>
      </c>
      <c r="C140" s="836">
        <v>80101706</v>
      </c>
      <c r="D140" s="174" t="s">
        <v>868</v>
      </c>
      <c r="E140" s="1129" t="s">
        <v>76</v>
      </c>
      <c r="F140" s="836">
        <v>1</v>
      </c>
      <c r="G140" s="834" t="s">
        <v>164</v>
      </c>
      <c r="H140" s="485">
        <v>8</v>
      </c>
      <c r="I140" s="24" t="s">
        <v>80</v>
      </c>
      <c r="J140" s="1130" t="s">
        <v>639</v>
      </c>
      <c r="K140" s="836" t="s">
        <v>108</v>
      </c>
      <c r="L140" s="56">
        <v>12800000</v>
      </c>
      <c r="M140" s="56">
        <v>12800000</v>
      </c>
      <c r="N140" s="1130" t="s">
        <v>81</v>
      </c>
      <c r="O140" s="1130" t="s">
        <v>56</v>
      </c>
      <c r="P140" s="1131" t="s">
        <v>640</v>
      </c>
      <c r="Q140" s="45"/>
      <c r="R140" s="172" t="s">
        <v>1366</v>
      </c>
      <c r="S140" s="172" t="s">
        <v>1367</v>
      </c>
      <c r="T140" s="28">
        <v>42472</v>
      </c>
      <c r="U140" s="1012" t="s">
        <v>1368</v>
      </c>
      <c r="V140" s="181" t="s">
        <v>202</v>
      </c>
      <c r="W140" s="1005">
        <v>12800000</v>
      </c>
      <c r="X140" s="1132"/>
      <c r="Y140" s="134">
        <f t="shared" si="2"/>
        <v>12800000</v>
      </c>
      <c r="Z140" s="411" t="s">
        <v>1369</v>
      </c>
      <c r="AA140" s="411" t="s">
        <v>1370</v>
      </c>
      <c r="AB140" s="411" t="s">
        <v>225</v>
      </c>
      <c r="AC140" s="181" t="s">
        <v>1371</v>
      </c>
      <c r="AD140" s="411" t="s">
        <v>56</v>
      </c>
      <c r="AE140" s="411" t="s">
        <v>56</v>
      </c>
      <c r="AF140" s="411" t="s">
        <v>56</v>
      </c>
      <c r="AG140" s="168" t="s">
        <v>1372</v>
      </c>
      <c r="AH140" s="169">
        <v>42472</v>
      </c>
      <c r="AI140" s="169">
        <v>42715</v>
      </c>
      <c r="AJ140" s="411" t="s">
        <v>1129</v>
      </c>
      <c r="AK140" s="134" t="s">
        <v>795</v>
      </c>
      <c r="AL140" s="1133" t="s">
        <v>56</v>
      </c>
      <c r="AM140" s="1014" t="s">
        <v>56</v>
      </c>
      <c r="AN140" s="181" t="s">
        <v>56</v>
      </c>
      <c r="AO140" s="181" t="s">
        <v>56</v>
      </c>
      <c r="AP140" s="43" t="s">
        <v>56</v>
      </c>
      <c r="AQ140" s="1063">
        <v>487364</v>
      </c>
      <c r="AR140" s="1063">
        <v>487364</v>
      </c>
      <c r="AS140" s="1054"/>
      <c r="AT140" s="1052">
        <v>1101264</v>
      </c>
      <c r="AU140" s="43">
        <v>410700</v>
      </c>
      <c r="AV140" s="1054"/>
      <c r="AW140" s="1054"/>
      <c r="AX140" s="1054"/>
      <c r="AY140" s="1054"/>
      <c r="AZ140" s="1054"/>
    </row>
    <row r="141" spans="1:52" ht="149.25" customHeight="1" x14ac:dyDescent="0.25">
      <c r="A141" s="148">
        <v>120</v>
      </c>
      <c r="B141" s="149" t="s">
        <v>985</v>
      </c>
      <c r="C141" s="836">
        <v>80101706</v>
      </c>
      <c r="D141" s="173" t="s">
        <v>643</v>
      </c>
      <c r="E141" s="137" t="s">
        <v>76</v>
      </c>
      <c r="F141" s="833">
        <v>1</v>
      </c>
      <c r="G141" s="834" t="s">
        <v>167</v>
      </c>
      <c r="H141" s="485">
        <v>4</v>
      </c>
      <c r="I141" s="836" t="s">
        <v>2614</v>
      </c>
      <c r="J141" s="136" t="s">
        <v>639</v>
      </c>
      <c r="K141" s="833" t="s">
        <v>108</v>
      </c>
      <c r="L141" s="56">
        <v>25660000</v>
      </c>
      <c r="M141" s="56">
        <v>25660000</v>
      </c>
      <c r="N141" s="136" t="s">
        <v>81</v>
      </c>
      <c r="O141" s="136" t="s">
        <v>56</v>
      </c>
      <c r="P141" s="16" t="s">
        <v>640</v>
      </c>
      <c r="Q141" s="45"/>
      <c r="R141" s="94"/>
      <c r="S141" s="92"/>
      <c r="T141" s="27"/>
      <c r="U141" s="28"/>
      <c r="V141" s="29"/>
      <c r="W141" s="181"/>
      <c r="X141" s="181"/>
      <c r="Y141" s="134">
        <f t="shared" si="2"/>
        <v>0</v>
      </c>
      <c r="Z141" s="30"/>
      <c r="AA141" s="29"/>
      <c r="AB141" s="181"/>
      <c r="AC141" s="181"/>
      <c r="AD141" s="181"/>
      <c r="AE141" s="181"/>
      <c r="AF141" s="181"/>
      <c r="AG141" s="833"/>
      <c r="AH141" s="833"/>
      <c r="AI141" s="31"/>
      <c r="AJ141" s="31"/>
      <c r="AK141" s="89"/>
      <c r="AL141" s="152"/>
      <c r="AM141" s="153"/>
      <c r="AN141" s="153"/>
      <c r="AO141" s="153"/>
      <c r="AP141" s="153"/>
      <c r="AQ141" s="153"/>
      <c r="AR141" s="153"/>
      <c r="AS141" s="153"/>
      <c r="AT141" s="153"/>
      <c r="AU141" s="153"/>
      <c r="AV141" s="153"/>
      <c r="AW141" s="153"/>
      <c r="AX141" s="153"/>
      <c r="AY141" s="153"/>
      <c r="AZ141" s="153"/>
    </row>
    <row r="142" spans="1:52" ht="149.25" customHeight="1" x14ac:dyDescent="0.25">
      <c r="A142" s="148">
        <v>121</v>
      </c>
      <c r="B142" s="149" t="s">
        <v>985</v>
      </c>
      <c r="C142" s="836">
        <v>80101706</v>
      </c>
      <c r="D142" s="173" t="s">
        <v>644</v>
      </c>
      <c r="E142" s="137" t="s">
        <v>76</v>
      </c>
      <c r="F142" s="833">
        <v>1</v>
      </c>
      <c r="G142" s="834" t="s">
        <v>167</v>
      </c>
      <c r="H142" s="485">
        <v>4</v>
      </c>
      <c r="I142" s="836" t="s">
        <v>142</v>
      </c>
      <c r="J142" s="136" t="s">
        <v>639</v>
      </c>
      <c r="K142" s="833" t="s">
        <v>108</v>
      </c>
      <c r="L142" s="56">
        <v>5050075</v>
      </c>
      <c r="M142" s="56">
        <v>5050075</v>
      </c>
      <c r="N142" s="136" t="s">
        <v>81</v>
      </c>
      <c r="O142" s="136" t="s">
        <v>56</v>
      </c>
      <c r="P142" s="16" t="s">
        <v>640</v>
      </c>
      <c r="Q142" s="45"/>
      <c r="R142" s="94"/>
      <c r="S142" s="92"/>
      <c r="T142" s="27"/>
      <c r="U142" s="28"/>
      <c r="V142" s="29"/>
      <c r="W142" s="181"/>
      <c r="X142" s="181"/>
      <c r="Y142" s="134">
        <f t="shared" si="2"/>
        <v>0</v>
      </c>
      <c r="Z142" s="30"/>
      <c r="AA142" s="29"/>
      <c r="AB142" s="181"/>
      <c r="AC142" s="181"/>
      <c r="AD142" s="181"/>
      <c r="AE142" s="181"/>
      <c r="AF142" s="181"/>
      <c r="AG142" s="833"/>
      <c r="AH142" s="833"/>
      <c r="AI142" s="31"/>
      <c r="AJ142" s="31"/>
      <c r="AK142" s="89"/>
      <c r="AL142" s="44"/>
      <c r="AM142" s="32"/>
      <c r="AN142" s="32"/>
      <c r="AO142" s="32"/>
      <c r="AP142" s="32"/>
      <c r="AQ142" s="32"/>
      <c r="AR142" s="32"/>
      <c r="AS142" s="32"/>
      <c r="AT142" s="32"/>
      <c r="AU142" s="32"/>
      <c r="AV142" s="32"/>
      <c r="AW142" s="32"/>
      <c r="AX142" s="32"/>
      <c r="AY142" s="32"/>
      <c r="AZ142" s="32"/>
    </row>
    <row r="143" spans="1:52" ht="149.25" customHeight="1" x14ac:dyDescent="0.25">
      <c r="A143" s="148">
        <v>122</v>
      </c>
      <c r="B143" s="149" t="s">
        <v>985</v>
      </c>
      <c r="C143" s="836">
        <v>80101706</v>
      </c>
      <c r="D143" s="173" t="s">
        <v>645</v>
      </c>
      <c r="E143" s="833" t="s">
        <v>76</v>
      </c>
      <c r="F143" s="833">
        <v>1</v>
      </c>
      <c r="G143" s="834" t="s">
        <v>167</v>
      </c>
      <c r="H143" s="485">
        <v>4</v>
      </c>
      <c r="I143" s="836" t="s">
        <v>142</v>
      </c>
      <c r="J143" s="136" t="s">
        <v>639</v>
      </c>
      <c r="K143" s="836" t="s">
        <v>108</v>
      </c>
      <c r="L143" s="56">
        <v>12352771</v>
      </c>
      <c r="M143" s="56">
        <v>12352771</v>
      </c>
      <c r="N143" s="136" t="s">
        <v>81</v>
      </c>
      <c r="O143" s="136" t="s">
        <v>56</v>
      </c>
      <c r="P143" s="16" t="s">
        <v>640</v>
      </c>
      <c r="Q143" s="45"/>
      <c r="R143" s="94"/>
      <c r="S143" s="92"/>
      <c r="T143" s="27"/>
      <c r="U143" s="28"/>
      <c r="V143" s="29"/>
      <c r="W143" s="181"/>
      <c r="X143" s="181"/>
      <c r="Y143" s="134">
        <f t="shared" si="2"/>
        <v>0</v>
      </c>
      <c r="Z143" s="30"/>
      <c r="AA143" s="29"/>
      <c r="AB143" s="181"/>
      <c r="AC143" s="181"/>
      <c r="AD143" s="181"/>
      <c r="AE143" s="181"/>
      <c r="AF143" s="181"/>
      <c r="AG143" s="833"/>
      <c r="AH143" s="833"/>
      <c r="AI143" s="31"/>
      <c r="AJ143" s="31"/>
      <c r="AK143" s="89"/>
      <c r="AL143" s="44"/>
      <c r="AM143" s="32"/>
      <c r="AN143" s="32"/>
      <c r="AO143" s="32"/>
      <c r="AP143" s="32"/>
      <c r="AQ143" s="32"/>
      <c r="AR143" s="32"/>
      <c r="AS143" s="32"/>
      <c r="AT143" s="32"/>
      <c r="AU143" s="32"/>
      <c r="AV143" s="32"/>
      <c r="AW143" s="32"/>
      <c r="AX143" s="32"/>
      <c r="AY143" s="32"/>
      <c r="AZ143" s="32"/>
    </row>
    <row r="144" spans="1:52" ht="102.75" customHeight="1" x14ac:dyDescent="0.25">
      <c r="A144" s="148">
        <v>123</v>
      </c>
      <c r="B144" s="833" t="s">
        <v>1000</v>
      </c>
      <c r="C144" s="836">
        <v>80101706</v>
      </c>
      <c r="D144" s="1134" t="s">
        <v>646</v>
      </c>
      <c r="E144" s="839" t="s">
        <v>125</v>
      </c>
      <c r="F144" s="833">
        <v>1</v>
      </c>
      <c r="G144" s="834" t="s">
        <v>166</v>
      </c>
      <c r="H144" s="485" t="s">
        <v>636</v>
      </c>
      <c r="I144" s="1135" t="s">
        <v>96</v>
      </c>
      <c r="J144" s="836" t="s">
        <v>127</v>
      </c>
      <c r="K144" s="836" t="s">
        <v>108</v>
      </c>
      <c r="L144" s="56">
        <v>7000000</v>
      </c>
      <c r="M144" s="57">
        <v>7000000</v>
      </c>
      <c r="N144" s="836" t="s">
        <v>81</v>
      </c>
      <c r="O144" s="836" t="s">
        <v>56</v>
      </c>
      <c r="P144" s="1136" t="s">
        <v>126</v>
      </c>
      <c r="Q144" s="45"/>
      <c r="R144" s="172" t="s">
        <v>780</v>
      </c>
      <c r="S144" s="172" t="s">
        <v>781</v>
      </c>
      <c r="T144" s="28">
        <v>42426</v>
      </c>
      <c r="U144" s="1012" t="s">
        <v>782</v>
      </c>
      <c r="V144" s="181" t="s">
        <v>212</v>
      </c>
      <c r="W144" s="30">
        <v>7000000</v>
      </c>
      <c r="X144" s="30"/>
      <c r="Y144" s="134">
        <f t="shared" si="2"/>
        <v>7000000</v>
      </c>
      <c r="Z144" s="181" t="s">
        <v>783</v>
      </c>
      <c r="AA144" s="181" t="s">
        <v>784</v>
      </c>
      <c r="AB144" s="181" t="s">
        <v>225</v>
      </c>
      <c r="AC144" s="181" t="s">
        <v>785</v>
      </c>
      <c r="AD144" s="181" t="s">
        <v>56</v>
      </c>
      <c r="AE144" s="181" t="s">
        <v>56</v>
      </c>
      <c r="AF144" s="181" t="s">
        <v>56</v>
      </c>
      <c r="AG144" s="1016" t="s">
        <v>227</v>
      </c>
      <c r="AH144" s="1014">
        <v>42426</v>
      </c>
      <c r="AI144" s="1014">
        <v>42485</v>
      </c>
      <c r="AJ144" s="181" t="s">
        <v>218</v>
      </c>
      <c r="AK144" s="1137" t="s">
        <v>219</v>
      </c>
      <c r="AL144" s="32" t="s">
        <v>56</v>
      </c>
      <c r="AM144" s="32" t="s">
        <v>56</v>
      </c>
      <c r="AN144" s="983">
        <v>3500000</v>
      </c>
      <c r="AO144" s="70">
        <f>SUBTOTAL(9,AN144)</f>
        <v>3500000</v>
      </c>
      <c r="AP144" s="983">
        <v>3500000</v>
      </c>
      <c r="AQ144" s="32"/>
      <c r="AR144" s="32"/>
      <c r="AS144" s="32"/>
      <c r="AT144" s="32"/>
      <c r="AU144" s="32"/>
      <c r="AV144" s="32"/>
      <c r="AW144" s="32"/>
      <c r="AX144" s="32"/>
      <c r="AY144" s="32"/>
      <c r="AZ144" s="32"/>
    </row>
    <row r="145" spans="1:274" ht="135" customHeight="1" x14ac:dyDescent="0.25">
      <c r="A145" s="832">
        <v>124</v>
      </c>
      <c r="B145" s="833" t="s">
        <v>989</v>
      </c>
      <c r="C145" s="136">
        <v>80101706</v>
      </c>
      <c r="D145" s="171" t="s">
        <v>647</v>
      </c>
      <c r="E145" s="836" t="s">
        <v>125</v>
      </c>
      <c r="F145" s="833">
        <v>1</v>
      </c>
      <c r="G145" s="834" t="s">
        <v>166</v>
      </c>
      <c r="H145" s="485" t="s">
        <v>583</v>
      </c>
      <c r="I145" s="1135" t="s">
        <v>96</v>
      </c>
      <c r="J145" s="836" t="s">
        <v>127</v>
      </c>
      <c r="K145" s="836" t="s">
        <v>108</v>
      </c>
      <c r="L145" s="56">
        <v>1500000</v>
      </c>
      <c r="M145" s="56">
        <v>1500000</v>
      </c>
      <c r="N145" s="836" t="s">
        <v>81</v>
      </c>
      <c r="O145" s="836" t="s">
        <v>56</v>
      </c>
      <c r="P145" s="58" t="s">
        <v>126</v>
      </c>
      <c r="Q145" s="45"/>
      <c r="R145" s="172" t="s">
        <v>709</v>
      </c>
      <c r="S145" s="172" t="s">
        <v>710</v>
      </c>
      <c r="T145" s="28">
        <v>42412</v>
      </c>
      <c r="U145" s="1012" t="s">
        <v>687</v>
      </c>
      <c r="V145" s="181" t="s">
        <v>296</v>
      </c>
      <c r="W145" s="30">
        <v>1500000</v>
      </c>
      <c r="X145" s="30"/>
      <c r="Y145" s="134">
        <f t="shared" si="2"/>
        <v>1500000</v>
      </c>
      <c r="Z145" s="181" t="s">
        <v>688</v>
      </c>
      <c r="AA145" s="181" t="s">
        <v>711</v>
      </c>
      <c r="AB145" s="181" t="s">
        <v>225</v>
      </c>
      <c r="AC145" s="181" t="s">
        <v>786</v>
      </c>
      <c r="AD145" s="181" t="s">
        <v>56</v>
      </c>
      <c r="AE145" s="181" t="s">
        <v>56</v>
      </c>
      <c r="AF145" s="181" t="s">
        <v>56</v>
      </c>
      <c r="AG145" s="181" t="s">
        <v>690</v>
      </c>
      <c r="AH145" s="1014">
        <v>42412</v>
      </c>
      <c r="AI145" s="1014">
        <v>42440</v>
      </c>
      <c r="AJ145" s="181" t="s">
        <v>389</v>
      </c>
      <c r="AK145" s="1017" t="s">
        <v>390</v>
      </c>
      <c r="AL145" s="1044" t="s">
        <v>56</v>
      </c>
      <c r="AM145" s="1045">
        <v>1500000</v>
      </c>
      <c r="AN145" s="32"/>
      <c r="AO145" s="32"/>
      <c r="AP145" s="32"/>
      <c r="AQ145" s="32"/>
      <c r="AR145" s="32"/>
      <c r="AS145" s="32"/>
      <c r="AT145" s="32"/>
      <c r="AU145" s="32"/>
      <c r="AV145" s="32"/>
      <c r="AW145" s="32"/>
      <c r="AX145" s="32"/>
      <c r="AY145" s="32"/>
      <c r="AZ145" s="32"/>
    </row>
    <row r="146" spans="1:274" ht="169.5" customHeight="1" x14ac:dyDescent="0.25">
      <c r="A146" s="1138">
        <v>125</v>
      </c>
      <c r="B146" s="1139" t="s">
        <v>985</v>
      </c>
      <c r="C146" s="838">
        <v>8011078</v>
      </c>
      <c r="D146" s="942" t="s">
        <v>651</v>
      </c>
      <c r="E146" s="940" t="s">
        <v>95</v>
      </c>
      <c r="F146" s="944">
        <v>1</v>
      </c>
      <c r="G146" s="963" t="s">
        <v>166</v>
      </c>
      <c r="H146" s="952">
        <v>10</v>
      </c>
      <c r="I146" s="954" t="s">
        <v>96</v>
      </c>
      <c r="J146" s="836" t="s">
        <v>862</v>
      </c>
      <c r="K146" s="836" t="s">
        <v>108</v>
      </c>
      <c r="L146" s="56">
        <v>10000000</v>
      </c>
      <c r="M146" s="57">
        <v>10000000</v>
      </c>
      <c r="N146" s="940" t="s">
        <v>81</v>
      </c>
      <c r="O146" s="940" t="s">
        <v>56</v>
      </c>
      <c r="P146" s="956" t="s">
        <v>126</v>
      </c>
      <c r="Q146" s="1140"/>
      <c r="R146" s="1141" t="s">
        <v>787</v>
      </c>
      <c r="S146" s="1019" t="s">
        <v>788</v>
      </c>
      <c r="T146" s="1020">
        <v>42423</v>
      </c>
      <c r="U146" s="1021" t="s">
        <v>789</v>
      </c>
      <c r="V146" s="1021" t="s">
        <v>212</v>
      </c>
      <c r="W146" s="30">
        <v>10000000</v>
      </c>
      <c r="X146" s="30"/>
      <c r="Y146" s="134">
        <f t="shared" si="2"/>
        <v>10000000</v>
      </c>
      <c r="Z146" s="1021" t="s">
        <v>790</v>
      </c>
      <c r="AA146" s="1021" t="s">
        <v>791</v>
      </c>
      <c r="AB146" s="1021" t="s">
        <v>748</v>
      </c>
      <c r="AC146" s="1021" t="s">
        <v>792</v>
      </c>
      <c r="AD146" s="1021" t="s">
        <v>731</v>
      </c>
      <c r="AE146" s="1024">
        <v>42426</v>
      </c>
      <c r="AF146" s="1024">
        <v>42426</v>
      </c>
      <c r="AG146" s="1142" t="s">
        <v>793</v>
      </c>
      <c r="AH146" s="1024">
        <v>42426</v>
      </c>
      <c r="AI146" s="1024">
        <v>42729</v>
      </c>
      <c r="AJ146" s="1021" t="s">
        <v>794</v>
      </c>
      <c r="AK146" s="1025" t="s">
        <v>795</v>
      </c>
      <c r="AL146" s="44" t="s">
        <v>56</v>
      </c>
      <c r="AM146" s="32" t="s">
        <v>56</v>
      </c>
      <c r="AN146" s="983">
        <v>15300000</v>
      </c>
      <c r="AO146" s="70">
        <f>SUBTOTAL(9,AN146)</f>
        <v>15300000</v>
      </c>
      <c r="AP146" s="983">
        <v>15300000</v>
      </c>
      <c r="AQ146" s="983">
        <v>15300000</v>
      </c>
      <c r="AR146" s="32"/>
      <c r="AS146" s="32"/>
      <c r="AT146" s="32"/>
      <c r="AU146" s="32"/>
      <c r="AV146" s="32"/>
      <c r="AW146" s="32"/>
      <c r="AX146" s="32"/>
      <c r="AY146" s="32"/>
      <c r="AZ146" s="32"/>
    </row>
    <row r="147" spans="1:274" ht="81.75" customHeight="1" x14ac:dyDescent="0.25">
      <c r="A147" s="1143"/>
      <c r="B147" s="1144"/>
      <c r="C147" s="839"/>
      <c r="D147" s="943"/>
      <c r="E147" s="941"/>
      <c r="F147" s="945"/>
      <c r="G147" s="964"/>
      <c r="H147" s="953"/>
      <c r="I147" s="955"/>
      <c r="J147" s="836" t="s">
        <v>869</v>
      </c>
      <c r="K147" s="836" t="s">
        <v>108</v>
      </c>
      <c r="L147" s="56">
        <v>143000000</v>
      </c>
      <c r="M147" s="57">
        <v>143000000</v>
      </c>
      <c r="N147" s="941"/>
      <c r="O147" s="941"/>
      <c r="P147" s="957"/>
      <c r="Q147" s="1145"/>
      <c r="R147" s="1146"/>
      <c r="S147" s="1027"/>
      <c r="T147" s="1028"/>
      <c r="U147" s="959"/>
      <c r="V147" s="959"/>
      <c r="W147" s="30">
        <v>143000000</v>
      </c>
      <c r="X147" s="30"/>
      <c r="Y147" s="134">
        <f t="shared" si="2"/>
        <v>143000000</v>
      </c>
      <c r="Z147" s="959"/>
      <c r="AA147" s="959"/>
      <c r="AB147" s="959"/>
      <c r="AC147" s="959"/>
      <c r="AD147" s="959"/>
      <c r="AE147" s="1030"/>
      <c r="AF147" s="1030"/>
      <c r="AG147" s="1147"/>
      <c r="AH147" s="1030"/>
      <c r="AI147" s="1030"/>
      <c r="AJ147" s="959"/>
      <c r="AK147" s="1031"/>
      <c r="AL147" s="44"/>
      <c r="AM147" s="32"/>
      <c r="AN147" s="32"/>
      <c r="AO147" s="32"/>
      <c r="AP147" s="32"/>
      <c r="AQ147" s="32"/>
      <c r="AR147" s="32"/>
      <c r="AS147" s="32"/>
      <c r="AT147" s="32"/>
      <c r="AU147" s="32"/>
      <c r="AV147" s="32"/>
      <c r="AW147" s="32"/>
      <c r="AX147" s="32"/>
      <c r="AY147" s="32"/>
      <c r="AZ147" s="32"/>
    </row>
    <row r="148" spans="1:274" ht="102.75" customHeight="1" x14ac:dyDescent="0.25">
      <c r="A148" s="832">
        <v>127</v>
      </c>
      <c r="B148" s="833" t="s">
        <v>991</v>
      </c>
      <c r="C148" s="833">
        <v>55101519</v>
      </c>
      <c r="D148" s="163" t="s">
        <v>796</v>
      </c>
      <c r="E148" s="833" t="s">
        <v>76</v>
      </c>
      <c r="F148" s="833">
        <v>1</v>
      </c>
      <c r="G148" s="834" t="s">
        <v>164</v>
      </c>
      <c r="H148" s="485">
        <v>10</v>
      </c>
      <c r="I148" s="833" t="s">
        <v>89</v>
      </c>
      <c r="J148" s="833" t="s">
        <v>97</v>
      </c>
      <c r="K148" s="833" t="s">
        <v>55</v>
      </c>
      <c r="L148" s="68">
        <v>2500000</v>
      </c>
      <c r="M148" s="69">
        <v>2500000</v>
      </c>
      <c r="N148" s="833" t="s">
        <v>81</v>
      </c>
      <c r="O148" s="833" t="s">
        <v>56</v>
      </c>
      <c r="P148" s="25" t="s">
        <v>82</v>
      </c>
      <c r="Q148" s="45"/>
      <c r="R148" s="172" t="s">
        <v>1453</v>
      </c>
      <c r="S148" s="172" t="s">
        <v>1454</v>
      </c>
      <c r="T148" s="28">
        <v>42489</v>
      </c>
      <c r="U148" s="164" t="s">
        <v>1455</v>
      </c>
      <c r="V148" s="411" t="s">
        <v>594</v>
      </c>
      <c r="W148" s="1005">
        <v>1960000</v>
      </c>
      <c r="X148" s="181"/>
      <c r="Y148" s="134">
        <f t="shared" si="2"/>
        <v>1960000</v>
      </c>
      <c r="Z148" s="411" t="s">
        <v>1456</v>
      </c>
      <c r="AA148" s="411" t="s">
        <v>1457</v>
      </c>
      <c r="AB148" s="411" t="s">
        <v>35</v>
      </c>
      <c r="AC148" s="181" t="s">
        <v>1458</v>
      </c>
      <c r="AD148" s="411" t="s">
        <v>56</v>
      </c>
      <c r="AE148" s="411" t="s">
        <v>56</v>
      </c>
      <c r="AF148" s="411" t="s">
        <v>56</v>
      </c>
      <c r="AG148" s="168" t="s">
        <v>1459</v>
      </c>
      <c r="AH148" s="169">
        <v>42489</v>
      </c>
      <c r="AI148" s="169">
        <v>42518</v>
      </c>
      <c r="AJ148" s="411" t="s">
        <v>1460</v>
      </c>
      <c r="AK148" s="134" t="s">
        <v>923</v>
      </c>
      <c r="AL148" s="1148" t="s">
        <v>56</v>
      </c>
      <c r="AM148" s="1148" t="s">
        <v>56</v>
      </c>
      <c r="AN148" s="1148" t="s">
        <v>56</v>
      </c>
      <c r="AO148" s="1148" t="s">
        <v>56</v>
      </c>
      <c r="AP148" s="1148" t="s">
        <v>56</v>
      </c>
      <c r="AQ148" s="1148" t="s">
        <v>56</v>
      </c>
      <c r="AR148" s="1148" t="s">
        <v>56</v>
      </c>
      <c r="AS148" s="1148" t="s">
        <v>56</v>
      </c>
      <c r="AT148" s="32">
        <v>1960000</v>
      </c>
      <c r="AU148" s="32"/>
      <c r="AV148" s="32"/>
      <c r="AW148" s="32"/>
      <c r="AX148" s="32"/>
      <c r="AY148" s="32"/>
      <c r="AZ148" s="32"/>
    </row>
    <row r="149" spans="1:274" ht="119.25" customHeight="1" x14ac:dyDescent="0.25">
      <c r="A149" s="832">
        <v>128</v>
      </c>
      <c r="B149" s="833" t="s">
        <v>991</v>
      </c>
      <c r="C149" s="836">
        <v>80101706</v>
      </c>
      <c r="D149" s="1061" t="s">
        <v>797</v>
      </c>
      <c r="E149" s="836" t="s">
        <v>76</v>
      </c>
      <c r="F149" s="836">
        <v>1</v>
      </c>
      <c r="G149" s="834" t="s">
        <v>164</v>
      </c>
      <c r="H149" s="485">
        <v>8</v>
      </c>
      <c r="I149" s="836" t="s">
        <v>77</v>
      </c>
      <c r="J149" s="836" t="s">
        <v>105</v>
      </c>
      <c r="K149" s="836" t="s">
        <v>55</v>
      </c>
      <c r="L149" s="56">
        <v>13450318</v>
      </c>
      <c r="M149" s="57">
        <v>13450318</v>
      </c>
      <c r="N149" s="836" t="s">
        <v>81</v>
      </c>
      <c r="O149" s="836" t="s">
        <v>56</v>
      </c>
      <c r="P149" s="24" t="s">
        <v>170</v>
      </c>
      <c r="Q149" s="57"/>
      <c r="R149" s="172" t="s">
        <v>1111</v>
      </c>
      <c r="S149" s="172" t="s">
        <v>1112</v>
      </c>
      <c r="T149" s="28">
        <v>42471</v>
      </c>
      <c r="U149" s="1012" t="s">
        <v>1113</v>
      </c>
      <c r="V149" s="181" t="s">
        <v>296</v>
      </c>
      <c r="W149" s="30">
        <v>13448000</v>
      </c>
      <c r="X149" s="181"/>
      <c r="Y149" s="134">
        <f t="shared" si="2"/>
        <v>13448000</v>
      </c>
      <c r="Z149" s="411" t="s">
        <v>1114</v>
      </c>
      <c r="AA149" s="411" t="s">
        <v>1115</v>
      </c>
      <c r="AB149" s="411" t="s">
        <v>35</v>
      </c>
      <c r="AC149" s="181"/>
      <c r="AD149" s="411" t="s">
        <v>56</v>
      </c>
      <c r="AE149" s="411" t="s">
        <v>56</v>
      </c>
      <c r="AF149" s="411" t="s">
        <v>56</v>
      </c>
      <c r="AG149" s="168" t="s">
        <v>1116</v>
      </c>
      <c r="AH149" s="169">
        <v>42471</v>
      </c>
      <c r="AI149" s="169">
        <v>42714</v>
      </c>
      <c r="AJ149" s="411" t="s">
        <v>207</v>
      </c>
      <c r="AK149" s="1089" t="s">
        <v>728</v>
      </c>
      <c r="AL149" s="44" t="s">
        <v>56</v>
      </c>
      <c r="AM149" s="32" t="s">
        <v>56</v>
      </c>
      <c r="AN149" s="32" t="s">
        <v>56</v>
      </c>
      <c r="AO149" s="32" t="s">
        <v>56</v>
      </c>
      <c r="AP149" s="32" t="s">
        <v>56</v>
      </c>
      <c r="AQ149" s="32">
        <v>1681000</v>
      </c>
      <c r="AR149" s="32">
        <v>1681000</v>
      </c>
      <c r="AS149" s="32"/>
      <c r="AT149" s="32">
        <v>1681000</v>
      </c>
      <c r="AU149" s="32"/>
      <c r="AV149" s="32"/>
      <c r="AW149" s="32"/>
      <c r="AX149" s="32"/>
      <c r="AY149" s="32"/>
      <c r="AZ149" s="32"/>
    </row>
    <row r="150" spans="1:274" ht="99" customHeight="1" x14ac:dyDescent="0.25">
      <c r="A150" s="832">
        <v>129</v>
      </c>
      <c r="B150" s="836" t="s">
        <v>994</v>
      </c>
      <c r="C150" s="836">
        <v>80101706</v>
      </c>
      <c r="D150" s="1061" t="s">
        <v>798</v>
      </c>
      <c r="E150" s="836" t="s">
        <v>76</v>
      </c>
      <c r="F150" s="836">
        <v>1</v>
      </c>
      <c r="G150" s="834" t="s">
        <v>161</v>
      </c>
      <c r="H150" s="485">
        <v>2</v>
      </c>
      <c r="I150" s="836" t="s">
        <v>89</v>
      </c>
      <c r="J150" s="836" t="s">
        <v>105</v>
      </c>
      <c r="K150" s="836" t="s">
        <v>55</v>
      </c>
      <c r="L150" s="56">
        <v>7000000</v>
      </c>
      <c r="M150" s="57">
        <v>7000000</v>
      </c>
      <c r="N150" s="836" t="s">
        <v>81</v>
      </c>
      <c r="O150" s="836" t="s">
        <v>56</v>
      </c>
      <c r="P150" s="24" t="s">
        <v>835</v>
      </c>
      <c r="Q150" s="45"/>
      <c r="R150" s="172" t="s">
        <v>1373</v>
      </c>
      <c r="S150" s="172" t="s">
        <v>1374</v>
      </c>
      <c r="T150" s="28">
        <v>42478</v>
      </c>
      <c r="U150" s="1012" t="s">
        <v>1375</v>
      </c>
      <c r="V150" s="181" t="s">
        <v>594</v>
      </c>
      <c r="W150" s="1050">
        <v>5000000</v>
      </c>
      <c r="X150" s="181"/>
      <c r="Y150" s="134">
        <f t="shared" si="2"/>
        <v>5000000</v>
      </c>
      <c r="Z150" s="411" t="s">
        <v>1376</v>
      </c>
      <c r="AA150" s="411" t="s">
        <v>1377</v>
      </c>
      <c r="AB150" s="411" t="s">
        <v>35</v>
      </c>
      <c r="AC150" s="181" t="s">
        <v>1378</v>
      </c>
      <c r="AD150" s="411" t="s">
        <v>56</v>
      </c>
      <c r="AE150" s="411" t="s">
        <v>56</v>
      </c>
      <c r="AF150" s="411" t="s">
        <v>56</v>
      </c>
      <c r="AG150" s="168" t="s">
        <v>1379</v>
      </c>
      <c r="AH150" s="169">
        <v>42478</v>
      </c>
      <c r="AI150" s="169">
        <v>42551</v>
      </c>
      <c r="AJ150" s="411" t="s">
        <v>922</v>
      </c>
      <c r="AK150" s="134" t="s">
        <v>923</v>
      </c>
      <c r="AL150" s="44"/>
      <c r="AM150" s="32"/>
      <c r="AN150" s="32"/>
      <c r="AO150" s="32"/>
      <c r="AP150" s="32"/>
      <c r="AQ150" s="32"/>
      <c r="AR150" s="32"/>
      <c r="AS150" s="32"/>
      <c r="AT150" s="32"/>
      <c r="AU150" s="32"/>
      <c r="AV150" s="32"/>
      <c r="AW150" s="32"/>
      <c r="AX150" s="32"/>
      <c r="AY150" s="32"/>
      <c r="AZ150" s="32"/>
    </row>
    <row r="151" spans="1:274" ht="71.25" customHeight="1" x14ac:dyDescent="0.25">
      <c r="A151" s="832">
        <v>130</v>
      </c>
      <c r="B151" s="833" t="s">
        <v>991</v>
      </c>
      <c r="C151" s="836">
        <v>80101706</v>
      </c>
      <c r="D151" s="174" t="s">
        <v>799</v>
      </c>
      <c r="E151" s="836" t="s">
        <v>76</v>
      </c>
      <c r="F151" s="836">
        <v>1</v>
      </c>
      <c r="G151" s="834" t="s">
        <v>165</v>
      </c>
      <c r="H151" s="485">
        <v>3</v>
      </c>
      <c r="I151" s="836" t="s">
        <v>89</v>
      </c>
      <c r="J151" s="836" t="s">
        <v>105</v>
      </c>
      <c r="K151" s="836" t="s">
        <v>55</v>
      </c>
      <c r="L151" s="56">
        <v>6355467</v>
      </c>
      <c r="M151" s="57">
        <v>6355467</v>
      </c>
      <c r="N151" s="836" t="s">
        <v>81</v>
      </c>
      <c r="O151" s="836" t="s">
        <v>56</v>
      </c>
      <c r="P151" s="24" t="s">
        <v>170</v>
      </c>
      <c r="Q151" s="45"/>
      <c r="R151" s="172" t="s">
        <v>2823</v>
      </c>
      <c r="S151" s="1074" t="s">
        <v>2824</v>
      </c>
      <c r="T151" s="166">
        <v>42548</v>
      </c>
      <c r="U151" s="831" t="s">
        <v>2825</v>
      </c>
      <c r="V151" s="411" t="s">
        <v>594</v>
      </c>
      <c r="W151" s="1090">
        <v>3899804</v>
      </c>
      <c r="X151" s="181"/>
      <c r="Y151" s="134">
        <f t="shared" si="2"/>
        <v>3899804</v>
      </c>
      <c r="Z151" s="831" t="s">
        <v>2826</v>
      </c>
      <c r="AA151" s="411" t="s">
        <v>2827</v>
      </c>
      <c r="AB151" s="411" t="s">
        <v>35</v>
      </c>
      <c r="AC151" s="181" t="s">
        <v>2828</v>
      </c>
      <c r="AD151" s="411" t="s">
        <v>56</v>
      </c>
      <c r="AE151" s="411" t="s">
        <v>56</v>
      </c>
      <c r="AF151" s="411" t="s">
        <v>56</v>
      </c>
      <c r="AG151" s="831" t="s">
        <v>761</v>
      </c>
      <c r="AH151" s="169">
        <v>42549</v>
      </c>
      <c r="AI151" s="169">
        <v>42578</v>
      </c>
      <c r="AJ151" s="833" t="s">
        <v>207</v>
      </c>
      <c r="AK151" s="134" t="s">
        <v>2639</v>
      </c>
      <c r="AL151" s="44" t="s">
        <v>56</v>
      </c>
      <c r="AM151" s="32" t="s">
        <v>56</v>
      </c>
      <c r="AN151" s="32" t="s">
        <v>56</v>
      </c>
      <c r="AO151" s="32" t="s">
        <v>56</v>
      </c>
      <c r="AP151" s="32" t="s">
        <v>56</v>
      </c>
      <c r="AQ151" s="32" t="s">
        <v>56</v>
      </c>
      <c r="AR151" s="32" t="s">
        <v>56</v>
      </c>
      <c r="AS151" s="32" t="s">
        <v>56</v>
      </c>
      <c r="AT151" s="32" t="s">
        <v>56</v>
      </c>
      <c r="AU151" s="32">
        <v>3899804</v>
      </c>
      <c r="AV151" s="32"/>
      <c r="AW151" s="32"/>
      <c r="AX151" s="32"/>
      <c r="AY151" s="32"/>
      <c r="AZ151" s="32"/>
    </row>
    <row r="152" spans="1:274" ht="125.25" customHeight="1" x14ac:dyDescent="0.25">
      <c r="A152" s="832">
        <v>131</v>
      </c>
      <c r="B152" s="836" t="s">
        <v>995</v>
      </c>
      <c r="C152" s="833">
        <v>204415</v>
      </c>
      <c r="D152" s="163" t="s">
        <v>857</v>
      </c>
      <c r="E152" s="833" t="s">
        <v>76</v>
      </c>
      <c r="F152" s="833">
        <v>1</v>
      </c>
      <c r="G152" s="834" t="s">
        <v>161</v>
      </c>
      <c r="H152" s="833" t="s">
        <v>856</v>
      </c>
      <c r="I152" s="833" t="s">
        <v>96</v>
      </c>
      <c r="J152" s="833" t="s">
        <v>65</v>
      </c>
      <c r="K152" s="833" t="s">
        <v>55</v>
      </c>
      <c r="L152" s="56">
        <v>7150000</v>
      </c>
      <c r="M152" s="1010">
        <v>7150000</v>
      </c>
      <c r="N152" s="833" t="s">
        <v>81</v>
      </c>
      <c r="O152" s="833" t="s">
        <v>56</v>
      </c>
      <c r="P152" s="25" t="s">
        <v>800</v>
      </c>
      <c r="Q152" s="45"/>
      <c r="R152" s="172" t="s">
        <v>924</v>
      </c>
      <c r="S152" s="172" t="s">
        <v>925</v>
      </c>
      <c r="T152" s="28">
        <v>42445</v>
      </c>
      <c r="U152" s="1012" t="s">
        <v>926</v>
      </c>
      <c r="V152" s="181" t="s">
        <v>579</v>
      </c>
      <c r="W152" s="30">
        <v>7150000</v>
      </c>
      <c r="X152" s="181"/>
      <c r="Y152" s="134">
        <f t="shared" si="2"/>
        <v>7150000</v>
      </c>
      <c r="Z152" s="181" t="s">
        <v>927</v>
      </c>
      <c r="AA152" s="181" t="s">
        <v>928</v>
      </c>
      <c r="AB152" s="181" t="s">
        <v>35</v>
      </c>
      <c r="AC152" s="181"/>
      <c r="AD152" s="181"/>
      <c r="AE152" s="181"/>
      <c r="AF152" s="181"/>
      <c r="AG152" s="1013" t="s">
        <v>929</v>
      </c>
      <c r="AH152" s="1014"/>
      <c r="AI152" s="1014"/>
      <c r="AJ152" s="181" t="s">
        <v>699</v>
      </c>
      <c r="AK152" s="1137" t="s">
        <v>700</v>
      </c>
      <c r="AL152" s="32" t="s">
        <v>56</v>
      </c>
      <c r="AM152" s="32" t="s">
        <v>56</v>
      </c>
      <c r="AN152" s="32">
        <v>7150000</v>
      </c>
      <c r="AO152" s="70">
        <f>SUBTOTAL(9,AN152)</f>
        <v>7150000</v>
      </c>
      <c r="AP152" s="32" t="s">
        <v>56</v>
      </c>
      <c r="AQ152" s="32" t="s">
        <v>56</v>
      </c>
      <c r="AR152" s="32" t="s">
        <v>56</v>
      </c>
      <c r="AS152" s="32" t="s">
        <v>56</v>
      </c>
      <c r="AT152" s="32" t="s">
        <v>56</v>
      </c>
      <c r="AU152" s="32" t="s">
        <v>56</v>
      </c>
      <c r="AV152" s="32" t="s">
        <v>56</v>
      </c>
      <c r="AW152" s="32" t="s">
        <v>56</v>
      </c>
      <c r="AX152" s="32" t="s">
        <v>56</v>
      </c>
      <c r="AY152" s="32" t="s">
        <v>56</v>
      </c>
      <c r="AZ152" s="32" t="s">
        <v>56</v>
      </c>
    </row>
    <row r="153" spans="1:274" ht="87.75" customHeight="1" x14ac:dyDescent="0.25">
      <c r="A153" s="832">
        <v>132</v>
      </c>
      <c r="B153" s="836" t="s">
        <v>995</v>
      </c>
      <c r="C153" s="833">
        <v>204415</v>
      </c>
      <c r="D153" s="163" t="s">
        <v>801</v>
      </c>
      <c r="E153" s="833" t="s">
        <v>76</v>
      </c>
      <c r="F153" s="833">
        <v>1</v>
      </c>
      <c r="G153" s="834" t="s">
        <v>161</v>
      </c>
      <c r="H153" s="833" t="s">
        <v>583</v>
      </c>
      <c r="I153" s="833" t="s">
        <v>89</v>
      </c>
      <c r="J153" s="833" t="s">
        <v>65</v>
      </c>
      <c r="K153" s="833" t="s">
        <v>55</v>
      </c>
      <c r="L153" s="56">
        <v>700000</v>
      </c>
      <c r="M153" s="1010">
        <v>700000</v>
      </c>
      <c r="N153" s="833" t="s">
        <v>81</v>
      </c>
      <c r="O153" s="833" t="s">
        <v>56</v>
      </c>
      <c r="P153" s="25" t="s">
        <v>800</v>
      </c>
      <c r="Q153" s="45"/>
      <c r="R153" s="982" t="s">
        <v>888</v>
      </c>
      <c r="S153" s="982" t="s">
        <v>889</v>
      </c>
      <c r="T153" s="166">
        <v>42437</v>
      </c>
      <c r="U153" s="164" t="s">
        <v>890</v>
      </c>
      <c r="V153" s="411" t="s">
        <v>579</v>
      </c>
      <c r="W153" s="134">
        <v>700000</v>
      </c>
      <c r="X153" s="181"/>
      <c r="Y153" s="134">
        <f t="shared" si="2"/>
        <v>700000</v>
      </c>
      <c r="Z153" s="411" t="s">
        <v>891</v>
      </c>
      <c r="AA153" s="411" t="s">
        <v>892</v>
      </c>
      <c r="AB153" s="411" t="s">
        <v>35</v>
      </c>
      <c r="AC153" s="411" t="s">
        <v>893</v>
      </c>
      <c r="AD153" s="411" t="s">
        <v>56</v>
      </c>
      <c r="AE153" s="411" t="s">
        <v>56</v>
      </c>
      <c r="AF153" s="411" t="s">
        <v>56</v>
      </c>
      <c r="AG153" s="1088" t="s">
        <v>894</v>
      </c>
      <c r="AH153" s="169">
        <v>42437</v>
      </c>
      <c r="AI153" s="169">
        <v>42467</v>
      </c>
      <c r="AJ153" s="411" t="s">
        <v>895</v>
      </c>
      <c r="AK153" s="1149" t="s">
        <v>700</v>
      </c>
      <c r="AL153" s="32" t="s">
        <v>56</v>
      </c>
      <c r="AM153" s="32" t="s">
        <v>56</v>
      </c>
      <c r="AN153" s="32">
        <v>700000</v>
      </c>
      <c r="AO153" s="32"/>
      <c r="AP153" s="32"/>
      <c r="AQ153" s="32"/>
      <c r="AR153" s="32"/>
      <c r="AS153" s="32"/>
      <c r="AT153" s="32"/>
      <c r="AU153" s="32"/>
      <c r="AV153" s="32"/>
      <c r="AW153" s="32"/>
      <c r="AX153" s="32"/>
      <c r="AY153" s="32"/>
      <c r="AZ153" s="32"/>
    </row>
    <row r="154" spans="1:274" ht="90" customHeight="1" x14ac:dyDescent="0.25">
      <c r="A154" s="832">
        <v>133</v>
      </c>
      <c r="B154" s="836" t="s">
        <v>991</v>
      </c>
      <c r="C154" s="836">
        <v>84131603</v>
      </c>
      <c r="D154" s="1150" t="s">
        <v>98</v>
      </c>
      <c r="E154" s="836" t="s">
        <v>76</v>
      </c>
      <c r="F154" s="836">
        <v>1</v>
      </c>
      <c r="G154" s="834" t="s">
        <v>164</v>
      </c>
      <c r="H154" s="485">
        <v>1</v>
      </c>
      <c r="I154" s="836" t="s">
        <v>80</v>
      </c>
      <c r="J154" s="836" t="s">
        <v>63</v>
      </c>
      <c r="K154" s="836" t="s">
        <v>55</v>
      </c>
      <c r="L154" s="56">
        <v>536462</v>
      </c>
      <c r="M154" s="57">
        <v>536462</v>
      </c>
      <c r="N154" s="836" t="s">
        <v>81</v>
      </c>
      <c r="O154" s="836" t="s">
        <v>56</v>
      </c>
      <c r="P154" s="24" t="s">
        <v>82</v>
      </c>
      <c r="Q154" s="45"/>
      <c r="R154" s="172" t="s">
        <v>1380</v>
      </c>
      <c r="S154" s="172" t="s">
        <v>1381</v>
      </c>
      <c r="T154" s="28">
        <v>42478</v>
      </c>
      <c r="U154" s="1012" t="s">
        <v>1382</v>
      </c>
      <c r="V154" s="181" t="s">
        <v>579</v>
      </c>
      <c r="W154" s="1005">
        <v>271603</v>
      </c>
      <c r="X154" s="1151"/>
      <c r="Y154" s="134">
        <f t="shared" si="2"/>
        <v>271603</v>
      </c>
      <c r="Z154" s="411" t="s">
        <v>1383</v>
      </c>
      <c r="AA154" s="411" t="s">
        <v>1384</v>
      </c>
      <c r="AB154" s="411" t="s">
        <v>225</v>
      </c>
      <c r="AC154" s="181" t="s">
        <v>1385</v>
      </c>
      <c r="AD154" s="411" t="s">
        <v>56</v>
      </c>
      <c r="AE154" s="411" t="s">
        <v>56</v>
      </c>
      <c r="AF154" s="411" t="s">
        <v>56</v>
      </c>
      <c r="AG154" s="168" t="s">
        <v>1386</v>
      </c>
      <c r="AH154" s="169">
        <v>42479</v>
      </c>
      <c r="AI154" s="169">
        <v>42735</v>
      </c>
      <c r="AJ154" s="411" t="s">
        <v>207</v>
      </c>
      <c r="AK154" s="134" t="s">
        <v>728</v>
      </c>
      <c r="AL154" s="1152" t="s">
        <v>56</v>
      </c>
      <c r="AM154" s="1152" t="s">
        <v>56</v>
      </c>
      <c r="AN154" s="1152" t="s">
        <v>56</v>
      </c>
      <c r="AO154" s="1152" t="s">
        <v>56</v>
      </c>
      <c r="AP154" s="1153">
        <v>271603</v>
      </c>
      <c r="AQ154" s="1152" t="s">
        <v>56</v>
      </c>
      <c r="AR154" s="1152" t="s">
        <v>56</v>
      </c>
      <c r="AS154" s="1103">
        <v>271603</v>
      </c>
      <c r="AT154" s="1152" t="s">
        <v>56</v>
      </c>
      <c r="AU154" s="1152" t="s">
        <v>56</v>
      </c>
      <c r="AV154" s="1152" t="s">
        <v>56</v>
      </c>
      <c r="AW154" s="1152" t="s">
        <v>56</v>
      </c>
      <c r="AX154" s="1152" t="s">
        <v>56</v>
      </c>
      <c r="AY154" s="1152" t="s">
        <v>56</v>
      </c>
      <c r="AZ154" s="1152" t="s">
        <v>56</v>
      </c>
    </row>
    <row r="155" spans="1:274" ht="131.25" customHeight="1" x14ac:dyDescent="0.25">
      <c r="A155" s="938">
        <v>134</v>
      </c>
      <c r="B155" s="944" t="s">
        <v>987</v>
      </c>
      <c r="C155" s="840">
        <v>80101706</v>
      </c>
      <c r="D155" s="988" t="s">
        <v>845</v>
      </c>
      <c r="E155" s="944" t="s">
        <v>125</v>
      </c>
      <c r="F155" s="944">
        <v>1</v>
      </c>
      <c r="G155" s="963" t="s">
        <v>161</v>
      </c>
      <c r="H155" s="952" t="s">
        <v>846</v>
      </c>
      <c r="I155" s="940" t="s">
        <v>96</v>
      </c>
      <c r="J155" s="836" t="s">
        <v>854</v>
      </c>
      <c r="K155" s="833" t="s">
        <v>108</v>
      </c>
      <c r="L155" s="56">
        <v>25541000</v>
      </c>
      <c r="M155" s="1010">
        <v>25541000</v>
      </c>
      <c r="N155" s="833" t="s">
        <v>81</v>
      </c>
      <c r="O155" s="833" t="s">
        <v>56</v>
      </c>
      <c r="P155" s="16" t="s">
        <v>126</v>
      </c>
      <c r="Q155" s="45"/>
      <c r="R155" s="1019" t="s">
        <v>896</v>
      </c>
      <c r="S155" s="1019" t="s">
        <v>243</v>
      </c>
      <c r="T155" s="1020">
        <v>42443</v>
      </c>
      <c r="U155" s="1021" t="s">
        <v>897</v>
      </c>
      <c r="V155" s="1021" t="s">
        <v>212</v>
      </c>
      <c r="W155" s="1022">
        <v>25541000</v>
      </c>
      <c r="X155" s="1154"/>
      <c r="Y155" s="1022">
        <v>25541000</v>
      </c>
      <c r="Z155" s="1021" t="s">
        <v>898</v>
      </c>
      <c r="AA155" s="1021" t="s">
        <v>899</v>
      </c>
      <c r="AB155" s="1021" t="s">
        <v>748</v>
      </c>
      <c r="AC155" s="1021"/>
      <c r="AD155" s="1021" t="s">
        <v>56</v>
      </c>
      <c r="AE155" s="1021" t="s">
        <v>56</v>
      </c>
      <c r="AF155" s="1021" t="s">
        <v>56</v>
      </c>
      <c r="AG155" s="1155" t="s">
        <v>900</v>
      </c>
      <c r="AH155" s="1024">
        <v>42443</v>
      </c>
      <c r="AI155" s="1024">
        <v>42734</v>
      </c>
      <c r="AJ155" s="1021" t="s">
        <v>248</v>
      </c>
      <c r="AK155" s="1025" t="s">
        <v>241</v>
      </c>
      <c r="AL155" s="1156" t="s">
        <v>56</v>
      </c>
      <c r="AM155" s="1157" t="s">
        <v>56</v>
      </c>
      <c r="AN155" s="1157" t="s">
        <v>56</v>
      </c>
      <c r="AO155" s="1157" t="s">
        <v>56</v>
      </c>
      <c r="AP155" s="1158">
        <v>6266186</v>
      </c>
      <c r="AQ155" s="1158">
        <v>6266186</v>
      </c>
      <c r="AR155" s="1159">
        <v>5266186</v>
      </c>
      <c r="AS155" s="1160"/>
      <c r="AT155" s="1158">
        <v>5266186</v>
      </c>
      <c r="AU155" s="1160"/>
      <c r="AV155" s="1160"/>
      <c r="AW155" s="1160"/>
      <c r="AX155" s="1160"/>
      <c r="AY155" s="1160"/>
      <c r="AZ155" s="1160"/>
    </row>
    <row r="156" spans="1:274" ht="56.25" customHeight="1" x14ac:dyDescent="0.25">
      <c r="A156" s="939"/>
      <c r="B156" s="945"/>
      <c r="C156" s="841"/>
      <c r="D156" s="1006"/>
      <c r="E156" s="945"/>
      <c r="F156" s="945"/>
      <c r="G156" s="964"/>
      <c r="H156" s="953"/>
      <c r="I156" s="941"/>
      <c r="J156" s="836" t="s">
        <v>855</v>
      </c>
      <c r="K156" s="833" t="s">
        <v>108</v>
      </c>
      <c r="L156" s="56">
        <v>25541000</v>
      </c>
      <c r="M156" s="1010">
        <v>25541000</v>
      </c>
      <c r="N156" s="833" t="s">
        <v>81</v>
      </c>
      <c r="O156" s="833" t="s">
        <v>56</v>
      </c>
      <c r="P156" s="16" t="s">
        <v>126</v>
      </c>
      <c r="Q156" s="45"/>
      <c r="R156" s="1027"/>
      <c r="S156" s="1027"/>
      <c r="T156" s="1028"/>
      <c r="U156" s="959"/>
      <c r="V156" s="959"/>
      <c r="W156" s="1022">
        <v>25541000</v>
      </c>
      <c r="X156" s="1154"/>
      <c r="Y156" s="1022">
        <v>25541000</v>
      </c>
      <c r="Z156" s="959"/>
      <c r="AA156" s="959"/>
      <c r="AB156" s="959"/>
      <c r="AC156" s="959"/>
      <c r="AD156" s="959"/>
      <c r="AE156" s="959"/>
      <c r="AF156" s="959"/>
      <c r="AG156" s="1161"/>
      <c r="AH156" s="1030"/>
      <c r="AI156" s="1030"/>
      <c r="AJ156" s="959"/>
      <c r="AK156" s="1031"/>
      <c r="AL156" s="1162"/>
      <c r="AM156" s="1163"/>
      <c r="AN156" s="1163"/>
      <c r="AO156" s="1163"/>
      <c r="AP156" s="1164"/>
      <c r="AQ156" s="1163"/>
      <c r="AR156" s="1165"/>
      <c r="AS156" s="1166"/>
      <c r="AT156" s="1163"/>
      <c r="AU156" s="1166"/>
      <c r="AV156" s="1166"/>
      <c r="AW156" s="1166"/>
      <c r="AX156" s="1166"/>
      <c r="AY156" s="1166"/>
      <c r="AZ156" s="1166"/>
    </row>
    <row r="157" spans="1:274" s="259" customFormat="1" ht="104.25" customHeight="1" x14ac:dyDescent="0.25">
      <c r="A157" s="938">
        <v>135</v>
      </c>
      <c r="B157" s="944" t="s">
        <v>987</v>
      </c>
      <c r="C157" s="840">
        <v>80101706</v>
      </c>
      <c r="D157" s="988" t="s">
        <v>845</v>
      </c>
      <c r="E157" s="944" t="s">
        <v>125</v>
      </c>
      <c r="F157" s="944">
        <v>1</v>
      </c>
      <c r="G157" s="963" t="s">
        <v>161</v>
      </c>
      <c r="H157" s="952" t="s">
        <v>846</v>
      </c>
      <c r="I157" s="940" t="s">
        <v>96</v>
      </c>
      <c r="J157" s="836" t="s">
        <v>854</v>
      </c>
      <c r="K157" s="833" t="s">
        <v>108</v>
      </c>
      <c r="L157" s="56">
        <v>28095000</v>
      </c>
      <c r="M157" s="1010">
        <v>28095000</v>
      </c>
      <c r="N157" s="833" t="s">
        <v>81</v>
      </c>
      <c r="O157" s="833" t="s">
        <v>56</v>
      </c>
      <c r="P157" s="16" t="s">
        <v>126</v>
      </c>
      <c r="Q157" s="45"/>
      <c r="R157" s="1019" t="s">
        <v>901</v>
      </c>
      <c r="S157" s="1019" t="s">
        <v>282</v>
      </c>
      <c r="T157" s="1020">
        <v>42443</v>
      </c>
      <c r="U157" s="1021" t="s">
        <v>902</v>
      </c>
      <c r="V157" s="1021" t="s">
        <v>212</v>
      </c>
      <c r="W157" s="1022">
        <v>28095000</v>
      </c>
      <c r="X157" s="1154"/>
      <c r="Y157" s="1022">
        <v>28095000</v>
      </c>
      <c r="Z157" s="1021" t="s">
        <v>903</v>
      </c>
      <c r="AA157" s="1021" t="s">
        <v>904</v>
      </c>
      <c r="AB157" s="1021" t="s">
        <v>748</v>
      </c>
      <c r="AC157" s="1021"/>
      <c r="AD157" s="1021" t="s">
        <v>56</v>
      </c>
      <c r="AE157" s="1021" t="s">
        <v>56</v>
      </c>
      <c r="AF157" s="1021" t="s">
        <v>56</v>
      </c>
      <c r="AG157" s="1155" t="s">
        <v>900</v>
      </c>
      <c r="AH157" s="1024">
        <v>42443</v>
      </c>
      <c r="AI157" s="1024">
        <v>42734</v>
      </c>
      <c r="AJ157" s="1021" t="s">
        <v>248</v>
      </c>
      <c r="AK157" s="1025" t="s">
        <v>241</v>
      </c>
      <c r="AL157" s="1156" t="s">
        <v>56</v>
      </c>
      <c r="AM157" s="1156" t="s">
        <v>56</v>
      </c>
      <c r="AN157" s="1158">
        <v>5775000</v>
      </c>
      <c r="AO157" s="1167">
        <f>SUBTOTAL(9,AN157)</f>
        <v>5775000</v>
      </c>
      <c r="AP157" s="1168">
        <v>5775000</v>
      </c>
      <c r="AQ157" s="1169">
        <v>5775000</v>
      </c>
      <c r="AR157" s="1157" t="s">
        <v>56</v>
      </c>
      <c r="AS157" s="1160"/>
      <c r="AT157" s="1158">
        <v>5775000</v>
      </c>
      <c r="AU157" s="1160"/>
      <c r="AV157" s="1160"/>
      <c r="AW157" s="1160"/>
      <c r="AX157" s="1160"/>
      <c r="AY157" s="1160"/>
      <c r="AZ157" s="1160"/>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45"/>
      <c r="EV157" s="45"/>
      <c r="EW157" s="45"/>
      <c r="EX157" s="45"/>
      <c r="EY157" s="45"/>
      <c r="EZ157" s="45"/>
      <c r="FA157" s="45"/>
      <c r="FB157" s="45"/>
      <c r="FC157" s="45"/>
      <c r="FD157" s="45"/>
      <c r="FE157" s="45"/>
      <c r="FF157" s="45"/>
      <c r="FG157" s="45"/>
      <c r="FH157" s="45"/>
      <c r="FI157" s="45"/>
      <c r="FJ157" s="45"/>
      <c r="FK157" s="45"/>
      <c r="FL157" s="45"/>
      <c r="FM157" s="45"/>
      <c r="FN157" s="45"/>
      <c r="FO157" s="45"/>
      <c r="FP157" s="45"/>
      <c r="FQ157" s="45"/>
      <c r="FR157" s="45"/>
      <c r="FS157" s="45"/>
      <c r="FT157" s="45"/>
      <c r="FU157" s="45"/>
      <c r="FV157" s="45"/>
      <c r="FW157" s="45"/>
      <c r="FX157" s="45"/>
      <c r="FY157" s="45"/>
      <c r="FZ157" s="45"/>
      <c r="GA157" s="45"/>
      <c r="GB157" s="45"/>
      <c r="GC157" s="45"/>
      <c r="GD157" s="45"/>
      <c r="GE157" s="45"/>
      <c r="GF157" s="45"/>
      <c r="GG157" s="45"/>
      <c r="GH157" s="45"/>
      <c r="GI157" s="45"/>
      <c r="GJ157" s="45"/>
      <c r="GK157" s="45"/>
      <c r="GL157" s="45"/>
      <c r="GM157" s="45"/>
      <c r="GN157" s="45"/>
      <c r="GO157" s="45"/>
      <c r="GP157" s="45"/>
      <c r="GQ157" s="45"/>
      <c r="GR157" s="45"/>
      <c r="GS157" s="45"/>
      <c r="GT157" s="45"/>
      <c r="GU157" s="45"/>
      <c r="GV157" s="45"/>
      <c r="GW157" s="45"/>
      <c r="GX157" s="45"/>
      <c r="GY157" s="45"/>
      <c r="GZ157" s="45"/>
      <c r="HA157" s="45"/>
      <c r="HB157" s="45"/>
      <c r="HC157" s="45"/>
      <c r="HD157" s="45"/>
      <c r="HE157" s="45"/>
      <c r="HF157" s="45"/>
      <c r="HG157" s="45"/>
      <c r="HH157" s="45"/>
      <c r="HI157" s="45"/>
      <c r="HJ157" s="45"/>
      <c r="HK157" s="45"/>
      <c r="HL157" s="45"/>
      <c r="HM157" s="45"/>
      <c r="HN157" s="45"/>
      <c r="HO157" s="45"/>
      <c r="HP157" s="45"/>
      <c r="HQ157" s="45"/>
      <c r="HR157" s="45"/>
      <c r="HS157" s="45"/>
      <c r="HT157" s="45"/>
      <c r="HU157" s="45"/>
      <c r="HV157" s="45"/>
      <c r="HW157" s="45"/>
      <c r="HX157" s="45"/>
      <c r="HY157" s="45"/>
      <c r="HZ157" s="45"/>
      <c r="IA157" s="45"/>
      <c r="IB157" s="45"/>
      <c r="IC157" s="45"/>
      <c r="ID157" s="45"/>
      <c r="IE157" s="45"/>
      <c r="IF157" s="45"/>
      <c r="IG157" s="45"/>
      <c r="IH157" s="45"/>
      <c r="II157" s="45"/>
      <c r="IJ157" s="45"/>
      <c r="IK157" s="45"/>
      <c r="IL157" s="45"/>
      <c r="IM157" s="45"/>
      <c r="IN157" s="45"/>
      <c r="IO157" s="45"/>
      <c r="IP157" s="45"/>
      <c r="IQ157" s="45"/>
      <c r="IR157" s="45"/>
      <c r="IS157" s="45"/>
      <c r="IT157" s="45"/>
      <c r="IU157" s="45"/>
      <c r="IV157" s="45"/>
      <c r="IW157" s="45"/>
      <c r="IX157" s="45"/>
      <c r="IY157" s="45"/>
      <c r="IZ157" s="45"/>
      <c r="JA157" s="45"/>
      <c r="JB157" s="45"/>
      <c r="JC157" s="45"/>
      <c r="JD157" s="45"/>
      <c r="JE157" s="45"/>
      <c r="JF157" s="45"/>
      <c r="JG157" s="45"/>
      <c r="JH157" s="45"/>
      <c r="JI157" s="45"/>
      <c r="JJ157" s="45"/>
      <c r="JK157" s="45"/>
      <c r="JL157" s="45"/>
      <c r="JM157" s="45"/>
      <c r="JN157" s="45"/>
    </row>
    <row r="158" spans="1:274" s="259" customFormat="1" ht="31.5" customHeight="1" x14ac:dyDescent="0.25">
      <c r="A158" s="939"/>
      <c r="B158" s="945"/>
      <c r="C158" s="841"/>
      <c r="D158" s="1006"/>
      <c r="E158" s="945"/>
      <c r="F158" s="945"/>
      <c r="G158" s="964"/>
      <c r="H158" s="953"/>
      <c r="I158" s="941"/>
      <c r="J158" s="836" t="s">
        <v>855</v>
      </c>
      <c r="K158" s="833" t="s">
        <v>108</v>
      </c>
      <c r="L158" s="56">
        <v>28095000</v>
      </c>
      <c r="M158" s="1010">
        <v>28095000</v>
      </c>
      <c r="N158" s="833" t="s">
        <v>81</v>
      </c>
      <c r="O158" s="833" t="s">
        <v>56</v>
      </c>
      <c r="P158" s="16" t="s">
        <v>126</v>
      </c>
      <c r="Q158" s="45"/>
      <c r="R158" s="1027"/>
      <c r="S158" s="1027"/>
      <c r="T158" s="1028"/>
      <c r="U158" s="959"/>
      <c r="V158" s="959"/>
      <c r="W158" s="1022">
        <v>28095000</v>
      </c>
      <c r="X158" s="1154"/>
      <c r="Y158" s="1022">
        <v>28095000</v>
      </c>
      <c r="Z158" s="959"/>
      <c r="AA158" s="959"/>
      <c r="AB158" s="959"/>
      <c r="AC158" s="959"/>
      <c r="AD158" s="959"/>
      <c r="AE158" s="959"/>
      <c r="AF158" s="959"/>
      <c r="AG158" s="1161"/>
      <c r="AH158" s="1030"/>
      <c r="AI158" s="1030"/>
      <c r="AJ158" s="959"/>
      <c r="AK158" s="1031"/>
      <c r="AL158" s="1170"/>
      <c r="AM158" s="1170"/>
      <c r="AN158" s="1163"/>
      <c r="AO158" s="1163"/>
      <c r="AP158" s="1171"/>
      <c r="AQ158" s="1172"/>
      <c r="AR158" s="1163"/>
      <c r="AS158" s="1173"/>
      <c r="AT158" s="1163"/>
      <c r="AU158" s="1173"/>
      <c r="AV158" s="1173"/>
      <c r="AW158" s="1173"/>
      <c r="AX158" s="1173"/>
      <c r="AY158" s="1173"/>
      <c r="AZ158" s="1173"/>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c r="EU158" s="45"/>
      <c r="EV158" s="45"/>
      <c r="EW158" s="45"/>
      <c r="EX158" s="45"/>
      <c r="EY158" s="45"/>
      <c r="EZ158" s="45"/>
      <c r="FA158" s="45"/>
      <c r="FB158" s="45"/>
      <c r="FC158" s="45"/>
      <c r="FD158" s="45"/>
      <c r="FE158" s="45"/>
      <c r="FF158" s="45"/>
      <c r="FG158" s="45"/>
      <c r="FH158" s="45"/>
      <c r="FI158" s="45"/>
      <c r="FJ158" s="45"/>
      <c r="FK158" s="45"/>
      <c r="FL158" s="45"/>
      <c r="FM158" s="45"/>
      <c r="FN158" s="45"/>
      <c r="FO158" s="45"/>
      <c r="FP158" s="45"/>
      <c r="FQ158" s="45"/>
      <c r="FR158" s="45"/>
      <c r="FS158" s="45"/>
      <c r="FT158" s="45"/>
      <c r="FU158" s="45"/>
      <c r="FV158" s="45"/>
      <c r="FW158" s="45"/>
      <c r="FX158" s="45"/>
      <c r="FY158" s="45"/>
      <c r="FZ158" s="45"/>
      <c r="GA158" s="45"/>
      <c r="GB158" s="45"/>
      <c r="GC158" s="45"/>
      <c r="GD158" s="45"/>
      <c r="GE158" s="45"/>
      <c r="GF158" s="45"/>
      <c r="GG158" s="45"/>
      <c r="GH158" s="45"/>
      <c r="GI158" s="45"/>
      <c r="GJ158" s="45"/>
      <c r="GK158" s="45"/>
      <c r="GL158" s="45"/>
      <c r="GM158" s="45"/>
      <c r="GN158" s="45"/>
      <c r="GO158" s="45"/>
      <c r="GP158" s="45"/>
      <c r="GQ158" s="45"/>
      <c r="GR158" s="45"/>
      <c r="GS158" s="45"/>
      <c r="GT158" s="45"/>
      <c r="GU158" s="45"/>
      <c r="GV158" s="45"/>
      <c r="GW158" s="45"/>
      <c r="GX158" s="45"/>
      <c r="GY158" s="45"/>
      <c r="GZ158" s="45"/>
      <c r="HA158" s="45"/>
      <c r="HB158" s="45"/>
      <c r="HC158" s="45"/>
      <c r="HD158" s="45"/>
      <c r="HE158" s="45"/>
      <c r="HF158" s="45"/>
      <c r="HG158" s="45"/>
      <c r="HH158" s="45"/>
      <c r="HI158" s="45"/>
      <c r="HJ158" s="45"/>
      <c r="HK158" s="45"/>
      <c r="HL158" s="45"/>
      <c r="HM158" s="45"/>
      <c r="HN158" s="45"/>
      <c r="HO158" s="45"/>
      <c r="HP158" s="45"/>
      <c r="HQ158" s="45"/>
      <c r="HR158" s="45"/>
      <c r="HS158" s="45"/>
      <c r="HT158" s="45"/>
      <c r="HU158" s="45"/>
      <c r="HV158" s="45"/>
      <c r="HW158" s="45"/>
      <c r="HX158" s="45"/>
      <c r="HY158" s="45"/>
      <c r="HZ158" s="45"/>
      <c r="IA158" s="45"/>
      <c r="IB158" s="45"/>
      <c r="IC158" s="45"/>
      <c r="ID158" s="45"/>
      <c r="IE158" s="45"/>
      <c r="IF158" s="45"/>
      <c r="IG158" s="45"/>
      <c r="IH158" s="45"/>
      <c r="II158" s="45"/>
      <c r="IJ158" s="45"/>
      <c r="IK158" s="45"/>
      <c r="IL158" s="45"/>
      <c r="IM158" s="45"/>
      <c r="IN158" s="45"/>
      <c r="IO158" s="45"/>
      <c r="IP158" s="45"/>
      <c r="IQ158" s="45"/>
      <c r="IR158" s="45"/>
      <c r="IS158" s="45"/>
      <c r="IT158" s="45"/>
      <c r="IU158" s="45"/>
      <c r="IV158" s="45"/>
      <c r="IW158" s="45"/>
      <c r="IX158" s="45"/>
      <c r="IY158" s="45"/>
      <c r="IZ158" s="45"/>
      <c r="JA158" s="45"/>
      <c r="JB158" s="45"/>
      <c r="JC158" s="45"/>
      <c r="JD158" s="45"/>
      <c r="JE158" s="45"/>
      <c r="JF158" s="45"/>
      <c r="JG158" s="45"/>
      <c r="JH158" s="45"/>
      <c r="JI158" s="45"/>
      <c r="JJ158" s="45"/>
      <c r="JK158" s="45"/>
      <c r="JL158" s="45"/>
      <c r="JM158" s="45"/>
      <c r="JN158" s="45"/>
    </row>
    <row r="159" spans="1:274" s="259" customFormat="1" ht="57" customHeight="1" x14ac:dyDescent="0.25">
      <c r="A159" s="832">
        <v>136</v>
      </c>
      <c r="B159" s="833" t="s">
        <v>1000</v>
      </c>
      <c r="C159" s="833">
        <v>80101706</v>
      </c>
      <c r="D159" s="173" t="s">
        <v>905</v>
      </c>
      <c r="E159" s="833" t="s">
        <v>125</v>
      </c>
      <c r="F159" s="833">
        <v>1</v>
      </c>
      <c r="G159" s="834" t="s">
        <v>161</v>
      </c>
      <c r="H159" s="485" t="s">
        <v>846</v>
      </c>
      <c r="I159" s="836" t="s">
        <v>96</v>
      </c>
      <c r="J159" s="836" t="s">
        <v>847</v>
      </c>
      <c r="K159" s="833" t="s">
        <v>108</v>
      </c>
      <c r="L159" s="56">
        <v>102165000</v>
      </c>
      <c r="M159" s="1010">
        <v>102165000</v>
      </c>
      <c r="N159" s="833" t="s">
        <v>81</v>
      </c>
      <c r="O159" s="833" t="s">
        <v>56</v>
      </c>
      <c r="P159" s="16" t="s">
        <v>126</v>
      </c>
      <c r="Q159" s="45"/>
      <c r="R159" s="172" t="s">
        <v>906</v>
      </c>
      <c r="S159" s="172" t="s">
        <v>256</v>
      </c>
      <c r="T159" s="28">
        <v>42443</v>
      </c>
      <c r="U159" s="1012" t="s">
        <v>907</v>
      </c>
      <c r="V159" s="181" t="s">
        <v>212</v>
      </c>
      <c r="W159" s="30">
        <v>102165000</v>
      </c>
      <c r="X159" s="1174"/>
      <c r="Y159" s="134">
        <f t="shared" ref="Y159:Y209" si="3">SUM(W159+X159)</f>
        <v>102165000</v>
      </c>
      <c r="Z159" s="181" t="s">
        <v>908</v>
      </c>
      <c r="AA159" s="181" t="s">
        <v>909</v>
      </c>
      <c r="AB159" s="181" t="s">
        <v>225</v>
      </c>
      <c r="AC159" s="181"/>
      <c r="AD159" s="181" t="s">
        <v>691</v>
      </c>
      <c r="AE159" s="1014">
        <v>42443</v>
      </c>
      <c r="AF159" s="1014">
        <v>42443</v>
      </c>
      <c r="AG159" s="1016" t="s">
        <v>910</v>
      </c>
      <c r="AH159" s="1014">
        <v>42443</v>
      </c>
      <c r="AI159" s="1014">
        <v>42734</v>
      </c>
      <c r="AJ159" s="181" t="s">
        <v>610</v>
      </c>
      <c r="AK159" s="1017" t="s">
        <v>219</v>
      </c>
      <c r="AL159" s="1175" t="s">
        <v>56</v>
      </c>
      <c r="AM159" s="1175" t="s">
        <v>56</v>
      </c>
      <c r="AN159" s="1175" t="s">
        <v>56</v>
      </c>
      <c r="AO159" s="1175" t="s">
        <v>56</v>
      </c>
      <c r="AP159" s="1176">
        <v>10500000</v>
      </c>
      <c r="AQ159" s="1176">
        <v>10500000</v>
      </c>
      <c r="AR159" s="1177">
        <v>10500000</v>
      </c>
      <c r="AS159" s="1113"/>
      <c r="AT159" s="1177">
        <v>10500000</v>
      </c>
      <c r="AU159" s="1113"/>
      <c r="AV159" s="1113"/>
      <c r="AW159" s="1113"/>
      <c r="AX159" s="1113"/>
      <c r="AY159" s="1113"/>
      <c r="AZ159" s="1113"/>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c r="EN159" s="45"/>
      <c r="EO159" s="45"/>
      <c r="EP159" s="45"/>
      <c r="EQ159" s="45"/>
      <c r="ER159" s="45"/>
      <c r="ES159" s="45"/>
      <c r="ET159" s="45"/>
      <c r="EU159" s="45"/>
      <c r="EV159" s="45"/>
      <c r="EW159" s="45"/>
      <c r="EX159" s="45"/>
      <c r="EY159" s="45"/>
      <c r="EZ159" s="45"/>
      <c r="FA159" s="45"/>
      <c r="FB159" s="45"/>
      <c r="FC159" s="45"/>
      <c r="FD159" s="45"/>
      <c r="FE159" s="45"/>
      <c r="FF159" s="45"/>
      <c r="FG159" s="45"/>
      <c r="FH159" s="45"/>
      <c r="FI159" s="45"/>
      <c r="FJ159" s="45"/>
      <c r="FK159" s="45"/>
      <c r="FL159" s="45"/>
      <c r="FM159" s="45"/>
      <c r="FN159" s="45"/>
      <c r="FO159" s="45"/>
      <c r="FP159" s="45"/>
      <c r="FQ159" s="45"/>
      <c r="FR159" s="45"/>
      <c r="FS159" s="45"/>
      <c r="FT159" s="45"/>
      <c r="FU159" s="45"/>
      <c r="FV159" s="45"/>
      <c r="FW159" s="45"/>
      <c r="FX159" s="45"/>
      <c r="FY159" s="45"/>
      <c r="FZ159" s="45"/>
      <c r="GA159" s="45"/>
      <c r="GB159" s="45"/>
      <c r="GC159" s="45"/>
      <c r="GD159" s="45"/>
      <c r="GE159" s="45"/>
      <c r="GF159" s="45"/>
      <c r="GG159" s="45"/>
      <c r="GH159" s="45"/>
      <c r="GI159" s="45"/>
      <c r="GJ159" s="45"/>
      <c r="GK159" s="45"/>
      <c r="GL159" s="45"/>
      <c r="GM159" s="45"/>
      <c r="GN159" s="45"/>
      <c r="GO159" s="45"/>
      <c r="GP159" s="45"/>
      <c r="GQ159" s="45"/>
      <c r="GR159" s="45"/>
      <c r="GS159" s="45"/>
      <c r="GT159" s="45"/>
      <c r="GU159" s="45"/>
      <c r="GV159" s="45"/>
      <c r="GW159" s="45"/>
      <c r="GX159" s="45"/>
      <c r="GY159" s="45"/>
      <c r="GZ159" s="45"/>
      <c r="HA159" s="45"/>
      <c r="HB159" s="45"/>
      <c r="HC159" s="45"/>
      <c r="HD159" s="45"/>
      <c r="HE159" s="45"/>
      <c r="HF159" s="45"/>
      <c r="HG159" s="45"/>
      <c r="HH159" s="45"/>
      <c r="HI159" s="45"/>
      <c r="HJ159" s="45"/>
      <c r="HK159" s="45"/>
      <c r="HL159" s="45"/>
      <c r="HM159" s="45"/>
      <c r="HN159" s="45"/>
      <c r="HO159" s="45"/>
      <c r="HP159" s="45"/>
      <c r="HQ159" s="45"/>
      <c r="HR159" s="45"/>
      <c r="HS159" s="45"/>
      <c r="HT159" s="45"/>
      <c r="HU159" s="45"/>
      <c r="HV159" s="45"/>
      <c r="HW159" s="45"/>
      <c r="HX159" s="45"/>
      <c r="HY159" s="45"/>
      <c r="HZ159" s="45"/>
      <c r="IA159" s="45"/>
      <c r="IB159" s="45"/>
      <c r="IC159" s="45"/>
      <c r="ID159" s="45"/>
      <c r="IE159" s="45"/>
      <c r="IF159" s="45"/>
      <c r="IG159" s="45"/>
      <c r="IH159" s="45"/>
      <c r="II159" s="45"/>
      <c r="IJ159" s="45"/>
      <c r="IK159" s="45"/>
      <c r="IL159" s="45"/>
      <c r="IM159" s="45"/>
      <c r="IN159" s="45"/>
      <c r="IO159" s="45"/>
      <c r="IP159" s="45"/>
      <c r="IQ159" s="45"/>
      <c r="IR159" s="45"/>
      <c r="IS159" s="45"/>
      <c r="IT159" s="45"/>
      <c r="IU159" s="45"/>
      <c r="IV159" s="45"/>
      <c r="IW159" s="45"/>
      <c r="IX159" s="45"/>
      <c r="IY159" s="45"/>
      <c r="IZ159" s="45"/>
      <c r="JA159" s="45"/>
      <c r="JB159" s="45"/>
      <c r="JC159" s="45"/>
      <c r="JD159" s="45"/>
      <c r="JE159" s="45"/>
      <c r="JF159" s="45"/>
      <c r="JG159" s="45"/>
      <c r="JH159" s="45"/>
      <c r="JI159" s="45"/>
      <c r="JJ159" s="45"/>
      <c r="JK159" s="45"/>
      <c r="JL159" s="45"/>
      <c r="JM159" s="45"/>
      <c r="JN159" s="45"/>
    </row>
    <row r="160" spans="1:274" s="259" customFormat="1" ht="54.75" customHeight="1" x14ac:dyDescent="0.25">
      <c r="A160" s="832">
        <v>137</v>
      </c>
      <c r="B160" s="833" t="s">
        <v>1000</v>
      </c>
      <c r="C160" s="833">
        <v>80101706</v>
      </c>
      <c r="D160" s="173" t="s">
        <v>848</v>
      </c>
      <c r="E160" s="833" t="s">
        <v>125</v>
      </c>
      <c r="F160" s="833">
        <v>1</v>
      </c>
      <c r="G160" s="834" t="s">
        <v>161</v>
      </c>
      <c r="H160" s="485">
        <v>2</v>
      </c>
      <c r="I160" s="836" t="s">
        <v>96</v>
      </c>
      <c r="J160" s="836" t="s">
        <v>128</v>
      </c>
      <c r="K160" s="833" t="s">
        <v>108</v>
      </c>
      <c r="L160" s="56">
        <v>10815000</v>
      </c>
      <c r="M160" s="1010">
        <v>10815000</v>
      </c>
      <c r="N160" s="833" t="s">
        <v>81</v>
      </c>
      <c r="O160" s="833" t="s">
        <v>56</v>
      </c>
      <c r="P160" s="16" t="s">
        <v>126</v>
      </c>
      <c r="Q160" s="45"/>
      <c r="R160" s="172" t="s">
        <v>1027</v>
      </c>
      <c r="S160" s="172" t="s">
        <v>267</v>
      </c>
      <c r="T160" s="28">
        <v>42452</v>
      </c>
      <c r="U160" s="1012" t="s">
        <v>1028</v>
      </c>
      <c r="V160" s="181" t="s">
        <v>212</v>
      </c>
      <c r="W160" s="30">
        <v>10815000</v>
      </c>
      <c r="X160" s="30"/>
      <c r="Y160" s="134">
        <f t="shared" si="3"/>
        <v>10815000</v>
      </c>
      <c r="Z160" s="411" t="s">
        <v>1029</v>
      </c>
      <c r="AA160" s="411" t="s">
        <v>1030</v>
      </c>
      <c r="AB160" s="411" t="s">
        <v>215</v>
      </c>
      <c r="AC160" s="181" t="s">
        <v>1031</v>
      </c>
      <c r="AD160" s="411" t="s">
        <v>56</v>
      </c>
      <c r="AE160" s="411" t="s">
        <v>56</v>
      </c>
      <c r="AF160" s="411" t="s">
        <v>56</v>
      </c>
      <c r="AG160" s="168" t="s">
        <v>1032</v>
      </c>
      <c r="AH160" s="169">
        <v>42452</v>
      </c>
      <c r="AI160" s="169">
        <v>42512</v>
      </c>
      <c r="AJ160" s="411" t="s">
        <v>610</v>
      </c>
      <c r="AK160" s="1017" t="s">
        <v>219</v>
      </c>
      <c r="AL160" s="1152" t="s">
        <v>56</v>
      </c>
      <c r="AM160" s="1152" t="s">
        <v>56</v>
      </c>
      <c r="AN160" s="1152" t="s">
        <v>56</v>
      </c>
      <c r="AO160" s="1152" t="s">
        <v>56</v>
      </c>
      <c r="AP160" s="1153">
        <v>5407500</v>
      </c>
      <c r="AQ160" s="1153">
        <v>5407500</v>
      </c>
      <c r="AR160" s="138"/>
      <c r="AS160" s="138"/>
      <c r="AT160" s="138"/>
      <c r="AU160" s="138"/>
      <c r="AV160" s="138"/>
      <c r="AW160" s="138"/>
      <c r="AX160" s="138"/>
      <c r="AY160" s="138"/>
      <c r="AZ160" s="138"/>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c r="EK160" s="45"/>
      <c r="EL160" s="45"/>
      <c r="EM160" s="45"/>
      <c r="EN160" s="45"/>
      <c r="EO160" s="45"/>
      <c r="EP160" s="45"/>
      <c r="EQ160" s="45"/>
      <c r="ER160" s="45"/>
      <c r="ES160" s="45"/>
      <c r="ET160" s="45"/>
      <c r="EU160" s="45"/>
      <c r="EV160" s="45"/>
      <c r="EW160" s="45"/>
      <c r="EX160" s="45"/>
      <c r="EY160" s="45"/>
      <c r="EZ160" s="45"/>
      <c r="FA160" s="45"/>
      <c r="FB160" s="45"/>
      <c r="FC160" s="45"/>
      <c r="FD160" s="45"/>
      <c r="FE160" s="45"/>
      <c r="FF160" s="45"/>
      <c r="FG160" s="45"/>
      <c r="FH160" s="45"/>
      <c r="FI160" s="45"/>
      <c r="FJ160" s="45"/>
      <c r="FK160" s="45"/>
      <c r="FL160" s="45"/>
      <c r="FM160" s="45"/>
      <c r="FN160" s="45"/>
      <c r="FO160" s="45"/>
      <c r="FP160" s="45"/>
      <c r="FQ160" s="45"/>
      <c r="FR160" s="45"/>
      <c r="FS160" s="45"/>
      <c r="FT160" s="45"/>
      <c r="FU160" s="45"/>
      <c r="FV160" s="45"/>
      <c r="FW160" s="45"/>
      <c r="FX160" s="45"/>
      <c r="FY160" s="45"/>
      <c r="FZ160" s="45"/>
      <c r="GA160" s="45"/>
      <c r="GB160" s="45"/>
      <c r="GC160" s="45"/>
      <c r="GD160" s="45"/>
      <c r="GE160" s="45"/>
      <c r="GF160" s="45"/>
      <c r="GG160" s="45"/>
      <c r="GH160" s="45"/>
      <c r="GI160" s="45"/>
      <c r="GJ160" s="45"/>
      <c r="GK160" s="45"/>
      <c r="GL160" s="45"/>
      <c r="GM160" s="45"/>
      <c r="GN160" s="45"/>
      <c r="GO160" s="45"/>
      <c r="GP160" s="45"/>
      <c r="GQ160" s="45"/>
      <c r="GR160" s="45"/>
      <c r="GS160" s="45"/>
      <c r="GT160" s="45"/>
      <c r="GU160" s="45"/>
      <c r="GV160" s="45"/>
      <c r="GW160" s="45"/>
      <c r="GX160" s="45"/>
      <c r="GY160" s="45"/>
      <c r="GZ160" s="45"/>
      <c r="HA160" s="45"/>
      <c r="HB160" s="45"/>
      <c r="HC160" s="45"/>
      <c r="HD160" s="45"/>
      <c r="HE160" s="45"/>
      <c r="HF160" s="45"/>
      <c r="HG160" s="45"/>
      <c r="HH160" s="45"/>
      <c r="HI160" s="45"/>
      <c r="HJ160" s="45"/>
      <c r="HK160" s="45"/>
      <c r="HL160" s="45"/>
      <c r="HM160" s="45"/>
      <c r="HN160" s="45"/>
      <c r="HO160" s="45"/>
      <c r="HP160" s="45"/>
      <c r="HQ160" s="45"/>
      <c r="HR160" s="45"/>
      <c r="HS160" s="45"/>
      <c r="HT160" s="45"/>
      <c r="HU160" s="45"/>
      <c r="HV160" s="45"/>
      <c r="HW160" s="45"/>
      <c r="HX160" s="45"/>
      <c r="HY160" s="45"/>
      <c r="HZ160" s="45"/>
      <c r="IA160" s="45"/>
      <c r="IB160" s="45"/>
      <c r="IC160" s="45"/>
      <c r="ID160" s="45"/>
      <c r="IE160" s="45"/>
      <c r="IF160" s="45"/>
      <c r="IG160" s="45"/>
      <c r="IH160" s="45"/>
      <c r="II160" s="45"/>
      <c r="IJ160" s="45"/>
      <c r="IK160" s="45"/>
      <c r="IL160" s="45"/>
      <c r="IM160" s="45"/>
      <c r="IN160" s="45"/>
      <c r="IO160" s="45"/>
      <c r="IP160" s="45"/>
      <c r="IQ160" s="45"/>
      <c r="IR160" s="45"/>
      <c r="IS160" s="45"/>
      <c r="IT160" s="45"/>
      <c r="IU160" s="45"/>
      <c r="IV160" s="45"/>
      <c r="IW160" s="45"/>
      <c r="IX160" s="45"/>
      <c r="IY160" s="45"/>
      <c r="IZ160" s="45"/>
      <c r="JA160" s="45"/>
      <c r="JB160" s="45"/>
      <c r="JC160" s="45"/>
      <c r="JD160" s="45"/>
      <c r="JE160" s="45"/>
      <c r="JF160" s="45"/>
      <c r="JG160" s="45"/>
      <c r="JH160" s="45"/>
      <c r="JI160" s="45"/>
      <c r="JJ160" s="45"/>
      <c r="JK160" s="45"/>
      <c r="JL160" s="45"/>
      <c r="JM160" s="45"/>
      <c r="JN160" s="45"/>
    </row>
    <row r="161" spans="1:274" s="259" customFormat="1" ht="57" customHeight="1" x14ac:dyDescent="0.25">
      <c r="A161" s="832">
        <v>138</v>
      </c>
      <c r="B161" s="836" t="s">
        <v>1000</v>
      </c>
      <c r="C161" s="836">
        <v>80101706</v>
      </c>
      <c r="D161" s="174" t="s">
        <v>849</v>
      </c>
      <c r="E161" s="836" t="s">
        <v>125</v>
      </c>
      <c r="F161" s="1178">
        <v>1</v>
      </c>
      <c r="G161" s="834" t="s">
        <v>161</v>
      </c>
      <c r="H161" s="485">
        <v>2</v>
      </c>
      <c r="I161" s="836" t="s">
        <v>96</v>
      </c>
      <c r="J161" s="836" t="s">
        <v>847</v>
      </c>
      <c r="K161" s="836" t="s">
        <v>108</v>
      </c>
      <c r="L161" s="56">
        <v>6489000</v>
      </c>
      <c r="M161" s="1179">
        <v>6489000</v>
      </c>
      <c r="N161" s="836" t="s">
        <v>81</v>
      </c>
      <c r="O161" s="836" t="s">
        <v>56</v>
      </c>
      <c r="P161" s="24" t="s">
        <v>126</v>
      </c>
      <c r="Q161" s="1180"/>
      <c r="R161" s="172" t="s">
        <v>1117</v>
      </c>
      <c r="S161" s="172" t="s">
        <v>1118</v>
      </c>
      <c r="T161" s="28">
        <v>42464</v>
      </c>
      <c r="U161" s="1012" t="s">
        <v>1119</v>
      </c>
      <c r="V161" s="181" t="s">
        <v>212</v>
      </c>
      <c r="W161" s="30">
        <v>6489000</v>
      </c>
      <c r="X161" s="1181"/>
      <c r="Y161" s="134">
        <f t="shared" si="3"/>
        <v>6489000</v>
      </c>
      <c r="Z161" s="411" t="s">
        <v>1120</v>
      </c>
      <c r="AA161" s="411" t="s">
        <v>1121</v>
      </c>
      <c r="AB161" s="411" t="s">
        <v>225</v>
      </c>
      <c r="AC161" s="181" t="s">
        <v>1122</v>
      </c>
      <c r="AD161" s="411" t="s">
        <v>56</v>
      </c>
      <c r="AE161" s="411" t="s">
        <v>56</v>
      </c>
      <c r="AF161" s="411" t="s">
        <v>56</v>
      </c>
      <c r="AG161" s="168" t="s">
        <v>1057</v>
      </c>
      <c r="AH161" s="169">
        <v>42464</v>
      </c>
      <c r="AI161" s="169">
        <v>42524</v>
      </c>
      <c r="AJ161" s="411" t="s">
        <v>610</v>
      </c>
      <c r="AK161" s="1017" t="s">
        <v>219</v>
      </c>
      <c r="AL161" s="1182" t="s">
        <v>56</v>
      </c>
      <c r="AM161" s="1182" t="s">
        <v>56</v>
      </c>
      <c r="AN161" s="1182" t="s">
        <v>56</v>
      </c>
      <c r="AO161" s="1182" t="s">
        <v>56</v>
      </c>
      <c r="AP161" s="1182" t="s">
        <v>56</v>
      </c>
      <c r="AQ161" s="1183">
        <v>3244500</v>
      </c>
      <c r="AR161" s="1183">
        <v>3244500</v>
      </c>
      <c r="AS161" s="1184"/>
      <c r="AT161" s="1184"/>
      <c r="AU161" s="1184"/>
      <c r="AV161" s="1184"/>
      <c r="AW161" s="1184"/>
      <c r="AX161" s="1184"/>
      <c r="AY161" s="1184"/>
      <c r="AZ161" s="1184"/>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c r="FJ161" s="45"/>
      <c r="FK161" s="45"/>
      <c r="FL161" s="45"/>
      <c r="FM161" s="45"/>
      <c r="FN161" s="45"/>
      <c r="FO161" s="45"/>
      <c r="FP161" s="45"/>
      <c r="FQ161" s="45"/>
      <c r="FR161" s="45"/>
      <c r="FS161" s="45"/>
      <c r="FT161" s="45"/>
      <c r="FU161" s="45"/>
      <c r="FV161" s="45"/>
      <c r="FW161" s="45"/>
      <c r="FX161" s="45"/>
      <c r="FY161" s="45"/>
      <c r="FZ161" s="45"/>
      <c r="GA161" s="45"/>
      <c r="GB161" s="45"/>
      <c r="GC161" s="45"/>
      <c r="GD161" s="45"/>
      <c r="GE161" s="45"/>
      <c r="GF161" s="45"/>
      <c r="GG161" s="45"/>
      <c r="GH161" s="45"/>
      <c r="GI161" s="45"/>
      <c r="GJ161" s="45"/>
      <c r="GK161" s="45"/>
      <c r="GL161" s="45"/>
      <c r="GM161" s="45"/>
      <c r="GN161" s="45"/>
      <c r="GO161" s="45"/>
      <c r="GP161" s="45"/>
      <c r="GQ161" s="45"/>
      <c r="GR161" s="45"/>
      <c r="GS161" s="45"/>
      <c r="GT161" s="45"/>
      <c r="GU161" s="45"/>
      <c r="GV161" s="45"/>
      <c r="GW161" s="45"/>
      <c r="GX161" s="45"/>
      <c r="GY161" s="45"/>
      <c r="GZ161" s="45"/>
      <c r="HA161" s="45"/>
      <c r="HB161" s="45"/>
      <c r="HC161" s="45"/>
      <c r="HD161" s="45"/>
      <c r="HE161" s="45"/>
      <c r="HF161" s="45"/>
      <c r="HG161" s="45"/>
      <c r="HH161" s="45"/>
      <c r="HI161" s="45"/>
      <c r="HJ161" s="45"/>
      <c r="HK161" s="45"/>
      <c r="HL161" s="45"/>
      <c r="HM161" s="45"/>
      <c r="HN161" s="45"/>
      <c r="HO161" s="45"/>
      <c r="HP161" s="45"/>
      <c r="HQ161" s="45"/>
      <c r="HR161" s="45"/>
      <c r="HS161" s="45"/>
      <c r="HT161" s="45"/>
      <c r="HU161" s="45"/>
      <c r="HV161" s="45"/>
      <c r="HW161" s="45"/>
      <c r="HX161" s="45"/>
      <c r="HY161" s="45"/>
      <c r="HZ161" s="45"/>
      <c r="IA161" s="45"/>
      <c r="IB161" s="45"/>
      <c r="IC161" s="45"/>
      <c r="ID161" s="45"/>
      <c r="IE161" s="45"/>
      <c r="IF161" s="45"/>
      <c r="IG161" s="45"/>
      <c r="IH161" s="45"/>
      <c r="II161" s="45"/>
      <c r="IJ161" s="45"/>
      <c r="IK161" s="45"/>
      <c r="IL161" s="45"/>
      <c r="IM161" s="45"/>
      <c r="IN161" s="45"/>
      <c r="IO161" s="45"/>
      <c r="IP161" s="45"/>
      <c r="IQ161" s="45"/>
      <c r="IR161" s="45"/>
      <c r="IS161" s="45"/>
      <c r="IT161" s="45"/>
      <c r="IU161" s="45"/>
      <c r="IV161" s="45"/>
      <c r="IW161" s="45"/>
      <c r="IX161" s="45"/>
      <c r="IY161" s="45"/>
      <c r="IZ161" s="45"/>
      <c r="JA161" s="45"/>
      <c r="JB161" s="45"/>
      <c r="JC161" s="45"/>
      <c r="JD161" s="45"/>
      <c r="JE161" s="45"/>
      <c r="JF161" s="45"/>
      <c r="JG161" s="45"/>
      <c r="JH161" s="45"/>
      <c r="JI161" s="45"/>
      <c r="JJ161" s="45"/>
      <c r="JK161" s="45"/>
      <c r="JL161" s="45"/>
      <c r="JM161" s="45"/>
      <c r="JN161" s="45"/>
    </row>
    <row r="162" spans="1:274" s="259" customFormat="1" ht="56.25" customHeight="1" x14ac:dyDescent="0.25">
      <c r="A162" s="832">
        <v>139</v>
      </c>
      <c r="B162" s="833" t="s">
        <v>1000</v>
      </c>
      <c r="C162" s="833">
        <v>80101706</v>
      </c>
      <c r="D162" s="173" t="s">
        <v>850</v>
      </c>
      <c r="E162" s="833" t="s">
        <v>125</v>
      </c>
      <c r="F162" s="833">
        <v>1</v>
      </c>
      <c r="G162" s="834" t="s">
        <v>161</v>
      </c>
      <c r="H162" s="485">
        <v>2</v>
      </c>
      <c r="I162" s="836" t="s">
        <v>96</v>
      </c>
      <c r="J162" s="836" t="s">
        <v>847</v>
      </c>
      <c r="K162" s="833" t="s">
        <v>108</v>
      </c>
      <c r="L162" s="56">
        <v>19950000</v>
      </c>
      <c r="M162" s="1010">
        <v>19950000</v>
      </c>
      <c r="N162" s="833" t="s">
        <v>81</v>
      </c>
      <c r="O162" s="833" t="s">
        <v>56</v>
      </c>
      <c r="P162" s="16" t="s">
        <v>126</v>
      </c>
      <c r="Q162" s="45"/>
      <c r="R162" s="172" t="s">
        <v>930</v>
      </c>
      <c r="S162" s="172" t="s">
        <v>262</v>
      </c>
      <c r="T162" s="28">
        <v>42445</v>
      </c>
      <c r="U162" s="1012" t="s">
        <v>931</v>
      </c>
      <c r="V162" s="181" t="s">
        <v>212</v>
      </c>
      <c r="W162" s="30">
        <v>19950000</v>
      </c>
      <c r="X162" s="1148">
        <f>(-9975000)</f>
        <v>-9975000</v>
      </c>
      <c r="Y162" s="134">
        <f>SUM(W162+X162)</f>
        <v>9975000</v>
      </c>
      <c r="Z162" s="181" t="s">
        <v>932</v>
      </c>
      <c r="AA162" s="181" t="s">
        <v>933</v>
      </c>
      <c r="AB162" s="181" t="s">
        <v>225</v>
      </c>
      <c r="AC162" s="181" t="s">
        <v>934</v>
      </c>
      <c r="AD162" s="181" t="s">
        <v>56</v>
      </c>
      <c r="AE162" s="181" t="s">
        <v>56</v>
      </c>
      <c r="AF162" s="181" t="s">
        <v>56</v>
      </c>
      <c r="AG162" s="1013" t="s">
        <v>935</v>
      </c>
      <c r="AH162" s="1014">
        <v>42445</v>
      </c>
      <c r="AI162" s="1014">
        <v>42505</v>
      </c>
      <c r="AJ162" s="181" t="s">
        <v>610</v>
      </c>
      <c r="AK162" s="1017" t="s">
        <v>219</v>
      </c>
      <c r="AL162" s="1185" t="s">
        <v>56</v>
      </c>
      <c r="AM162" s="1185" t="s">
        <v>56</v>
      </c>
      <c r="AN162" s="1185" t="s">
        <v>56</v>
      </c>
      <c r="AO162" s="1185" t="s">
        <v>56</v>
      </c>
      <c r="AP162" s="1185">
        <v>9975000</v>
      </c>
      <c r="AQ162" s="138"/>
      <c r="AR162" s="138"/>
      <c r="AS162" s="138"/>
      <c r="AT162" s="138"/>
      <c r="AU162" s="138"/>
      <c r="AV162" s="138"/>
      <c r="AW162" s="138"/>
      <c r="AX162" s="138"/>
      <c r="AY162" s="138"/>
      <c r="AZ162" s="138"/>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c r="GX162" s="45"/>
      <c r="GY162" s="45"/>
      <c r="GZ162" s="45"/>
      <c r="HA162" s="45"/>
      <c r="HB162" s="45"/>
      <c r="HC162" s="45"/>
      <c r="HD162" s="45"/>
      <c r="HE162" s="45"/>
      <c r="HF162" s="45"/>
      <c r="HG162" s="45"/>
      <c r="HH162" s="45"/>
      <c r="HI162" s="45"/>
      <c r="HJ162" s="45"/>
      <c r="HK162" s="45"/>
      <c r="HL162" s="45"/>
      <c r="HM162" s="45"/>
      <c r="HN162" s="45"/>
      <c r="HO162" s="45"/>
      <c r="HP162" s="45"/>
      <c r="HQ162" s="45"/>
      <c r="HR162" s="45"/>
      <c r="HS162" s="45"/>
      <c r="HT162" s="45"/>
      <c r="HU162" s="45"/>
      <c r="HV162" s="45"/>
      <c r="HW162" s="45"/>
      <c r="HX162" s="45"/>
      <c r="HY162" s="45"/>
      <c r="HZ162" s="45"/>
      <c r="IA162" s="45"/>
      <c r="IB162" s="45"/>
      <c r="IC162" s="45"/>
      <c r="ID162" s="45"/>
      <c r="IE162" s="45"/>
      <c r="IF162" s="45"/>
      <c r="IG162" s="45"/>
      <c r="IH162" s="45"/>
      <c r="II162" s="45"/>
      <c r="IJ162" s="45"/>
      <c r="IK162" s="45"/>
      <c r="IL162" s="45"/>
      <c r="IM162" s="45"/>
      <c r="IN162" s="45"/>
      <c r="IO162" s="45"/>
      <c r="IP162" s="45"/>
      <c r="IQ162" s="45"/>
      <c r="IR162" s="45"/>
      <c r="IS162" s="45"/>
      <c r="IT162" s="45"/>
      <c r="IU162" s="45"/>
      <c r="IV162" s="45"/>
      <c r="IW162" s="45"/>
      <c r="IX162" s="45"/>
      <c r="IY162" s="45"/>
      <c r="IZ162" s="45"/>
      <c r="JA162" s="45"/>
      <c r="JB162" s="45"/>
      <c r="JC162" s="45"/>
      <c r="JD162" s="45"/>
      <c r="JE162" s="45"/>
      <c r="JF162" s="45"/>
      <c r="JG162" s="45"/>
      <c r="JH162" s="45"/>
      <c r="JI162" s="45"/>
      <c r="JJ162" s="45"/>
      <c r="JK162" s="45"/>
      <c r="JL162" s="45"/>
      <c r="JM162" s="45"/>
      <c r="JN162" s="45"/>
    </row>
    <row r="163" spans="1:274" s="259" customFormat="1" ht="56.25" customHeight="1" x14ac:dyDescent="0.25">
      <c r="A163" s="832">
        <v>140</v>
      </c>
      <c r="B163" s="833" t="s">
        <v>1000</v>
      </c>
      <c r="C163" s="833">
        <v>80101706</v>
      </c>
      <c r="D163" s="173" t="s">
        <v>851</v>
      </c>
      <c r="E163" s="833" t="s">
        <v>125</v>
      </c>
      <c r="F163" s="833">
        <v>1</v>
      </c>
      <c r="G163" s="834" t="s">
        <v>161</v>
      </c>
      <c r="H163" s="485">
        <v>2</v>
      </c>
      <c r="I163" s="836" t="s">
        <v>96</v>
      </c>
      <c r="J163" s="836" t="s">
        <v>847</v>
      </c>
      <c r="K163" s="833" t="s">
        <v>108</v>
      </c>
      <c r="L163" s="56">
        <v>6489000</v>
      </c>
      <c r="M163" s="1010">
        <v>6489000</v>
      </c>
      <c r="N163" s="833" t="s">
        <v>81</v>
      </c>
      <c r="O163" s="833" t="s">
        <v>56</v>
      </c>
      <c r="P163" s="16" t="s">
        <v>126</v>
      </c>
      <c r="Q163" s="45"/>
      <c r="R163" s="172" t="s">
        <v>1053</v>
      </c>
      <c r="S163" s="172" t="s">
        <v>277</v>
      </c>
      <c r="T163" s="28">
        <v>42459</v>
      </c>
      <c r="U163" s="1012" t="s">
        <v>1054</v>
      </c>
      <c r="V163" s="181" t="s">
        <v>212</v>
      </c>
      <c r="W163" s="30">
        <v>6489000</v>
      </c>
      <c r="X163" s="1181"/>
      <c r="Y163" s="30">
        <f t="shared" si="3"/>
        <v>6489000</v>
      </c>
      <c r="Z163" s="411" t="s">
        <v>1055</v>
      </c>
      <c r="AA163" s="181" t="s">
        <v>1056</v>
      </c>
      <c r="AB163" s="181" t="s">
        <v>225</v>
      </c>
      <c r="AC163" s="181"/>
      <c r="AD163" s="181" t="s">
        <v>56</v>
      </c>
      <c r="AE163" s="181" t="s">
        <v>56</v>
      </c>
      <c r="AF163" s="181" t="s">
        <v>56</v>
      </c>
      <c r="AG163" s="1013" t="s">
        <v>1057</v>
      </c>
      <c r="AH163" s="1014">
        <v>42459</v>
      </c>
      <c r="AI163" s="1014">
        <v>42519</v>
      </c>
      <c r="AJ163" s="181" t="s">
        <v>610</v>
      </c>
      <c r="AK163" s="1017" t="s">
        <v>219</v>
      </c>
      <c r="AL163" s="1182" t="s">
        <v>56</v>
      </c>
      <c r="AM163" s="1182" t="s">
        <v>56</v>
      </c>
      <c r="AN163" s="1182" t="s">
        <v>56</v>
      </c>
      <c r="AO163" s="1182" t="s">
        <v>56</v>
      </c>
      <c r="AP163" s="1182" t="s">
        <v>56</v>
      </c>
      <c r="AQ163" s="1183">
        <v>3244500</v>
      </c>
      <c r="AR163" s="1183">
        <v>3244500</v>
      </c>
      <c r="AS163" s="1184"/>
      <c r="AT163" s="1184"/>
      <c r="AU163" s="1184"/>
      <c r="AV163" s="1184"/>
      <c r="AW163" s="1184"/>
      <c r="AX163" s="1184"/>
      <c r="AY163" s="1184"/>
      <c r="AZ163" s="1184"/>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c r="EN163" s="45"/>
      <c r="EO163" s="45"/>
      <c r="EP163" s="45"/>
      <c r="EQ163" s="45"/>
      <c r="ER163" s="45"/>
      <c r="ES163" s="45"/>
      <c r="ET163" s="45"/>
      <c r="EU163" s="45"/>
      <c r="EV163" s="45"/>
      <c r="EW163" s="45"/>
      <c r="EX163" s="45"/>
      <c r="EY163" s="45"/>
      <c r="EZ163" s="45"/>
      <c r="FA163" s="45"/>
      <c r="FB163" s="45"/>
      <c r="FC163" s="45"/>
      <c r="FD163" s="45"/>
      <c r="FE163" s="45"/>
      <c r="FF163" s="45"/>
      <c r="FG163" s="45"/>
      <c r="FH163" s="45"/>
      <c r="FI163" s="45"/>
      <c r="FJ163" s="45"/>
      <c r="FK163" s="45"/>
      <c r="FL163" s="45"/>
      <c r="FM163" s="45"/>
      <c r="FN163" s="45"/>
      <c r="FO163" s="45"/>
      <c r="FP163" s="45"/>
      <c r="FQ163" s="45"/>
      <c r="FR163" s="45"/>
      <c r="FS163" s="45"/>
      <c r="FT163" s="45"/>
      <c r="FU163" s="45"/>
      <c r="FV163" s="45"/>
      <c r="FW163" s="45"/>
      <c r="FX163" s="45"/>
      <c r="FY163" s="45"/>
      <c r="FZ163" s="45"/>
      <c r="GA163" s="45"/>
      <c r="GB163" s="45"/>
      <c r="GC163" s="45"/>
      <c r="GD163" s="45"/>
      <c r="GE163" s="45"/>
      <c r="GF163" s="45"/>
      <c r="GG163" s="45"/>
      <c r="GH163" s="45"/>
      <c r="GI163" s="45"/>
      <c r="GJ163" s="45"/>
      <c r="GK163" s="45"/>
      <c r="GL163" s="45"/>
      <c r="GM163" s="45"/>
      <c r="GN163" s="45"/>
      <c r="GO163" s="45"/>
      <c r="GP163" s="45"/>
      <c r="GQ163" s="45"/>
      <c r="GR163" s="45"/>
      <c r="GS163" s="45"/>
      <c r="GT163" s="45"/>
      <c r="GU163" s="45"/>
      <c r="GV163" s="45"/>
      <c r="GW163" s="45"/>
      <c r="GX163" s="45"/>
      <c r="GY163" s="45"/>
      <c r="GZ163" s="45"/>
      <c r="HA163" s="45"/>
      <c r="HB163" s="45"/>
      <c r="HC163" s="45"/>
      <c r="HD163" s="45"/>
      <c r="HE163" s="45"/>
      <c r="HF163" s="45"/>
      <c r="HG163" s="45"/>
      <c r="HH163" s="45"/>
      <c r="HI163" s="45"/>
      <c r="HJ163" s="45"/>
      <c r="HK163" s="45"/>
      <c r="HL163" s="45"/>
      <c r="HM163" s="45"/>
      <c r="HN163" s="45"/>
      <c r="HO163" s="45"/>
      <c r="HP163" s="45"/>
      <c r="HQ163" s="45"/>
      <c r="HR163" s="45"/>
      <c r="HS163" s="45"/>
      <c r="HT163" s="45"/>
      <c r="HU163" s="45"/>
      <c r="HV163" s="45"/>
      <c r="HW163" s="45"/>
      <c r="HX163" s="45"/>
      <c r="HY163" s="45"/>
      <c r="HZ163" s="45"/>
      <c r="IA163" s="45"/>
      <c r="IB163" s="45"/>
      <c r="IC163" s="45"/>
      <c r="ID163" s="45"/>
      <c r="IE163" s="45"/>
      <c r="IF163" s="45"/>
      <c r="IG163" s="45"/>
      <c r="IH163" s="45"/>
      <c r="II163" s="45"/>
      <c r="IJ163" s="45"/>
      <c r="IK163" s="45"/>
      <c r="IL163" s="45"/>
      <c r="IM163" s="45"/>
      <c r="IN163" s="45"/>
      <c r="IO163" s="45"/>
      <c r="IP163" s="45"/>
      <c r="IQ163" s="45"/>
      <c r="IR163" s="45"/>
      <c r="IS163" s="45"/>
      <c r="IT163" s="45"/>
      <c r="IU163" s="45"/>
      <c r="IV163" s="45"/>
      <c r="IW163" s="45"/>
      <c r="IX163" s="45"/>
      <c r="IY163" s="45"/>
      <c r="IZ163" s="45"/>
      <c r="JA163" s="45"/>
      <c r="JB163" s="45"/>
      <c r="JC163" s="45"/>
      <c r="JD163" s="45"/>
      <c r="JE163" s="45"/>
      <c r="JF163" s="45"/>
      <c r="JG163" s="45"/>
      <c r="JH163" s="45"/>
      <c r="JI163" s="45"/>
      <c r="JJ163" s="45"/>
      <c r="JK163" s="45"/>
      <c r="JL163" s="45"/>
      <c r="JM163" s="45"/>
      <c r="JN163" s="45"/>
    </row>
    <row r="164" spans="1:274" s="259" customFormat="1" ht="135.75" customHeight="1" x14ac:dyDescent="0.25">
      <c r="A164" s="832">
        <v>141</v>
      </c>
      <c r="B164" s="833" t="s">
        <v>990</v>
      </c>
      <c r="C164" s="840">
        <v>80101706</v>
      </c>
      <c r="D164" s="1186" t="s">
        <v>852</v>
      </c>
      <c r="E164" s="840" t="s">
        <v>125</v>
      </c>
      <c r="F164" s="840">
        <v>1</v>
      </c>
      <c r="G164" s="842" t="s">
        <v>161</v>
      </c>
      <c r="H164" s="844" t="s">
        <v>853</v>
      </c>
      <c r="I164" s="838" t="s">
        <v>96</v>
      </c>
      <c r="J164" s="838" t="s">
        <v>847</v>
      </c>
      <c r="K164" s="833" t="s">
        <v>108</v>
      </c>
      <c r="L164" s="1187">
        <v>23167000</v>
      </c>
      <c r="M164" s="1188">
        <v>23167000</v>
      </c>
      <c r="N164" s="840" t="s">
        <v>81</v>
      </c>
      <c r="O164" s="840" t="s">
        <v>56</v>
      </c>
      <c r="P164" s="989" t="s">
        <v>126</v>
      </c>
      <c r="Q164" s="45"/>
      <c r="R164" s="172" t="s">
        <v>1033</v>
      </c>
      <c r="S164" s="172" t="s">
        <v>230</v>
      </c>
      <c r="T164" s="28">
        <v>42452</v>
      </c>
      <c r="U164" s="1012" t="s">
        <v>1034</v>
      </c>
      <c r="V164" s="181" t="s">
        <v>212</v>
      </c>
      <c r="W164" s="1050">
        <v>23167000</v>
      </c>
      <c r="X164" s="1113"/>
      <c r="Y164" s="134">
        <f t="shared" si="3"/>
        <v>23167000</v>
      </c>
      <c r="Z164" s="411" t="s">
        <v>1035</v>
      </c>
      <c r="AA164" s="181" t="s">
        <v>1036</v>
      </c>
      <c r="AB164" s="181" t="s">
        <v>225</v>
      </c>
      <c r="AC164" s="181" t="s">
        <v>1037</v>
      </c>
      <c r="AD164" s="181" t="s">
        <v>56</v>
      </c>
      <c r="AE164" s="181" t="s">
        <v>56</v>
      </c>
      <c r="AF164" s="181" t="s">
        <v>56</v>
      </c>
      <c r="AG164" s="1013" t="s">
        <v>1038</v>
      </c>
      <c r="AH164" s="1014">
        <v>42452</v>
      </c>
      <c r="AI164" s="1014">
        <v>42734</v>
      </c>
      <c r="AJ164" s="181" t="s">
        <v>1039</v>
      </c>
      <c r="AK164" s="1189" t="s">
        <v>1040</v>
      </c>
      <c r="AL164" s="1152" t="s">
        <v>56</v>
      </c>
      <c r="AM164" s="1152" t="s">
        <v>56</v>
      </c>
      <c r="AN164" s="1152" t="s">
        <v>56</v>
      </c>
      <c r="AO164" s="1152" t="s">
        <v>56</v>
      </c>
      <c r="AP164" s="1152" t="s">
        <v>56</v>
      </c>
      <c r="AQ164" s="1153">
        <v>2500000</v>
      </c>
      <c r="AR164" s="1153">
        <v>2500000</v>
      </c>
      <c r="AS164" s="138"/>
      <c r="AT164" s="1153">
        <v>2500000</v>
      </c>
      <c r="AU164" s="1153">
        <v>2500000</v>
      </c>
      <c r="AV164" s="138"/>
      <c r="AW164" s="138"/>
      <c r="AX164" s="138"/>
      <c r="AY164" s="138"/>
      <c r="AZ164" s="138"/>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c r="EK164" s="45"/>
      <c r="EL164" s="45"/>
      <c r="EM164" s="45"/>
      <c r="EN164" s="45"/>
      <c r="EO164" s="45"/>
      <c r="EP164" s="45"/>
      <c r="EQ164" s="45"/>
      <c r="ER164" s="45"/>
      <c r="ES164" s="45"/>
      <c r="ET164" s="45"/>
      <c r="EU164" s="45"/>
      <c r="EV164" s="45"/>
      <c r="EW164" s="45"/>
      <c r="EX164" s="45"/>
      <c r="EY164" s="45"/>
      <c r="EZ164" s="45"/>
      <c r="FA164" s="45"/>
      <c r="FB164" s="45"/>
      <c r="FC164" s="45"/>
      <c r="FD164" s="45"/>
      <c r="FE164" s="45"/>
      <c r="FF164" s="45"/>
      <c r="FG164" s="45"/>
      <c r="FH164" s="45"/>
      <c r="FI164" s="45"/>
      <c r="FJ164" s="45"/>
      <c r="FK164" s="45"/>
      <c r="FL164" s="45"/>
      <c r="FM164" s="45"/>
      <c r="FN164" s="45"/>
      <c r="FO164" s="45"/>
      <c r="FP164" s="45"/>
      <c r="FQ164" s="45"/>
      <c r="FR164" s="45"/>
      <c r="FS164" s="45"/>
      <c r="FT164" s="45"/>
      <c r="FU164" s="45"/>
      <c r="FV164" s="45"/>
      <c r="FW164" s="45"/>
      <c r="FX164" s="45"/>
      <c r="FY164" s="45"/>
      <c r="FZ164" s="45"/>
      <c r="GA164" s="45"/>
      <c r="GB164" s="45"/>
      <c r="GC164" s="45"/>
      <c r="GD164" s="45"/>
      <c r="GE164" s="45"/>
      <c r="GF164" s="45"/>
      <c r="GG164" s="45"/>
      <c r="GH164" s="45"/>
      <c r="GI164" s="45"/>
      <c r="GJ164" s="45"/>
      <c r="GK164" s="45"/>
      <c r="GL164" s="45"/>
      <c r="GM164" s="45"/>
      <c r="GN164" s="45"/>
      <c r="GO164" s="45"/>
      <c r="GP164" s="45"/>
      <c r="GQ164" s="45"/>
      <c r="GR164" s="45"/>
      <c r="GS164" s="45"/>
      <c r="GT164" s="45"/>
      <c r="GU164" s="45"/>
      <c r="GV164" s="45"/>
      <c r="GW164" s="45"/>
      <c r="GX164" s="45"/>
      <c r="GY164" s="45"/>
      <c r="GZ164" s="45"/>
      <c r="HA164" s="45"/>
      <c r="HB164" s="45"/>
      <c r="HC164" s="45"/>
      <c r="HD164" s="45"/>
      <c r="HE164" s="45"/>
      <c r="HF164" s="45"/>
      <c r="HG164" s="45"/>
      <c r="HH164" s="45"/>
      <c r="HI164" s="45"/>
      <c r="HJ164" s="45"/>
      <c r="HK164" s="45"/>
      <c r="HL164" s="45"/>
      <c r="HM164" s="45"/>
      <c r="HN164" s="45"/>
      <c r="HO164" s="45"/>
      <c r="HP164" s="45"/>
      <c r="HQ164" s="45"/>
      <c r="HR164" s="45"/>
      <c r="HS164" s="45"/>
      <c r="HT164" s="45"/>
      <c r="HU164" s="45"/>
      <c r="HV164" s="45"/>
      <c r="HW164" s="45"/>
      <c r="HX164" s="45"/>
      <c r="HY164" s="45"/>
      <c r="HZ164" s="45"/>
      <c r="IA164" s="45"/>
      <c r="IB164" s="45"/>
      <c r="IC164" s="45"/>
      <c r="ID164" s="45"/>
      <c r="IE164" s="45"/>
      <c r="IF164" s="45"/>
      <c r="IG164" s="45"/>
      <c r="IH164" s="45"/>
      <c r="II164" s="45"/>
      <c r="IJ164" s="45"/>
      <c r="IK164" s="45"/>
      <c r="IL164" s="45"/>
      <c r="IM164" s="45"/>
      <c r="IN164" s="45"/>
      <c r="IO164" s="45"/>
      <c r="IP164" s="45"/>
      <c r="IQ164" s="45"/>
      <c r="IR164" s="45"/>
      <c r="IS164" s="45"/>
      <c r="IT164" s="45"/>
      <c r="IU164" s="45"/>
      <c r="IV164" s="45"/>
      <c r="IW164" s="45"/>
      <c r="IX164" s="45"/>
      <c r="IY164" s="45"/>
      <c r="IZ164" s="45"/>
      <c r="JA164" s="45"/>
      <c r="JB164" s="45"/>
      <c r="JC164" s="45"/>
      <c r="JD164" s="45"/>
      <c r="JE164" s="45"/>
      <c r="JF164" s="45"/>
      <c r="JG164" s="45"/>
      <c r="JH164" s="45"/>
      <c r="JI164" s="45"/>
      <c r="JJ164" s="45"/>
      <c r="JK164" s="45"/>
      <c r="JL164" s="45"/>
      <c r="JM164" s="45"/>
      <c r="JN164" s="45"/>
    </row>
    <row r="165" spans="1:274" s="259" customFormat="1" ht="57.75" customHeight="1" x14ac:dyDescent="0.25">
      <c r="A165" s="965">
        <v>142</v>
      </c>
      <c r="B165" s="966" t="s">
        <v>991</v>
      </c>
      <c r="C165" s="833">
        <v>72101516</v>
      </c>
      <c r="D165" s="1190" t="s">
        <v>863</v>
      </c>
      <c r="E165" s="966" t="s">
        <v>76</v>
      </c>
      <c r="F165" s="966">
        <v>1</v>
      </c>
      <c r="G165" s="1191" t="s">
        <v>165</v>
      </c>
      <c r="H165" s="1192">
        <v>1</v>
      </c>
      <c r="I165" s="966" t="s">
        <v>89</v>
      </c>
      <c r="J165" s="833" t="s">
        <v>992</v>
      </c>
      <c r="K165" s="836" t="s">
        <v>55</v>
      </c>
      <c r="L165" s="1193">
        <v>2400000</v>
      </c>
      <c r="M165" s="1114">
        <v>2400000</v>
      </c>
      <c r="N165" s="966" t="s">
        <v>81</v>
      </c>
      <c r="O165" s="966" t="s">
        <v>56</v>
      </c>
      <c r="P165" s="966" t="s">
        <v>82</v>
      </c>
      <c r="Q165" s="45"/>
      <c r="R165" s="1019" t="s">
        <v>2659</v>
      </c>
      <c r="S165" s="1085" t="s">
        <v>2660</v>
      </c>
      <c r="T165" s="1081">
        <v>42536</v>
      </c>
      <c r="U165" s="988" t="s">
        <v>2661</v>
      </c>
      <c r="V165" s="988" t="s">
        <v>594</v>
      </c>
      <c r="W165" s="1194">
        <v>1125463</v>
      </c>
      <c r="X165" s="1195"/>
      <c r="Y165" s="1022">
        <f t="shared" si="3"/>
        <v>1125463</v>
      </c>
      <c r="Z165" s="988" t="s">
        <v>2662</v>
      </c>
      <c r="AA165" s="1196" t="s">
        <v>2923</v>
      </c>
      <c r="AB165" s="988" t="s">
        <v>35</v>
      </c>
      <c r="AC165" s="988" t="s">
        <v>2922</v>
      </c>
      <c r="AD165" s="1197" t="s">
        <v>2921</v>
      </c>
      <c r="AE165" s="1198">
        <v>42544</v>
      </c>
      <c r="AF165" s="1199">
        <v>42548</v>
      </c>
      <c r="AG165" s="1196" t="s">
        <v>2920</v>
      </c>
      <c r="AH165" s="1199">
        <v>42548</v>
      </c>
      <c r="AI165" s="1199">
        <v>42577</v>
      </c>
      <c r="AJ165" s="1197" t="s">
        <v>2919</v>
      </c>
      <c r="AK165" s="1200" t="s">
        <v>2639</v>
      </c>
      <c r="AL165" s="1201"/>
      <c r="AM165" s="1196"/>
      <c r="AN165" s="1196"/>
      <c r="AO165" s="1196"/>
      <c r="AP165" s="1196"/>
      <c r="AQ165" s="1196"/>
      <c r="AR165" s="1196"/>
      <c r="AS165" s="1196"/>
      <c r="AT165" s="1196"/>
      <c r="AU165" s="1196"/>
      <c r="AV165" s="1196"/>
      <c r="AW165" s="1196"/>
      <c r="AX165" s="1196"/>
      <c r="AY165" s="1196"/>
      <c r="AZ165" s="1196"/>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c r="FJ165" s="45"/>
      <c r="FK165" s="45"/>
      <c r="FL165" s="45"/>
      <c r="FM165" s="45"/>
      <c r="FN165" s="45"/>
      <c r="FO165" s="45"/>
      <c r="FP165" s="45"/>
      <c r="FQ165" s="45"/>
      <c r="FR165" s="45"/>
      <c r="FS165" s="45"/>
      <c r="FT165" s="45"/>
      <c r="FU165" s="45"/>
      <c r="FV165" s="45"/>
      <c r="FW165" s="45"/>
      <c r="FX165" s="45"/>
      <c r="FY165" s="45"/>
      <c r="FZ165" s="45"/>
      <c r="GA165" s="45"/>
      <c r="GB165" s="45"/>
      <c r="GC165" s="45"/>
      <c r="GD165" s="45"/>
      <c r="GE165" s="45"/>
      <c r="GF165" s="45"/>
      <c r="GG165" s="45"/>
      <c r="GH165" s="45"/>
      <c r="GI165" s="45"/>
      <c r="GJ165" s="45"/>
      <c r="GK165" s="45"/>
      <c r="GL165" s="45"/>
      <c r="GM165" s="45"/>
      <c r="GN165" s="45"/>
      <c r="GO165" s="45"/>
      <c r="GP165" s="45"/>
      <c r="GQ165" s="45"/>
      <c r="GR165" s="45"/>
      <c r="GS165" s="45"/>
      <c r="GT165" s="45"/>
      <c r="GU165" s="45"/>
      <c r="GV165" s="45"/>
      <c r="GW165" s="45"/>
      <c r="GX165" s="45"/>
      <c r="GY165" s="45"/>
      <c r="GZ165" s="45"/>
      <c r="HA165" s="45"/>
      <c r="HB165" s="45"/>
      <c r="HC165" s="45"/>
      <c r="HD165" s="45"/>
      <c r="HE165" s="45"/>
      <c r="HF165" s="45"/>
      <c r="HG165" s="45"/>
      <c r="HH165" s="45"/>
      <c r="HI165" s="45"/>
      <c r="HJ165" s="45"/>
      <c r="HK165" s="45"/>
      <c r="HL165" s="45"/>
      <c r="HM165" s="45"/>
      <c r="HN165" s="45"/>
      <c r="HO165" s="45"/>
      <c r="HP165" s="45"/>
      <c r="HQ165" s="45"/>
      <c r="HR165" s="45"/>
      <c r="HS165" s="45"/>
      <c r="HT165" s="45"/>
      <c r="HU165" s="45"/>
      <c r="HV165" s="45"/>
      <c r="HW165" s="45"/>
      <c r="HX165" s="45"/>
      <c r="HY165" s="45"/>
      <c r="HZ165" s="45"/>
      <c r="IA165" s="45"/>
      <c r="IB165" s="45"/>
      <c r="IC165" s="45"/>
      <c r="ID165" s="45"/>
      <c r="IE165" s="45"/>
      <c r="IF165" s="45"/>
      <c r="IG165" s="45"/>
      <c r="IH165" s="45"/>
      <c r="II165" s="45"/>
      <c r="IJ165" s="45"/>
      <c r="IK165" s="45"/>
      <c r="IL165" s="45"/>
      <c r="IM165" s="45"/>
      <c r="IN165" s="45"/>
      <c r="IO165" s="45"/>
      <c r="IP165" s="45"/>
      <c r="IQ165" s="45"/>
      <c r="IR165" s="45"/>
      <c r="IS165" s="45"/>
      <c r="IT165" s="45"/>
      <c r="IU165" s="45"/>
      <c r="IV165" s="45"/>
      <c r="IW165" s="45"/>
      <c r="IX165" s="45"/>
      <c r="IY165" s="45"/>
      <c r="IZ165" s="45"/>
      <c r="JA165" s="45"/>
      <c r="JB165" s="45"/>
      <c r="JC165" s="45"/>
      <c r="JD165" s="45"/>
      <c r="JE165" s="45"/>
      <c r="JF165" s="45"/>
      <c r="JG165" s="45"/>
      <c r="JH165" s="45"/>
      <c r="JI165" s="45"/>
      <c r="JJ165" s="45"/>
      <c r="JK165" s="45"/>
      <c r="JL165" s="45"/>
      <c r="JM165" s="45"/>
      <c r="JN165" s="45"/>
    </row>
    <row r="166" spans="1:274" s="259" customFormat="1" ht="42.75" customHeight="1" x14ac:dyDescent="0.25">
      <c r="A166" s="939"/>
      <c r="B166" s="945"/>
      <c r="C166" s="841"/>
      <c r="D166" s="1202"/>
      <c r="E166" s="945"/>
      <c r="F166" s="945"/>
      <c r="G166" s="1203"/>
      <c r="H166" s="953"/>
      <c r="I166" s="945"/>
      <c r="J166" s="1204" t="s">
        <v>1261</v>
      </c>
      <c r="K166" s="839" t="s">
        <v>55</v>
      </c>
      <c r="L166" s="1205">
        <v>100000</v>
      </c>
      <c r="M166" s="1206">
        <v>100000</v>
      </c>
      <c r="N166" s="945"/>
      <c r="O166" s="945"/>
      <c r="P166" s="996"/>
      <c r="Q166" s="45"/>
      <c r="R166" s="1027"/>
      <c r="S166" s="1087"/>
      <c r="T166" s="1083"/>
      <c r="U166" s="1006"/>
      <c r="V166" s="1006"/>
      <c r="W166" s="1207">
        <v>100000</v>
      </c>
      <c r="X166" s="1208"/>
      <c r="Y166" s="1209">
        <f t="shared" si="3"/>
        <v>100000</v>
      </c>
      <c r="Z166" s="1006"/>
      <c r="AA166" s="1166"/>
      <c r="AB166" s="1144"/>
      <c r="AC166" s="1144"/>
      <c r="AD166" s="1144"/>
      <c r="AE166" s="1144"/>
      <c r="AF166" s="1144"/>
      <c r="AG166" s="1166"/>
      <c r="AH166" s="1144"/>
      <c r="AI166" s="1144"/>
      <c r="AJ166" s="1144"/>
      <c r="AK166" s="1210"/>
      <c r="AL166" s="1211"/>
      <c r="AM166" s="1166"/>
      <c r="AN166" s="1166"/>
      <c r="AO166" s="1166"/>
      <c r="AP166" s="1166"/>
      <c r="AQ166" s="1166"/>
      <c r="AR166" s="1166"/>
      <c r="AS166" s="1166"/>
      <c r="AT166" s="1166"/>
      <c r="AU166" s="1166"/>
      <c r="AV166" s="1166"/>
      <c r="AW166" s="1166"/>
      <c r="AX166" s="1166"/>
      <c r="AY166" s="1166"/>
      <c r="AZ166" s="1166"/>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c r="FJ166" s="45"/>
      <c r="FK166" s="45"/>
      <c r="FL166" s="45"/>
      <c r="FM166" s="45"/>
      <c r="FN166" s="45"/>
      <c r="FO166" s="45"/>
      <c r="FP166" s="45"/>
      <c r="FQ166" s="45"/>
      <c r="FR166" s="45"/>
      <c r="FS166" s="45"/>
      <c r="FT166" s="45"/>
      <c r="FU166" s="45"/>
      <c r="FV166" s="45"/>
      <c r="FW166" s="45"/>
      <c r="FX166" s="45"/>
      <c r="FY166" s="45"/>
      <c r="FZ166" s="45"/>
      <c r="GA166" s="45"/>
      <c r="GB166" s="45"/>
      <c r="GC166" s="45"/>
      <c r="GD166" s="45"/>
      <c r="GE166" s="45"/>
      <c r="GF166" s="45"/>
      <c r="GG166" s="45"/>
      <c r="GH166" s="45"/>
      <c r="GI166" s="45"/>
      <c r="GJ166" s="45"/>
      <c r="GK166" s="45"/>
      <c r="GL166" s="45"/>
      <c r="GM166" s="45"/>
      <c r="GN166" s="45"/>
      <c r="GO166" s="45"/>
      <c r="GP166" s="45"/>
      <c r="GQ166" s="45"/>
      <c r="GR166" s="45"/>
      <c r="GS166" s="45"/>
      <c r="GT166" s="45"/>
      <c r="GU166" s="45"/>
      <c r="GV166" s="45"/>
      <c r="GW166" s="45"/>
      <c r="GX166" s="45"/>
      <c r="GY166" s="45"/>
      <c r="GZ166" s="45"/>
      <c r="HA166" s="45"/>
      <c r="HB166" s="45"/>
      <c r="HC166" s="45"/>
      <c r="HD166" s="45"/>
      <c r="HE166" s="45"/>
      <c r="HF166" s="45"/>
      <c r="HG166" s="45"/>
      <c r="HH166" s="45"/>
      <c r="HI166" s="45"/>
      <c r="HJ166" s="45"/>
      <c r="HK166" s="45"/>
      <c r="HL166" s="45"/>
      <c r="HM166" s="45"/>
      <c r="HN166" s="45"/>
      <c r="HO166" s="45"/>
      <c r="HP166" s="45"/>
      <c r="HQ166" s="45"/>
      <c r="HR166" s="45"/>
      <c r="HS166" s="45"/>
      <c r="HT166" s="45"/>
      <c r="HU166" s="45"/>
      <c r="HV166" s="45"/>
      <c r="HW166" s="45"/>
      <c r="HX166" s="45"/>
      <c r="HY166" s="45"/>
      <c r="HZ166" s="45"/>
      <c r="IA166" s="45"/>
      <c r="IB166" s="45"/>
      <c r="IC166" s="45"/>
      <c r="ID166" s="45"/>
      <c r="IE166" s="45"/>
      <c r="IF166" s="45"/>
      <c r="IG166" s="45"/>
      <c r="IH166" s="45"/>
      <c r="II166" s="45"/>
      <c r="IJ166" s="45"/>
      <c r="IK166" s="45"/>
      <c r="IL166" s="45"/>
      <c r="IM166" s="45"/>
      <c r="IN166" s="45"/>
      <c r="IO166" s="45"/>
      <c r="IP166" s="45"/>
      <c r="IQ166" s="45"/>
      <c r="IR166" s="45"/>
      <c r="IS166" s="45"/>
      <c r="IT166" s="45"/>
      <c r="IU166" s="45"/>
      <c r="IV166" s="45"/>
      <c r="IW166" s="45"/>
      <c r="IX166" s="45"/>
      <c r="IY166" s="45"/>
      <c r="IZ166" s="45"/>
      <c r="JA166" s="45"/>
      <c r="JB166" s="45"/>
      <c r="JC166" s="45"/>
      <c r="JD166" s="45"/>
      <c r="JE166" s="45"/>
      <c r="JF166" s="45"/>
      <c r="JG166" s="45"/>
      <c r="JH166" s="45"/>
      <c r="JI166" s="45"/>
      <c r="JJ166" s="45"/>
      <c r="JK166" s="45"/>
      <c r="JL166" s="45"/>
      <c r="JM166" s="45"/>
    </row>
    <row r="167" spans="1:274" s="259" customFormat="1" ht="57" customHeight="1" x14ac:dyDescent="0.25">
      <c r="A167" s="832">
        <v>143</v>
      </c>
      <c r="B167" s="838" t="s">
        <v>984</v>
      </c>
      <c r="C167" s="838">
        <v>80101706</v>
      </c>
      <c r="D167" s="1212" t="s">
        <v>936</v>
      </c>
      <c r="E167" s="838" t="s">
        <v>125</v>
      </c>
      <c r="F167" s="838">
        <v>1</v>
      </c>
      <c r="G167" s="834" t="s">
        <v>165</v>
      </c>
      <c r="H167" s="844" t="s">
        <v>1325</v>
      </c>
      <c r="I167" s="836" t="s">
        <v>96</v>
      </c>
      <c r="J167" s="838" t="s">
        <v>847</v>
      </c>
      <c r="K167" s="836" t="s">
        <v>108</v>
      </c>
      <c r="L167" s="1187">
        <v>45000000</v>
      </c>
      <c r="M167" s="1187">
        <v>45000000</v>
      </c>
      <c r="N167" s="838" t="s">
        <v>81</v>
      </c>
      <c r="O167" s="838" t="s">
        <v>56</v>
      </c>
      <c r="P167" s="24" t="s">
        <v>126</v>
      </c>
      <c r="Q167" s="45"/>
      <c r="R167" s="172" t="s">
        <v>2663</v>
      </c>
      <c r="S167" s="172" t="s">
        <v>2664</v>
      </c>
      <c r="T167" s="28">
        <v>42506</v>
      </c>
      <c r="U167" s="1012" t="s">
        <v>2665</v>
      </c>
      <c r="V167" s="181" t="s">
        <v>212</v>
      </c>
      <c r="W167" s="1005">
        <v>42000000</v>
      </c>
      <c r="X167" s="138"/>
      <c r="Y167" s="134">
        <f t="shared" si="3"/>
        <v>42000000</v>
      </c>
      <c r="Z167" s="994" t="s">
        <v>2666</v>
      </c>
      <c r="AA167" s="411" t="s">
        <v>2667</v>
      </c>
      <c r="AB167" s="411" t="s">
        <v>225</v>
      </c>
      <c r="AC167" s="181" t="s">
        <v>2668</v>
      </c>
      <c r="AD167" s="411" t="s">
        <v>56</v>
      </c>
      <c r="AE167" s="411" t="s">
        <v>56</v>
      </c>
      <c r="AF167" s="411" t="s">
        <v>56</v>
      </c>
      <c r="AG167" s="168" t="s">
        <v>1292</v>
      </c>
      <c r="AH167" s="169">
        <v>42506</v>
      </c>
      <c r="AI167" s="169">
        <v>42719</v>
      </c>
      <c r="AJ167" s="411" t="s">
        <v>2669</v>
      </c>
      <c r="AK167" s="134" t="s">
        <v>1469</v>
      </c>
      <c r="AL167" s="1152" t="s">
        <v>56</v>
      </c>
      <c r="AM167" s="1148" t="s">
        <v>56</v>
      </c>
      <c r="AN167" s="1148" t="s">
        <v>56</v>
      </c>
      <c r="AO167" s="1148" t="s">
        <v>56</v>
      </c>
      <c r="AP167" s="1148" t="s">
        <v>56</v>
      </c>
      <c r="AQ167" s="1148" t="s">
        <v>56</v>
      </c>
      <c r="AR167" s="1104">
        <v>6000000</v>
      </c>
      <c r="AS167" s="138"/>
      <c r="AT167" s="1104">
        <v>6000000</v>
      </c>
      <c r="AU167" s="138"/>
      <c r="AV167" s="138"/>
      <c r="AW167" s="138"/>
      <c r="AX167" s="138"/>
      <c r="AY167" s="138"/>
      <c r="AZ167" s="138"/>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c r="FJ167" s="45"/>
      <c r="FK167" s="45"/>
      <c r="FL167" s="45"/>
      <c r="FM167" s="45"/>
      <c r="FN167" s="45"/>
      <c r="FO167" s="45"/>
      <c r="FP167" s="45"/>
      <c r="FQ167" s="45"/>
      <c r="FR167" s="45"/>
      <c r="FS167" s="45"/>
      <c r="FT167" s="45"/>
      <c r="FU167" s="45"/>
      <c r="FV167" s="45"/>
      <c r="FW167" s="45"/>
      <c r="FX167" s="45"/>
      <c r="FY167" s="45"/>
      <c r="FZ167" s="45"/>
      <c r="GA167" s="45"/>
      <c r="GB167" s="45"/>
      <c r="GC167" s="45"/>
      <c r="GD167" s="45"/>
      <c r="GE167" s="45"/>
      <c r="GF167" s="45"/>
      <c r="GG167" s="45"/>
      <c r="GH167" s="45"/>
      <c r="GI167" s="45"/>
      <c r="GJ167" s="45"/>
      <c r="GK167" s="45"/>
      <c r="GL167" s="45"/>
      <c r="GM167" s="45"/>
      <c r="GN167" s="45"/>
      <c r="GO167" s="45"/>
      <c r="GP167" s="45"/>
      <c r="GQ167" s="45"/>
      <c r="GR167" s="45"/>
      <c r="GS167" s="45"/>
      <c r="GT167" s="45"/>
      <c r="GU167" s="45"/>
      <c r="GV167" s="45"/>
      <c r="GW167" s="45"/>
      <c r="GX167" s="45"/>
      <c r="GY167" s="45"/>
      <c r="GZ167" s="45"/>
      <c r="HA167" s="45"/>
      <c r="HB167" s="45"/>
      <c r="HC167" s="45"/>
      <c r="HD167" s="45"/>
      <c r="HE167" s="45"/>
      <c r="HF167" s="45"/>
      <c r="HG167" s="45"/>
      <c r="HH167" s="45"/>
      <c r="HI167" s="45"/>
      <c r="HJ167" s="45"/>
      <c r="HK167" s="45"/>
      <c r="HL167" s="45"/>
      <c r="HM167" s="45"/>
      <c r="HN167" s="45"/>
      <c r="HO167" s="45"/>
      <c r="HP167" s="45"/>
      <c r="HQ167" s="45"/>
      <c r="HR167" s="45"/>
      <c r="HS167" s="45"/>
      <c r="HT167" s="45"/>
      <c r="HU167" s="45"/>
      <c r="HV167" s="45"/>
      <c r="HW167" s="45"/>
      <c r="HX167" s="45"/>
      <c r="HY167" s="45"/>
      <c r="HZ167" s="45"/>
      <c r="IA167" s="45"/>
      <c r="IB167" s="45"/>
      <c r="IC167" s="45"/>
      <c r="ID167" s="45"/>
      <c r="IE167" s="45"/>
      <c r="IF167" s="45"/>
      <c r="IG167" s="45"/>
      <c r="IH167" s="45"/>
      <c r="II167" s="45"/>
      <c r="IJ167" s="45"/>
      <c r="IK167" s="45"/>
      <c r="IL167" s="45"/>
      <c r="IM167" s="45"/>
      <c r="IN167" s="45"/>
      <c r="IO167" s="45"/>
      <c r="IP167" s="45"/>
      <c r="IQ167" s="45"/>
      <c r="IR167" s="45"/>
      <c r="IS167" s="45"/>
      <c r="IT167" s="45"/>
      <c r="IU167" s="45"/>
      <c r="IV167" s="45"/>
      <c r="IW167" s="45"/>
      <c r="IX167" s="45"/>
      <c r="IY167" s="45"/>
      <c r="IZ167" s="45"/>
      <c r="JA167" s="45"/>
      <c r="JB167" s="45"/>
      <c r="JC167" s="45"/>
      <c r="JD167" s="45"/>
      <c r="JE167" s="45"/>
      <c r="JF167" s="45"/>
      <c r="JG167" s="45"/>
      <c r="JH167" s="45"/>
      <c r="JI167" s="45"/>
      <c r="JJ167" s="45"/>
      <c r="JK167" s="45"/>
      <c r="JL167" s="45"/>
      <c r="JM167" s="45"/>
    </row>
    <row r="168" spans="1:274" s="259" customFormat="1" ht="90" customHeight="1" x14ac:dyDescent="0.25">
      <c r="A168" s="832">
        <v>144</v>
      </c>
      <c r="B168" s="838" t="s">
        <v>984</v>
      </c>
      <c r="C168" s="838">
        <v>80101706</v>
      </c>
      <c r="D168" s="1212" t="s">
        <v>1387</v>
      </c>
      <c r="E168" s="838" t="s">
        <v>125</v>
      </c>
      <c r="F168" s="838">
        <v>1</v>
      </c>
      <c r="G168" s="842" t="s">
        <v>164</v>
      </c>
      <c r="H168" s="844">
        <v>5</v>
      </c>
      <c r="I168" s="836" t="s">
        <v>96</v>
      </c>
      <c r="J168" s="838" t="s">
        <v>847</v>
      </c>
      <c r="K168" s="836" t="s">
        <v>108</v>
      </c>
      <c r="L168" s="1187">
        <v>35000000</v>
      </c>
      <c r="M168" s="1187">
        <v>35000000</v>
      </c>
      <c r="N168" s="838" t="s">
        <v>81</v>
      </c>
      <c r="O168" s="838" t="s">
        <v>56</v>
      </c>
      <c r="P168" s="1213" t="s">
        <v>126</v>
      </c>
      <c r="Q168" s="45"/>
      <c r="R168" s="172" t="s">
        <v>1461</v>
      </c>
      <c r="S168" s="172" t="s">
        <v>1462</v>
      </c>
      <c r="T168" s="28">
        <v>42487</v>
      </c>
      <c r="U168" s="164" t="s">
        <v>1463</v>
      </c>
      <c r="V168" s="411" t="s">
        <v>212</v>
      </c>
      <c r="W168" s="1005">
        <v>35000000</v>
      </c>
      <c r="X168" s="138"/>
      <c r="Y168" s="134">
        <f t="shared" si="3"/>
        <v>35000000</v>
      </c>
      <c r="Z168" s="411" t="s">
        <v>1464</v>
      </c>
      <c r="AA168" s="411" t="s">
        <v>1465</v>
      </c>
      <c r="AB168" s="411" t="s">
        <v>225</v>
      </c>
      <c r="AC168" s="181" t="s">
        <v>1466</v>
      </c>
      <c r="AD168" s="411" t="s">
        <v>56</v>
      </c>
      <c r="AE168" s="411" t="s">
        <v>56</v>
      </c>
      <c r="AF168" s="411" t="s">
        <v>56</v>
      </c>
      <c r="AG168" s="168" t="s">
        <v>1467</v>
      </c>
      <c r="AH168" s="169">
        <v>42487</v>
      </c>
      <c r="AI168" s="169">
        <v>42639</v>
      </c>
      <c r="AJ168" s="411" t="s">
        <v>1468</v>
      </c>
      <c r="AK168" s="134" t="s">
        <v>1469</v>
      </c>
      <c r="AL168" s="1214" t="s">
        <v>56</v>
      </c>
      <c r="AM168" s="1214" t="s">
        <v>56</v>
      </c>
      <c r="AN168" s="1214" t="s">
        <v>56</v>
      </c>
      <c r="AO168" s="1214" t="s">
        <v>56</v>
      </c>
      <c r="AP168" s="1214" t="s">
        <v>56</v>
      </c>
      <c r="AQ168" s="1214" t="s">
        <v>56</v>
      </c>
      <c r="AR168" s="1153">
        <v>7000000</v>
      </c>
      <c r="AS168" s="138"/>
      <c r="AT168" s="1153">
        <v>7000000</v>
      </c>
      <c r="AU168" s="138"/>
      <c r="AV168" s="138"/>
      <c r="AW168" s="138"/>
      <c r="AX168" s="138"/>
      <c r="AY168" s="138"/>
      <c r="AZ168" s="138"/>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c r="EN168" s="45"/>
      <c r="EO168" s="45"/>
      <c r="EP168" s="45"/>
      <c r="EQ168" s="45"/>
      <c r="ER168" s="45"/>
      <c r="ES168" s="45"/>
      <c r="ET168" s="45"/>
      <c r="EU168" s="45"/>
      <c r="EV168" s="45"/>
      <c r="EW168" s="45"/>
      <c r="EX168" s="45"/>
      <c r="EY168" s="45"/>
      <c r="EZ168" s="45"/>
      <c r="FA168" s="45"/>
      <c r="FB168" s="45"/>
      <c r="FC168" s="45"/>
      <c r="FD168" s="45"/>
      <c r="FE168" s="45"/>
      <c r="FF168" s="45"/>
      <c r="FG168" s="45"/>
      <c r="FH168" s="45"/>
      <c r="FI168" s="45"/>
      <c r="FJ168" s="45"/>
      <c r="FK168" s="45"/>
      <c r="FL168" s="45"/>
      <c r="FM168" s="45"/>
      <c r="FN168" s="45"/>
      <c r="FO168" s="45"/>
      <c r="FP168" s="45"/>
      <c r="FQ168" s="45"/>
      <c r="FR168" s="45"/>
      <c r="FS168" s="45"/>
      <c r="FT168" s="45"/>
      <c r="FU168" s="45"/>
      <c r="FV168" s="45"/>
      <c r="FW168" s="45"/>
      <c r="FX168" s="45"/>
      <c r="FY168" s="45"/>
      <c r="FZ168" s="45"/>
      <c r="GA168" s="45"/>
      <c r="GB168" s="45"/>
      <c r="GC168" s="45"/>
      <c r="GD168" s="45"/>
      <c r="GE168" s="45"/>
      <c r="GF168" s="45"/>
      <c r="GG168" s="45"/>
      <c r="GH168" s="45"/>
      <c r="GI168" s="45"/>
      <c r="GJ168" s="45"/>
      <c r="GK168" s="45"/>
      <c r="GL168" s="45"/>
      <c r="GM168" s="45"/>
      <c r="GN168" s="45"/>
      <c r="GO168" s="45"/>
      <c r="GP168" s="45"/>
      <c r="GQ168" s="45"/>
      <c r="GR168" s="45"/>
      <c r="GS168" s="45"/>
      <c r="GT168" s="45"/>
      <c r="GU168" s="45"/>
      <c r="GV168" s="45"/>
      <c r="GW168" s="45"/>
      <c r="GX168" s="45"/>
      <c r="GY168" s="45"/>
      <c r="GZ168" s="45"/>
      <c r="HA168" s="45"/>
      <c r="HB168" s="45"/>
      <c r="HC168" s="45"/>
      <c r="HD168" s="45"/>
      <c r="HE168" s="45"/>
      <c r="HF168" s="45"/>
      <c r="HG168" s="45"/>
      <c r="HH168" s="45"/>
      <c r="HI168" s="45"/>
      <c r="HJ168" s="45"/>
      <c r="HK168" s="45"/>
      <c r="HL168" s="45"/>
      <c r="HM168" s="45"/>
      <c r="HN168" s="45"/>
      <c r="HO168" s="45"/>
      <c r="HP168" s="45"/>
      <c r="HQ168" s="45"/>
      <c r="HR168" s="45"/>
      <c r="HS168" s="45"/>
      <c r="HT168" s="45"/>
      <c r="HU168" s="45"/>
      <c r="HV168" s="45"/>
      <c r="HW168" s="45"/>
      <c r="HX168" s="45"/>
      <c r="HY168" s="45"/>
      <c r="HZ168" s="45"/>
      <c r="IA168" s="45"/>
      <c r="IB168" s="45"/>
      <c r="IC168" s="45"/>
      <c r="ID168" s="45"/>
      <c r="IE168" s="45"/>
      <c r="IF168" s="45"/>
      <c r="IG168" s="45"/>
      <c r="IH168" s="45"/>
      <c r="II168" s="45"/>
      <c r="IJ168" s="45"/>
      <c r="IK168" s="45"/>
      <c r="IL168" s="45"/>
      <c r="IM168" s="45"/>
      <c r="IN168" s="45"/>
      <c r="IO168" s="45"/>
      <c r="IP168" s="45"/>
      <c r="IQ168" s="45"/>
      <c r="IR168" s="45"/>
      <c r="IS168" s="45"/>
      <c r="IT168" s="45"/>
      <c r="IU168" s="45"/>
      <c r="IV168" s="45"/>
      <c r="IW168" s="45"/>
      <c r="IX168" s="45"/>
      <c r="IY168" s="45"/>
      <c r="IZ168" s="45"/>
      <c r="JA168" s="45"/>
      <c r="JB168" s="45"/>
      <c r="JC168" s="45"/>
      <c r="JD168" s="45"/>
      <c r="JE168" s="45"/>
      <c r="JF168" s="45"/>
      <c r="JG168" s="45"/>
      <c r="JH168" s="45"/>
      <c r="JI168" s="45"/>
      <c r="JJ168" s="45"/>
      <c r="JK168" s="45"/>
      <c r="JL168" s="45"/>
      <c r="JM168" s="45"/>
    </row>
    <row r="169" spans="1:274" s="259" customFormat="1" ht="57" customHeight="1" x14ac:dyDescent="0.25">
      <c r="A169" s="832">
        <v>145</v>
      </c>
      <c r="B169" s="838" t="s">
        <v>984</v>
      </c>
      <c r="C169" s="838">
        <v>80101706</v>
      </c>
      <c r="D169" s="1212" t="s">
        <v>939</v>
      </c>
      <c r="E169" s="838" t="s">
        <v>125</v>
      </c>
      <c r="F169" s="838">
        <v>1</v>
      </c>
      <c r="G169" s="834" t="s">
        <v>969</v>
      </c>
      <c r="H169" s="844">
        <v>6</v>
      </c>
      <c r="I169" s="836" t="s">
        <v>96</v>
      </c>
      <c r="J169" s="838" t="s">
        <v>847</v>
      </c>
      <c r="K169" s="836" t="s">
        <v>108</v>
      </c>
      <c r="L169" s="1187">
        <v>48000000</v>
      </c>
      <c r="M169" s="1187">
        <v>48000000</v>
      </c>
      <c r="N169" s="838" t="s">
        <v>81</v>
      </c>
      <c r="O169" s="838" t="s">
        <v>56</v>
      </c>
      <c r="P169" s="24" t="s">
        <v>126</v>
      </c>
      <c r="Q169" s="45"/>
      <c r="R169" s="172" t="s">
        <v>2670</v>
      </c>
      <c r="S169" s="172" t="s">
        <v>2671</v>
      </c>
      <c r="T169" s="28">
        <v>42506</v>
      </c>
      <c r="U169" s="1012" t="s">
        <v>2672</v>
      </c>
      <c r="V169" s="181" t="s">
        <v>212</v>
      </c>
      <c r="W169" s="1005">
        <v>35000000</v>
      </c>
      <c r="X169" s="138"/>
      <c r="Y169" s="134">
        <f>SUM(W169+X169)</f>
        <v>35000000</v>
      </c>
      <c r="Z169" s="994" t="s">
        <v>2673</v>
      </c>
      <c r="AA169" s="411" t="s">
        <v>2674</v>
      </c>
      <c r="AB169" s="411" t="s">
        <v>225</v>
      </c>
      <c r="AC169" s="181" t="s">
        <v>2675</v>
      </c>
      <c r="AD169" s="411" t="s">
        <v>56</v>
      </c>
      <c r="AE169" s="411" t="s">
        <v>56</v>
      </c>
      <c r="AF169" s="411" t="s">
        <v>56</v>
      </c>
      <c r="AG169" s="168" t="s">
        <v>1292</v>
      </c>
      <c r="AH169" s="169">
        <v>42506</v>
      </c>
      <c r="AI169" s="169">
        <v>42719</v>
      </c>
      <c r="AJ169" s="411" t="s">
        <v>2669</v>
      </c>
      <c r="AK169" s="134" t="s">
        <v>1469</v>
      </c>
      <c r="AL169" s="1152" t="s">
        <v>56</v>
      </c>
      <c r="AM169" s="1148" t="s">
        <v>56</v>
      </c>
      <c r="AN169" s="1148" t="s">
        <v>56</v>
      </c>
      <c r="AO169" s="1148" t="s">
        <v>56</v>
      </c>
      <c r="AP169" s="1148" t="s">
        <v>56</v>
      </c>
      <c r="AQ169" s="1148" t="s">
        <v>56</v>
      </c>
      <c r="AR169" s="1104">
        <v>5000000</v>
      </c>
      <c r="AS169" s="138"/>
      <c r="AT169" s="1104">
        <v>5000000</v>
      </c>
      <c r="AU169" s="138"/>
      <c r="AV169" s="138"/>
      <c r="AW169" s="138"/>
      <c r="AX169" s="138"/>
      <c r="AY169" s="138"/>
      <c r="AZ169" s="138"/>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c r="EN169" s="45"/>
      <c r="EO169" s="45"/>
      <c r="EP169" s="45"/>
      <c r="EQ169" s="45"/>
      <c r="ER169" s="45"/>
      <c r="ES169" s="45"/>
      <c r="ET169" s="45"/>
      <c r="EU169" s="45"/>
      <c r="EV169" s="45"/>
      <c r="EW169" s="45"/>
      <c r="EX169" s="45"/>
      <c r="EY169" s="45"/>
      <c r="EZ169" s="45"/>
      <c r="FA169" s="45"/>
      <c r="FB169" s="45"/>
      <c r="FC169" s="45"/>
      <c r="FD169" s="45"/>
      <c r="FE169" s="45"/>
      <c r="FF169" s="45"/>
      <c r="FG169" s="45"/>
      <c r="FH169" s="45"/>
      <c r="FI169" s="45"/>
      <c r="FJ169" s="45"/>
      <c r="FK169" s="45"/>
      <c r="FL169" s="45"/>
      <c r="FM169" s="45"/>
      <c r="FN169" s="45"/>
      <c r="FO169" s="45"/>
      <c r="FP169" s="45"/>
      <c r="FQ169" s="45"/>
      <c r="FR169" s="45"/>
      <c r="FS169" s="45"/>
      <c r="FT169" s="45"/>
      <c r="FU169" s="45"/>
      <c r="FV169" s="45"/>
      <c r="FW169" s="45"/>
      <c r="FX169" s="45"/>
      <c r="FY169" s="45"/>
      <c r="FZ169" s="45"/>
      <c r="GA169" s="45"/>
      <c r="GB169" s="45"/>
      <c r="GC169" s="45"/>
      <c r="GD169" s="45"/>
      <c r="GE169" s="45"/>
      <c r="GF169" s="45"/>
      <c r="GG169" s="45"/>
      <c r="GH169" s="45"/>
      <c r="GI169" s="45"/>
      <c r="GJ169" s="45"/>
      <c r="GK169" s="45"/>
      <c r="GL169" s="45"/>
      <c r="GM169" s="45"/>
      <c r="GN169" s="45"/>
      <c r="GO169" s="45"/>
      <c r="GP169" s="45"/>
      <c r="GQ169" s="45"/>
      <c r="GR169" s="45"/>
      <c r="GS169" s="45"/>
      <c r="GT169" s="45"/>
      <c r="GU169" s="45"/>
      <c r="GV169" s="45"/>
      <c r="GW169" s="45"/>
      <c r="GX169" s="45"/>
      <c r="GY169" s="45"/>
      <c r="GZ169" s="45"/>
      <c r="HA169" s="45"/>
      <c r="HB169" s="45"/>
      <c r="HC169" s="45"/>
      <c r="HD169" s="45"/>
      <c r="HE169" s="45"/>
      <c r="HF169" s="45"/>
      <c r="HG169" s="45"/>
      <c r="HH169" s="45"/>
      <c r="HI169" s="45"/>
      <c r="HJ169" s="45"/>
      <c r="HK169" s="45"/>
      <c r="HL169" s="45"/>
      <c r="HM169" s="45"/>
      <c r="HN169" s="45"/>
      <c r="HO169" s="45"/>
      <c r="HP169" s="45"/>
      <c r="HQ169" s="45"/>
      <c r="HR169" s="45"/>
      <c r="HS169" s="45"/>
      <c r="HT169" s="45"/>
      <c r="HU169" s="45"/>
      <c r="HV169" s="45"/>
      <c r="HW169" s="45"/>
      <c r="HX169" s="45"/>
      <c r="HY169" s="45"/>
      <c r="HZ169" s="45"/>
      <c r="IA169" s="45"/>
      <c r="IB169" s="45"/>
      <c r="IC169" s="45"/>
      <c r="ID169" s="45"/>
      <c r="IE169" s="45"/>
      <c r="IF169" s="45"/>
      <c r="IG169" s="45"/>
      <c r="IH169" s="45"/>
      <c r="II169" s="45"/>
      <c r="IJ169" s="45"/>
      <c r="IK169" s="45"/>
      <c r="IL169" s="45"/>
      <c r="IM169" s="45"/>
      <c r="IN169" s="45"/>
      <c r="IO169" s="45"/>
      <c r="IP169" s="45"/>
      <c r="IQ169" s="45"/>
      <c r="IR169" s="45"/>
      <c r="IS169" s="45"/>
      <c r="IT169" s="45"/>
      <c r="IU169" s="45"/>
      <c r="IV169" s="45"/>
      <c r="IW169" s="45"/>
      <c r="IX169" s="45"/>
      <c r="IY169" s="45"/>
      <c r="IZ169" s="45"/>
      <c r="JA169" s="45"/>
      <c r="JB169" s="45"/>
      <c r="JC169" s="45"/>
      <c r="JD169" s="45"/>
      <c r="JE169" s="45"/>
      <c r="JF169" s="45"/>
      <c r="JG169" s="45"/>
      <c r="JH169" s="45"/>
      <c r="JI169" s="45"/>
      <c r="JJ169" s="45"/>
      <c r="JK169" s="45"/>
      <c r="JL169" s="45"/>
      <c r="JM169" s="45"/>
    </row>
    <row r="170" spans="1:274" s="259" customFormat="1" ht="120" customHeight="1" x14ac:dyDescent="0.25">
      <c r="A170" s="832">
        <v>146</v>
      </c>
      <c r="B170" s="838" t="s">
        <v>984</v>
      </c>
      <c r="C170" s="838">
        <v>80101706</v>
      </c>
      <c r="D170" s="1212" t="s">
        <v>937</v>
      </c>
      <c r="E170" s="838" t="s">
        <v>125</v>
      </c>
      <c r="F170" s="838">
        <v>1</v>
      </c>
      <c r="G170" s="842" t="s">
        <v>162</v>
      </c>
      <c r="H170" s="844" t="s">
        <v>1325</v>
      </c>
      <c r="I170" s="836" t="s">
        <v>96</v>
      </c>
      <c r="J170" s="838" t="s">
        <v>128</v>
      </c>
      <c r="K170" s="836" t="s">
        <v>108</v>
      </c>
      <c r="L170" s="1187">
        <v>25987500</v>
      </c>
      <c r="M170" s="1187">
        <v>25987500</v>
      </c>
      <c r="N170" s="838" t="s">
        <v>81</v>
      </c>
      <c r="O170" s="838" t="s">
        <v>56</v>
      </c>
      <c r="P170" s="1213" t="s">
        <v>126</v>
      </c>
      <c r="Q170" s="45"/>
      <c r="R170" s="172" t="s">
        <v>1470</v>
      </c>
      <c r="S170" s="172" t="s">
        <v>822</v>
      </c>
      <c r="T170" s="28">
        <v>42492</v>
      </c>
      <c r="U170" s="164" t="s">
        <v>1471</v>
      </c>
      <c r="V170" s="411" t="s">
        <v>212</v>
      </c>
      <c r="W170" s="1050">
        <v>25987500</v>
      </c>
      <c r="X170" s="138"/>
      <c r="Y170" s="134">
        <f t="shared" si="3"/>
        <v>25987500</v>
      </c>
      <c r="Z170" s="994" t="s">
        <v>1472</v>
      </c>
      <c r="AA170" s="411" t="s">
        <v>1473</v>
      </c>
      <c r="AB170" s="411" t="s">
        <v>215</v>
      </c>
      <c r="AC170" s="181" t="s">
        <v>1474</v>
      </c>
      <c r="AD170" s="411" t="s">
        <v>56</v>
      </c>
      <c r="AE170" s="411" t="s">
        <v>56</v>
      </c>
      <c r="AF170" s="411" t="s">
        <v>56</v>
      </c>
      <c r="AG170" s="168" t="s">
        <v>1475</v>
      </c>
      <c r="AH170" s="169">
        <v>42492</v>
      </c>
      <c r="AI170" s="169">
        <v>42720</v>
      </c>
      <c r="AJ170" s="411" t="s">
        <v>743</v>
      </c>
      <c r="AK170" s="134" t="s">
        <v>1469</v>
      </c>
      <c r="AL170" s="1152" t="s">
        <v>56</v>
      </c>
      <c r="AM170" s="1152" t="s">
        <v>56</v>
      </c>
      <c r="AN170" s="1152" t="s">
        <v>56</v>
      </c>
      <c r="AO170" s="1152" t="s">
        <v>56</v>
      </c>
      <c r="AP170" s="1152" t="s">
        <v>56</v>
      </c>
      <c r="AQ170" s="1152" t="s">
        <v>56</v>
      </c>
      <c r="AR170" s="1153">
        <v>3465000</v>
      </c>
      <c r="AS170" s="138"/>
      <c r="AT170" s="1153">
        <v>3465000</v>
      </c>
      <c r="AU170" s="138"/>
      <c r="AV170" s="138"/>
      <c r="AW170" s="138"/>
      <c r="AX170" s="138"/>
      <c r="AY170" s="138"/>
      <c r="AZ170" s="138"/>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c r="IK170" s="45"/>
      <c r="IL170" s="45"/>
      <c r="IM170" s="45"/>
      <c r="IN170" s="45"/>
      <c r="IO170" s="45"/>
      <c r="IP170" s="45"/>
      <c r="IQ170" s="45"/>
      <c r="IR170" s="45"/>
      <c r="IS170" s="45"/>
      <c r="IT170" s="45"/>
      <c r="IU170" s="45"/>
      <c r="IV170" s="45"/>
      <c r="IW170" s="45"/>
      <c r="IX170" s="45"/>
      <c r="IY170" s="45"/>
      <c r="IZ170" s="45"/>
      <c r="JA170" s="45"/>
      <c r="JB170" s="45"/>
      <c r="JC170" s="45"/>
      <c r="JD170" s="45"/>
      <c r="JE170" s="45"/>
      <c r="JF170" s="45"/>
      <c r="JG170" s="45"/>
      <c r="JH170" s="45"/>
      <c r="JI170" s="45"/>
      <c r="JJ170" s="45"/>
      <c r="JK170" s="45"/>
      <c r="JL170" s="45"/>
      <c r="JM170" s="45"/>
    </row>
    <row r="171" spans="1:274" s="259" customFormat="1" ht="120" customHeight="1" x14ac:dyDescent="0.25">
      <c r="A171" s="832">
        <v>147</v>
      </c>
      <c r="B171" s="838" t="s">
        <v>984</v>
      </c>
      <c r="C171" s="838">
        <v>80101706</v>
      </c>
      <c r="D171" s="1212" t="s">
        <v>937</v>
      </c>
      <c r="E171" s="838" t="s">
        <v>125</v>
      </c>
      <c r="F171" s="838">
        <v>1</v>
      </c>
      <c r="G171" s="842" t="s">
        <v>162</v>
      </c>
      <c r="H171" s="844" t="s">
        <v>1325</v>
      </c>
      <c r="I171" s="836" t="s">
        <v>96</v>
      </c>
      <c r="J171" s="838" t="s">
        <v>128</v>
      </c>
      <c r="K171" s="836" t="s">
        <v>108</v>
      </c>
      <c r="L171" s="1187">
        <v>25987500</v>
      </c>
      <c r="M171" s="1187">
        <v>25987500</v>
      </c>
      <c r="N171" s="838" t="s">
        <v>81</v>
      </c>
      <c r="O171" s="838" t="s">
        <v>56</v>
      </c>
      <c r="P171" s="795" t="s">
        <v>126</v>
      </c>
      <c r="Q171" s="45"/>
      <c r="R171" s="172" t="s">
        <v>1476</v>
      </c>
      <c r="S171" s="172" t="s">
        <v>738</v>
      </c>
      <c r="T171" s="28">
        <v>42493</v>
      </c>
      <c r="U171" s="164" t="s">
        <v>1471</v>
      </c>
      <c r="V171" s="411" t="s">
        <v>212</v>
      </c>
      <c r="W171" s="1050">
        <v>25987500</v>
      </c>
      <c r="X171" s="1102"/>
      <c r="Y171" s="30">
        <f t="shared" si="3"/>
        <v>25987500</v>
      </c>
      <c r="Z171" s="994" t="s">
        <v>1472</v>
      </c>
      <c r="AA171" s="411" t="s">
        <v>1477</v>
      </c>
      <c r="AB171" s="411" t="s">
        <v>215</v>
      </c>
      <c r="AC171" s="181" t="s">
        <v>1478</v>
      </c>
      <c r="AD171" s="411" t="s">
        <v>56</v>
      </c>
      <c r="AE171" s="411" t="s">
        <v>56</v>
      </c>
      <c r="AF171" s="411" t="s">
        <v>56</v>
      </c>
      <c r="AG171" s="168" t="s">
        <v>1475</v>
      </c>
      <c r="AH171" s="169">
        <v>42493</v>
      </c>
      <c r="AI171" s="169">
        <v>42721</v>
      </c>
      <c r="AJ171" s="411" t="s">
        <v>743</v>
      </c>
      <c r="AK171" s="134" t="s">
        <v>1469</v>
      </c>
      <c r="AL171" s="1152" t="s">
        <v>56</v>
      </c>
      <c r="AM171" s="1152" t="s">
        <v>56</v>
      </c>
      <c r="AN171" s="1152" t="s">
        <v>56</v>
      </c>
      <c r="AO171" s="1152" t="s">
        <v>56</v>
      </c>
      <c r="AP171" s="1152" t="s">
        <v>56</v>
      </c>
      <c r="AQ171" s="1152" t="s">
        <v>56</v>
      </c>
      <c r="AR171" s="1153">
        <v>3465000</v>
      </c>
      <c r="AS171" s="138"/>
      <c r="AT171" s="1153">
        <v>3465000</v>
      </c>
      <c r="AU171" s="1153">
        <v>3465000</v>
      </c>
      <c r="AV171" s="138"/>
      <c r="AW171" s="138"/>
      <c r="AX171" s="138"/>
      <c r="AY171" s="138"/>
      <c r="AZ171" s="138"/>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c r="EK171" s="45"/>
      <c r="EL171" s="45"/>
      <c r="EM171" s="45"/>
      <c r="EN171" s="45"/>
      <c r="EO171" s="45"/>
      <c r="EP171" s="45"/>
      <c r="EQ171" s="45"/>
      <c r="ER171" s="45"/>
      <c r="ES171" s="45"/>
      <c r="ET171" s="45"/>
      <c r="EU171" s="45"/>
      <c r="EV171" s="45"/>
      <c r="EW171" s="45"/>
      <c r="EX171" s="45"/>
      <c r="EY171" s="45"/>
      <c r="EZ171" s="45"/>
      <c r="FA171" s="45"/>
      <c r="FB171" s="45"/>
      <c r="FC171" s="45"/>
      <c r="FD171" s="45"/>
      <c r="FE171" s="45"/>
      <c r="FF171" s="45"/>
      <c r="FG171" s="45"/>
      <c r="FH171" s="45"/>
      <c r="FI171" s="45"/>
      <c r="FJ171" s="45"/>
      <c r="FK171" s="45"/>
      <c r="FL171" s="45"/>
      <c r="FM171" s="45"/>
      <c r="FN171" s="45"/>
      <c r="FO171" s="45"/>
      <c r="FP171" s="45"/>
      <c r="FQ171" s="45"/>
      <c r="FR171" s="45"/>
      <c r="FS171" s="45"/>
      <c r="FT171" s="45"/>
      <c r="FU171" s="45"/>
      <c r="FV171" s="45"/>
      <c r="FW171" s="45"/>
      <c r="FX171" s="45"/>
      <c r="FY171" s="45"/>
      <c r="FZ171" s="45"/>
      <c r="GA171" s="45"/>
      <c r="GB171" s="45"/>
      <c r="GC171" s="45"/>
      <c r="GD171" s="45"/>
      <c r="GE171" s="45"/>
      <c r="GF171" s="45"/>
      <c r="GG171" s="45"/>
      <c r="GH171" s="45"/>
      <c r="GI171" s="45"/>
      <c r="GJ171" s="45"/>
      <c r="GK171" s="45"/>
      <c r="GL171" s="45"/>
      <c r="GM171" s="45"/>
      <c r="GN171" s="45"/>
      <c r="GO171" s="45"/>
      <c r="GP171" s="45"/>
      <c r="GQ171" s="45"/>
      <c r="GR171" s="45"/>
      <c r="GS171" s="45"/>
      <c r="GT171" s="45"/>
      <c r="GU171" s="45"/>
      <c r="GV171" s="45"/>
      <c r="GW171" s="45"/>
      <c r="GX171" s="45"/>
      <c r="GY171" s="45"/>
      <c r="GZ171" s="45"/>
      <c r="HA171" s="45"/>
      <c r="HB171" s="45"/>
      <c r="HC171" s="45"/>
      <c r="HD171" s="45"/>
      <c r="HE171" s="45"/>
      <c r="HF171" s="45"/>
      <c r="HG171" s="45"/>
      <c r="HH171" s="45"/>
      <c r="HI171" s="45"/>
      <c r="HJ171" s="45"/>
      <c r="HK171" s="45"/>
      <c r="HL171" s="45"/>
      <c r="HM171" s="45"/>
      <c r="HN171" s="45"/>
      <c r="HO171" s="45"/>
      <c r="HP171" s="45"/>
      <c r="HQ171" s="45"/>
      <c r="HR171" s="45"/>
      <c r="HS171" s="45"/>
      <c r="HT171" s="45"/>
      <c r="HU171" s="45"/>
      <c r="HV171" s="45"/>
      <c r="HW171" s="45"/>
      <c r="HX171" s="45"/>
      <c r="HY171" s="45"/>
      <c r="HZ171" s="45"/>
      <c r="IA171" s="45"/>
      <c r="IB171" s="45"/>
      <c r="IC171" s="45"/>
      <c r="ID171" s="45"/>
      <c r="IE171" s="45"/>
      <c r="IF171" s="45"/>
      <c r="IG171" s="45"/>
      <c r="IH171" s="45"/>
      <c r="II171" s="45"/>
      <c r="IJ171" s="45"/>
      <c r="IK171" s="45"/>
      <c r="IL171" s="45"/>
      <c r="IM171" s="45"/>
      <c r="IN171" s="45"/>
      <c r="IO171" s="45"/>
      <c r="IP171" s="45"/>
      <c r="IQ171" s="45"/>
      <c r="IR171" s="45"/>
      <c r="IS171" s="45"/>
      <c r="IT171" s="45"/>
      <c r="IU171" s="45"/>
      <c r="IV171" s="45"/>
      <c r="IW171" s="45"/>
      <c r="IX171" s="45"/>
      <c r="IY171" s="45"/>
      <c r="IZ171" s="45"/>
      <c r="JA171" s="45"/>
      <c r="JB171" s="45"/>
      <c r="JC171" s="45"/>
      <c r="JD171" s="45"/>
      <c r="JE171" s="45"/>
      <c r="JF171" s="45"/>
      <c r="JG171" s="45"/>
      <c r="JH171" s="45"/>
      <c r="JI171" s="45"/>
      <c r="JJ171" s="45"/>
      <c r="JK171" s="45"/>
      <c r="JL171" s="45"/>
      <c r="JM171" s="45"/>
    </row>
    <row r="172" spans="1:274" s="259" customFormat="1" ht="118.5" customHeight="1" x14ac:dyDescent="0.25">
      <c r="A172" s="832">
        <v>148</v>
      </c>
      <c r="B172" s="838" t="s">
        <v>984</v>
      </c>
      <c r="C172" s="838">
        <v>80101706</v>
      </c>
      <c r="D172" s="1212" t="s">
        <v>938</v>
      </c>
      <c r="E172" s="838" t="s">
        <v>125</v>
      </c>
      <c r="F172" s="838">
        <v>1</v>
      </c>
      <c r="G172" s="842" t="s">
        <v>162</v>
      </c>
      <c r="H172" s="844">
        <v>6</v>
      </c>
      <c r="I172" s="836" t="s">
        <v>96</v>
      </c>
      <c r="J172" s="838" t="s">
        <v>847</v>
      </c>
      <c r="K172" s="836" t="s">
        <v>108</v>
      </c>
      <c r="L172" s="1187">
        <v>48000000</v>
      </c>
      <c r="M172" s="1187">
        <v>48000000</v>
      </c>
      <c r="N172" s="838" t="s">
        <v>81</v>
      </c>
      <c r="O172" s="838" t="s">
        <v>56</v>
      </c>
      <c r="P172" s="795" t="s">
        <v>126</v>
      </c>
      <c r="Q172" s="45"/>
      <c r="R172" s="172" t="s">
        <v>1479</v>
      </c>
      <c r="S172" s="172" t="s">
        <v>1480</v>
      </c>
      <c r="T172" s="28">
        <v>42496</v>
      </c>
      <c r="U172" s="1012" t="s">
        <v>1481</v>
      </c>
      <c r="V172" s="181" t="s">
        <v>212</v>
      </c>
      <c r="W172" s="1005">
        <v>48000000</v>
      </c>
      <c r="X172" s="138"/>
      <c r="Y172" s="134">
        <f t="shared" si="3"/>
        <v>48000000</v>
      </c>
      <c r="Z172" s="994" t="s">
        <v>1482</v>
      </c>
      <c r="AA172" s="411" t="s">
        <v>1483</v>
      </c>
      <c r="AB172" s="411" t="s">
        <v>225</v>
      </c>
      <c r="AC172" s="181" t="s">
        <v>1484</v>
      </c>
      <c r="AD172" s="411" t="s">
        <v>56</v>
      </c>
      <c r="AE172" s="411" t="s">
        <v>56</v>
      </c>
      <c r="AF172" s="411" t="s">
        <v>56</v>
      </c>
      <c r="AG172" s="168" t="s">
        <v>1485</v>
      </c>
      <c r="AH172" s="169">
        <v>42496</v>
      </c>
      <c r="AI172" s="169">
        <v>42681</v>
      </c>
      <c r="AJ172" s="411" t="s">
        <v>1486</v>
      </c>
      <c r="AK172" s="134" t="s">
        <v>1469</v>
      </c>
      <c r="AL172" s="1215" t="s">
        <v>56</v>
      </c>
      <c r="AM172" s="1215" t="s">
        <v>56</v>
      </c>
      <c r="AN172" s="1215" t="s">
        <v>56</v>
      </c>
      <c r="AO172" s="1215" t="s">
        <v>56</v>
      </c>
      <c r="AP172" s="1215" t="s">
        <v>56</v>
      </c>
      <c r="AQ172" s="1215" t="s">
        <v>56</v>
      </c>
      <c r="AR172" s="1216">
        <v>8000000</v>
      </c>
      <c r="AS172" s="138"/>
      <c r="AT172" s="1216">
        <v>8000000</v>
      </c>
      <c r="AU172" s="138"/>
      <c r="AV172" s="138"/>
      <c r="AW172" s="138"/>
      <c r="AX172" s="138"/>
      <c r="AY172" s="138"/>
      <c r="AZ172" s="138"/>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c r="EK172" s="45"/>
      <c r="EL172" s="45"/>
      <c r="EM172" s="45"/>
      <c r="EN172" s="45"/>
      <c r="EO172" s="45"/>
      <c r="EP172" s="45"/>
      <c r="EQ172" s="45"/>
      <c r="ER172" s="45"/>
      <c r="ES172" s="45"/>
      <c r="ET172" s="45"/>
      <c r="EU172" s="45"/>
      <c r="EV172" s="45"/>
      <c r="EW172" s="45"/>
      <c r="EX172" s="45"/>
      <c r="EY172" s="45"/>
      <c r="EZ172" s="45"/>
      <c r="FA172" s="45"/>
      <c r="FB172" s="45"/>
      <c r="FC172" s="45"/>
      <c r="FD172" s="45"/>
      <c r="FE172" s="45"/>
      <c r="FF172" s="45"/>
      <c r="FG172" s="45"/>
      <c r="FH172" s="45"/>
      <c r="FI172" s="45"/>
      <c r="FJ172" s="45"/>
      <c r="FK172" s="45"/>
      <c r="FL172" s="45"/>
      <c r="FM172" s="45"/>
      <c r="FN172" s="45"/>
      <c r="FO172" s="45"/>
      <c r="FP172" s="45"/>
      <c r="FQ172" s="45"/>
      <c r="FR172" s="45"/>
      <c r="FS172" s="45"/>
      <c r="FT172" s="45"/>
      <c r="FU172" s="45"/>
      <c r="FV172" s="45"/>
      <c r="FW172" s="45"/>
      <c r="FX172" s="45"/>
      <c r="FY172" s="45"/>
      <c r="FZ172" s="45"/>
      <c r="GA172" s="45"/>
      <c r="GB172" s="45"/>
      <c r="GC172" s="45"/>
      <c r="GD172" s="45"/>
      <c r="GE172" s="45"/>
      <c r="GF172" s="45"/>
      <c r="GG172" s="45"/>
      <c r="GH172" s="45"/>
      <c r="GI172" s="45"/>
      <c r="GJ172" s="45"/>
      <c r="GK172" s="45"/>
      <c r="GL172" s="45"/>
      <c r="GM172" s="45"/>
      <c r="GN172" s="45"/>
      <c r="GO172" s="45"/>
      <c r="GP172" s="45"/>
      <c r="GQ172" s="45"/>
      <c r="GR172" s="45"/>
      <c r="GS172" s="45"/>
      <c r="GT172" s="45"/>
      <c r="GU172" s="45"/>
      <c r="GV172" s="45"/>
      <c r="GW172" s="45"/>
      <c r="GX172" s="45"/>
      <c r="GY172" s="45"/>
      <c r="GZ172" s="45"/>
      <c r="HA172" s="45"/>
      <c r="HB172" s="45"/>
      <c r="HC172" s="45"/>
      <c r="HD172" s="45"/>
      <c r="HE172" s="45"/>
      <c r="HF172" s="45"/>
      <c r="HG172" s="45"/>
      <c r="HH172" s="45"/>
      <c r="HI172" s="45"/>
      <c r="HJ172" s="45"/>
      <c r="HK172" s="45"/>
      <c r="HL172" s="45"/>
      <c r="HM172" s="45"/>
      <c r="HN172" s="45"/>
      <c r="HO172" s="45"/>
      <c r="HP172" s="45"/>
      <c r="HQ172" s="45"/>
      <c r="HR172" s="45"/>
      <c r="HS172" s="45"/>
      <c r="HT172" s="45"/>
      <c r="HU172" s="45"/>
      <c r="HV172" s="45"/>
      <c r="HW172" s="45"/>
      <c r="HX172" s="45"/>
      <c r="HY172" s="45"/>
      <c r="HZ172" s="45"/>
      <c r="IA172" s="45"/>
      <c r="IB172" s="45"/>
      <c r="IC172" s="45"/>
      <c r="ID172" s="45"/>
      <c r="IE172" s="45"/>
      <c r="IF172" s="45"/>
      <c r="IG172" s="45"/>
      <c r="IH172" s="45"/>
      <c r="II172" s="45"/>
      <c r="IJ172" s="45"/>
      <c r="IK172" s="45"/>
      <c r="IL172" s="45"/>
      <c r="IM172" s="45"/>
      <c r="IN172" s="45"/>
      <c r="IO172" s="45"/>
      <c r="IP172" s="45"/>
      <c r="IQ172" s="45"/>
      <c r="IR172" s="45"/>
      <c r="IS172" s="45"/>
      <c r="IT172" s="45"/>
      <c r="IU172" s="45"/>
      <c r="IV172" s="45"/>
      <c r="IW172" s="45"/>
      <c r="IX172" s="45"/>
      <c r="IY172" s="45"/>
      <c r="IZ172" s="45"/>
      <c r="JA172" s="45"/>
      <c r="JB172" s="45"/>
      <c r="JC172" s="45"/>
      <c r="JD172" s="45"/>
      <c r="JE172" s="45"/>
      <c r="JF172" s="45"/>
      <c r="JG172" s="45"/>
      <c r="JH172" s="45"/>
      <c r="JI172" s="45"/>
      <c r="JJ172" s="45"/>
      <c r="JK172" s="45"/>
      <c r="JL172" s="45"/>
      <c r="JM172" s="45"/>
    </row>
    <row r="173" spans="1:274" s="259" customFormat="1" ht="48" customHeight="1" x14ac:dyDescent="0.25">
      <c r="A173" s="832">
        <v>149</v>
      </c>
      <c r="B173" s="838" t="s">
        <v>984</v>
      </c>
      <c r="C173" s="838">
        <v>80101706</v>
      </c>
      <c r="D173" s="1212" t="s">
        <v>2968</v>
      </c>
      <c r="E173" s="838" t="s">
        <v>125</v>
      </c>
      <c r="F173" s="838">
        <v>1</v>
      </c>
      <c r="G173" s="834" t="s">
        <v>165</v>
      </c>
      <c r="H173" s="844" t="s">
        <v>1325</v>
      </c>
      <c r="I173" s="836" t="s">
        <v>96</v>
      </c>
      <c r="J173" s="838" t="s">
        <v>847</v>
      </c>
      <c r="K173" s="836" t="s">
        <v>108</v>
      </c>
      <c r="L173" s="1187">
        <v>45000000</v>
      </c>
      <c r="M173" s="1187">
        <v>45000000</v>
      </c>
      <c r="N173" s="838" t="s">
        <v>81</v>
      </c>
      <c r="O173" s="838" t="s">
        <v>56</v>
      </c>
      <c r="P173" s="24" t="s">
        <v>126</v>
      </c>
      <c r="Q173" s="45"/>
      <c r="R173" s="1217" t="s">
        <v>2976</v>
      </c>
      <c r="S173" s="1218"/>
      <c r="T173" s="1219"/>
      <c r="U173" s="1220"/>
      <c r="V173" s="1221"/>
      <c r="W173" s="1222"/>
      <c r="X173" s="1223"/>
      <c r="Y173" s="134"/>
      <c r="Z173" s="1224"/>
      <c r="AA173" s="1225"/>
      <c r="AB173" s="1225"/>
      <c r="AC173" s="1221"/>
      <c r="AD173" s="1225"/>
      <c r="AE173" s="1225"/>
      <c r="AF173" s="1225"/>
      <c r="AG173" s="1226"/>
      <c r="AH173" s="1227"/>
      <c r="AI173" s="1227"/>
      <c r="AJ173" s="1225"/>
      <c r="AK173" s="1228"/>
      <c r="AL173" s="1229"/>
      <c r="AM173" s="1230"/>
      <c r="AN173" s="1230"/>
      <c r="AO173" s="1230"/>
      <c r="AP173" s="1230"/>
      <c r="AQ173" s="1230"/>
      <c r="AR173" s="1231"/>
      <c r="AS173" s="1223"/>
      <c r="AT173" s="1231"/>
      <c r="AU173" s="1223"/>
      <c r="AV173" s="1223"/>
      <c r="AW173" s="1223"/>
      <c r="AX173" s="1223"/>
      <c r="AY173" s="1223"/>
      <c r="AZ173" s="1223"/>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c r="EK173" s="45"/>
      <c r="EL173" s="45"/>
      <c r="EM173" s="45"/>
      <c r="EN173" s="45"/>
      <c r="EO173" s="45"/>
      <c r="EP173" s="45"/>
      <c r="EQ173" s="45"/>
      <c r="ER173" s="45"/>
      <c r="ES173" s="45"/>
      <c r="ET173" s="45"/>
      <c r="EU173" s="45"/>
      <c r="EV173" s="45"/>
      <c r="EW173" s="45"/>
      <c r="EX173" s="45"/>
      <c r="EY173" s="45"/>
      <c r="EZ173" s="45"/>
      <c r="FA173" s="45"/>
      <c r="FB173" s="45"/>
      <c r="FC173" s="45"/>
      <c r="FD173" s="45"/>
      <c r="FE173" s="45"/>
      <c r="FF173" s="45"/>
      <c r="FG173" s="45"/>
      <c r="FH173" s="45"/>
      <c r="FI173" s="45"/>
      <c r="FJ173" s="45"/>
      <c r="FK173" s="45"/>
      <c r="FL173" s="45"/>
      <c r="FM173" s="45"/>
      <c r="FN173" s="45"/>
      <c r="FO173" s="45"/>
      <c r="FP173" s="45"/>
      <c r="FQ173" s="45"/>
      <c r="FR173" s="45"/>
      <c r="FS173" s="45"/>
      <c r="FT173" s="45"/>
      <c r="FU173" s="45"/>
      <c r="FV173" s="45"/>
      <c r="FW173" s="45"/>
      <c r="FX173" s="45"/>
      <c r="FY173" s="45"/>
      <c r="FZ173" s="45"/>
      <c r="GA173" s="45"/>
      <c r="GB173" s="45"/>
      <c r="GC173" s="45"/>
      <c r="GD173" s="45"/>
      <c r="GE173" s="45"/>
      <c r="GF173" s="45"/>
      <c r="GG173" s="45"/>
      <c r="GH173" s="45"/>
      <c r="GI173" s="45"/>
      <c r="GJ173" s="45"/>
      <c r="GK173" s="45"/>
      <c r="GL173" s="45"/>
      <c r="GM173" s="45"/>
      <c r="GN173" s="45"/>
      <c r="GO173" s="45"/>
      <c r="GP173" s="45"/>
      <c r="GQ173" s="45"/>
      <c r="GR173" s="45"/>
      <c r="GS173" s="45"/>
      <c r="GT173" s="45"/>
      <c r="GU173" s="45"/>
      <c r="GV173" s="45"/>
      <c r="GW173" s="45"/>
      <c r="GX173" s="45"/>
      <c r="GY173" s="45"/>
      <c r="GZ173" s="45"/>
      <c r="HA173" s="45"/>
      <c r="HB173" s="45"/>
      <c r="HC173" s="45"/>
      <c r="HD173" s="45"/>
      <c r="HE173" s="45"/>
      <c r="HF173" s="45"/>
      <c r="HG173" s="45"/>
      <c r="HH173" s="45"/>
      <c r="HI173" s="45"/>
      <c r="HJ173" s="45"/>
      <c r="HK173" s="45"/>
      <c r="HL173" s="45"/>
      <c r="HM173" s="45"/>
      <c r="HN173" s="45"/>
      <c r="HO173" s="45"/>
      <c r="HP173" s="45"/>
      <c r="HQ173" s="45"/>
      <c r="HR173" s="45"/>
      <c r="HS173" s="45"/>
      <c r="HT173" s="45"/>
      <c r="HU173" s="45"/>
      <c r="HV173" s="45"/>
      <c r="HW173" s="45"/>
      <c r="HX173" s="45"/>
      <c r="HY173" s="45"/>
      <c r="HZ173" s="45"/>
      <c r="IA173" s="45"/>
      <c r="IB173" s="45"/>
      <c r="IC173" s="45"/>
      <c r="ID173" s="45"/>
      <c r="IE173" s="45"/>
      <c r="IF173" s="45"/>
      <c r="IG173" s="45"/>
      <c r="IH173" s="45"/>
      <c r="II173" s="45"/>
      <c r="IJ173" s="45"/>
      <c r="IK173" s="45"/>
      <c r="IL173" s="45"/>
      <c r="IM173" s="45"/>
      <c r="IN173" s="45"/>
      <c r="IO173" s="45"/>
      <c r="IP173" s="45"/>
      <c r="IQ173" s="45"/>
      <c r="IR173" s="45"/>
      <c r="IS173" s="45"/>
      <c r="IT173" s="45"/>
      <c r="IU173" s="45"/>
      <c r="IV173" s="45"/>
      <c r="IW173" s="45"/>
      <c r="IX173" s="45"/>
      <c r="IY173" s="45"/>
      <c r="IZ173" s="45"/>
      <c r="JA173" s="45"/>
      <c r="JB173" s="45"/>
      <c r="JC173" s="45"/>
      <c r="JD173" s="45"/>
      <c r="JE173" s="45"/>
      <c r="JF173" s="45"/>
      <c r="JG173" s="45"/>
      <c r="JH173" s="45"/>
      <c r="JI173" s="45"/>
      <c r="JJ173" s="45"/>
      <c r="JK173" s="45"/>
      <c r="JL173" s="45"/>
      <c r="JM173" s="45"/>
    </row>
    <row r="174" spans="1:274" s="259" customFormat="1" ht="53.25" customHeight="1" x14ac:dyDescent="0.4">
      <c r="A174" s="832">
        <v>151</v>
      </c>
      <c r="B174" s="149" t="s">
        <v>985</v>
      </c>
      <c r="C174" s="838">
        <v>80101706</v>
      </c>
      <c r="D174" s="1212" t="s">
        <v>2850</v>
      </c>
      <c r="E174" s="838" t="s">
        <v>125</v>
      </c>
      <c r="F174" s="838">
        <v>1</v>
      </c>
      <c r="G174" s="834" t="s">
        <v>969</v>
      </c>
      <c r="H174" s="844">
        <v>4</v>
      </c>
      <c r="I174" s="836" t="s">
        <v>96</v>
      </c>
      <c r="J174" s="838" t="s">
        <v>844</v>
      </c>
      <c r="K174" s="836" t="s">
        <v>108</v>
      </c>
      <c r="L174" s="1232">
        <v>48000000</v>
      </c>
      <c r="M174" s="1188">
        <v>48000000</v>
      </c>
      <c r="N174" s="838" t="s">
        <v>81</v>
      </c>
      <c r="O174" s="838" t="s">
        <v>56</v>
      </c>
      <c r="P174" s="24" t="s">
        <v>126</v>
      </c>
      <c r="Q174" s="45"/>
      <c r="R174" s="1233" t="s">
        <v>2975</v>
      </c>
      <c r="S174" s="1234"/>
      <c r="T174" s="138"/>
      <c r="U174" s="138"/>
      <c r="V174" s="138"/>
      <c r="W174" s="138"/>
      <c r="X174" s="138"/>
      <c r="Y174" s="134"/>
      <c r="Z174" s="138"/>
      <c r="AA174" s="138"/>
      <c r="AB174" s="138"/>
      <c r="AC174" s="138"/>
      <c r="AD174" s="138"/>
      <c r="AE174" s="138"/>
      <c r="AF174" s="138"/>
      <c r="AG174" s="138"/>
      <c r="AH174" s="138"/>
      <c r="AI174" s="138"/>
      <c r="AJ174" s="138"/>
      <c r="AK174" s="635"/>
      <c r="AL174" s="592"/>
      <c r="AM174" s="138"/>
      <c r="AN174" s="138"/>
      <c r="AO174" s="138"/>
      <c r="AP174" s="138"/>
      <c r="AQ174" s="138"/>
      <c r="AR174" s="138"/>
      <c r="AS174" s="138"/>
      <c r="AT174" s="138"/>
      <c r="AU174" s="138"/>
      <c r="AV174" s="138"/>
      <c r="AW174" s="138"/>
      <c r="AX174" s="138"/>
      <c r="AY174" s="138"/>
      <c r="AZ174" s="138"/>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c r="EK174" s="45"/>
      <c r="EL174" s="45"/>
      <c r="EM174" s="45"/>
      <c r="EN174" s="45"/>
      <c r="EO174" s="45"/>
      <c r="EP174" s="45"/>
      <c r="EQ174" s="45"/>
      <c r="ER174" s="45"/>
      <c r="ES174" s="45"/>
      <c r="ET174" s="45"/>
      <c r="EU174" s="45"/>
      <c r="EV174" s="45"/>
      <c r="EW174" s="45"/>
      <c r="EX174" s="45"/>
      <c r="EY174" s="45"/>
      <c r="EZ174" s="45"/>
      <c r="FA174" s="45"/>
      <c r="FB174" s="45"/>
      <c r="FC174" s="45"/>
      <c r="FD174" s="45"/>
      <c r="FE174" s="45"/>
      <c r="FF174" s="45"/>
      <c r="FG174" s="45"/>
      <c r="FH174" s="45"/>
      <c r="FI174" s="45"/>
      <c r="FJ174" s="45"/>
      <c r="FK174" s="45"/>
      <c r="FL174" s="45"/>
      <c r="FM174" s="45"/>
      <c r="FN174" s="45"/>
      <c r="FO174" s="45"/>
      <c r="FP174" s="45"/>
      <c r="FQ174" s="45"/>
      <c r="FR174" s="45"/>
      <c r="FS174" s="45"/>
      <c r="FT174" s="45"/>
      <c r="FU174" s="45"/>
      <c r="FV174" s="45"/>
      <c r="FW174" s="45"/>
      <c r="FX174" s="45"/>
      <c r="FY174" s="45"/>
      <c r="FZ174" s="45"/>
      <c r="GA174" s="45"/>
      <c r="GB174" s="45"/>
      <c r="GC174" s="45"/>
      <c r="GD174" s="45"/>
      <c r="GE174" s="45"/>
      <c r="GF174" s="45"/>
      <c r="GG174" s="45"/>
      <c r="GH174" s="45"/>
      <c r="GI174" s="45"/>
      <c r="GJ174" s="45"/>
      <c r="GK174" s="45"/>
      <c r="GL174" s="45"/>
      <c r="GM174" s="45"/>
      <c r="GN174" s="45"/>
      <c r="GO174" s="45"/>
      <c r="GP174" s="45"/>
      <c r="GQ174" s="45"/>
      <c r="GR174" s="45"/>
      <c r="GS174" s="45"/>
      <c r="GT174" s="45"/>
      <c r="GU174" s="45"/>
      <c r="GV174" s="45"/>
      <c r="GW174" s="45"/>
      <c r="GX174" s="45"/>
      <c r="GY174" s="45"/>
      <c r="GZ174" s="45"/>
      <c r="HA174" s="45"/>
      <c r="HB174" s="45"/>
      <c r="HC174" s="45"/>
      <c r="HD174" s="45"/>
      <c r="HE174" s="45"/>
      <c r="HF174" s="45"/>
      <c r="HG174" s="45"/>
      <c r="HH174" s="45"/>
      <c r="HI174" s="45"/>
      <c r="HJ174" s="45"/>
      <c r="HK174" s="45"/>
      <c r="HL174" s="45"/>
      <c r="HM174" s="45"/>
      <c r="HN174" s="45"/>
      <c r="HO174" s="45"/>
      <c r="HP174" s="45"/>
      <c r="HQ174" s="45"/>
      <c r="HR174" s="45"/>
      <c r="HS174" s="45"/>
      <c r="HT174" s="45"/>
      <c r="HU174" s="45"/>
      <c r="HV174" s="45"/>
      <c r="HW174" s="45"/>
      <c r="HX174" s="45"/>
      <c r="HY174" s="45"/>
      <c r="HZ174" s="45"/>
      <c r="IA174" s="45"/>
      <c r="IB174" s="45"/>
      <c r="IC174" s="45"/>
      <c r="ID174" s="45"/>
      <c r="IE174" s="45"/>
      <c r="IF174" s="45"/>
      <c r="IG174" s="45"/>
      <c r="IH174" s="45"/>
      <c r="II174" s="45"/>
      <c r="IJ174" s="45"/>
      <c r="IK174" s="45"/>
      <c r="IL174" s="45"/>
      <c r="IM174" s="45"/>
      <c r="IN174" s="45"/>
      <c r="IO174" s="45"/>
      <c r="IP174" s="45"/>
      <c r="IQ174" s="45"/>
      <c r="IR174" s="45"/>
      <c r="IS174" s="45"/>
      <c r="IT174" s="45"/>
      <c r="IU174" s="45"/>
      <c r="IV174" s="45"/>
      <c r="IW174" s="45"/>
      <c r="IX174" s="45"/>
      <c r="IY174" s="45"/>
      <c r="IZ174" s="45"/>
      <c r="JA174" s="45"/>
      <c r="JB174" s="45"/>
      <c r="JC174" s="45"/>
      <c r="JD174" s="45"/>
      <c r="JE174" s="45"/>
      <c r="JF174" s="45"/>
      <c r="JG174" s="45"/>
      <c r="JH174" s="45"/>
      <c r="JI174" s="45"/>
      <c r="JJ174" s="45"/>
      <c r="JK174" s="45"/>
      <c r="JL174" s="45"/>
      <c r="JM174" s="45"/>
    </row>
    <row r="175" spans="1:274" s="259" customFormat="1" ht="92.25" customHeight="1" x14ac:dyDescent="0.25">
      <c r="A175" s="832">
        <v>152</v>
      </c>
      <c r="B175" s="149" t="s">
        <v>985</v>
      </c>
      <c r="C175" s="838">
        <v>80101706</v>
      </c>
      <c r="D175" s="1212" t="s">
        <v>940</v>
      </c>
      <c r="E175" s="838" t="s">
        <v>125</v>
      </c>
      <c r="F175" s="838">
        <v>1</v>
      </c>
      <c r="G175" s="842" t="s">
        <v>161</v>
      </c>
      <c r="H175" s="844">
        <v>9</v>
      </c>
      <c r="I175" s="836" t="s">
        <v>96</v>
      </c>
      <c r="J175" s="838" t="s">
        <v>128</v>
      </c>
      <c r="K175" s="836" t="s">
        <v>108</v>
      </c>
      <c r="L175" s="1187">
        <v>98658000</v>
      </c>
      <c r="M175" s="1235">
        <v>98658000</v>
      </c>
      <c r="N175" s="838" t="s">
        <v>81</v>
      </c>
      <c r="O175" s="838" t="s">
        <v>56</v>
      </c>
      <c r="P175" s="1213" t="s">
        <v>126</v>
      </c>
      <c r="Q175" s="45"/>
      <c r="R175" s="172" t="s">
        <v>1123</v>
      </c>
      <c r="S175" s="172" t="s">
        <v>335</v>
      </c>
      <c r="T175" s="28">
        <v>42461</v>
      </c>
      <c r="U175" s="1012" t="s">
        <v>1124</v>
      </c>
      <c r="V175" s="181" t="s">
        <v>212</v>
      </c>
      <c r="W175" s="1050">
        <v>98658000</v>
      </c>
      <c r="X175" s="138"/>
      <c r="Y175" s="134">
        <f t="shared" si="3"/>
        <v>98658000</v>
      </c>
      <c r="Z175" s="411" t="s">
        <v>1125</v>
      </c>
      <c r="AA175" s="181" t="s">
        <v>1126</v>
      </c>
      <c r="AB175" s="181" t="s">
        <v>215</v>
      </c>
      <c r="AC175" s="181" t="s">
        <v>1127</v>
      </c>
      <c r="AD175" s="181" t="s">
        <v>56</v>
      </c>
      <c r="AE175" s="181" t="s">
        <v>56</v>
      </c>
      <c r="AF175" s="181" t="s">
        <v>56</v>
      </c>
      <c r="AG175" s="1013" t="s">
        <v>1128</v>
      </c>
      <c r="AH175" s="1014">
        <v>42461</v>
      </c>
      <c r="AI175" s="1014">
        <v>42735</v>
      </c>
      <c r="AJ175" s="181" t="s">
        <v>1129</v>
      </c>
      <c r="AK175" s="1189" t="s">
        <v>795</v>
      </c>
      <c r="AL175" s="1152" t="s">
        <v>56</v>
      </c>
      <c r="AM175" s="1152" t="s">
        <v>56</v>
      </c>
      <c r="AN175" s="1152" t="s">
        <v>56</v>
      </c>
      <c r="AO175" s="1152" t="s">
        <v>56</v>
      </c>
      <c r="AP175" s="1152" t="s">
        <v>56</v>
      </c>
      <c r="AQ175" s="1153">
        <v>10962000</v>
      </c>
      <c r="AR175" s="1153">
        <v>10962000</v>
      </c>
      <c r="AS175" s="138"/>
      <c r="AT175" s="1153">
        <v>40</v>
      </c>
      <c r="AU175" s="138"/>
      <c r="AV175" s="138"/>
      <c r="AW175" s="138"/>
      <c r="AX175" s="138"/>
      <c r="AY175" s="138"/>
      <c r="AZ175" s="138"/>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c r="EN175" s="45"/>
      <c r="EO175" s="45"/>
      <c r="EP175" s="45"/>
      <c r="EQ175" s="45"/>
      <c r="ER175" s="45"/>
      <c r="ES175" s="45"/>
      <c r="ET175" s="45"/>
      <c r="EU175" s="45"/>
      <c r="EV175" s="45"/>
      <c r="EW175" s="45"/>
      <c r="EX175" s="45"/>
      <c r="EY175" s="45"/>
      <c r="EZ175" s="45"/>
      <c r="FA175" s="45"/>
      <c r="FB175" s="45"/>
      <c r="FC175" s="45"/>
      <c r="FD175" s="45"/>
      <c r="FE175" s="45"/>
      <c r="FF175" s="45"/>
      <c r="FG175" s="45"/>
      <c r="FH175" s="45"/>
      <c r="FI175" s="45"/>
      <c r="FJ175" s="45"/>
      <c r="FK175" s="45"/>
      <c r="FL175" s="45"/>
      <c r="FM175" s="45"/>
      <c r="FN175" s="45"/>
      <c r="FO175" s="45"/>
      <c r="FP175" s="45"/>
      <c r="FQ175" s="45"/>
      <c r="FR175" s="45"/>
      <c r="FS175" s="45"/>
      <c r="FT175" s="45"/>
      <c r="FU175" s="45"/>
      <c r="FV175" s="45"/>
      <c r="FW175" s="45"/>
      <c r="FX175" s="45"/>
      <c r="FY175" s="45"/>
      <c r="FZ175" s="45"/>
      <c r="GA175" s="45"/>
      <c r="GB175" s="45"/>
      <c r="GC175" s="45"/>
      <c r="GD175" s="45"/>
      <c r="GE175" s="45"/>
      <c r="GF175" s="45"/>
      <c r="GG175" s="45"/>
      <c r="GH175" s="45"/>
      <c r="GI175" s="45"/>
      <c r="GJ175" s="45"/>
      <c r="GK175" s="45"/>
      <c r="GL175" s="45"/>
      <c r="GM175" s="45"/>
      <c r="GN175" s="45"/>
      <c r="GO175" s="45"/>
      <c r="GP175" s="45"/>
      <c r="GQ175" s="45"/>
      <c r="GR175" s="45"/>
      <c r="GS175" s="45"/>
      <c r="GT175" s="45"/>
      <c r="GU175" s="45"/>
      <c r="GV175" s="45"/>
      <c r="GW175" s="45"/>
      <c r="GX175" s="45"/>
      <c r="GY175" s="45"/>
      <c r="GZ175" s="45"/>
      <c r="HA175" s="45"/>
      <c r="HB175" s="45"/>
      <c r="HC175" s="45"/>
      <c r="HD175" s="45"/>
      <c r="HE175" s="45"/>
      <c r="HF175" s="45"/>
      <c r="HG175" s="45"/>
      <c r="HH175" s="45"/>
      <c r="HI175" s="45"/>
      <c r="HJ175" s="45"/>
      <c r="HK175" s="45"/>
      <c r="HL175" s="45"/>
      <c r="HM175" s="45"/>
      <c r="HN175" s="45"/>
      <c r="HO175" s="45"/>
      <c r="HP175" s="45"/>
      <c r="HQ175" s="45"/>
      <c r="HR175" s="45"/>
      <c r="HS175" s="45"/>
      <c r="HT175" s="45"/>
      <c r="HU175" s="45"/>
      <c r="HV175" s="45"/>
      <c r="HW175" s="45"/>
      <c r="HX175" s="45"/>
      <c r="HY175" s="45"/>
      <c r="HZ175" s="45"/>
      <c r="IA175" s="45"/>
      <c r="IB175" s="45"/>
      <c r="IC175" s="45"/>
      <c r="ID175" s="45"/>
      <c r="IE175" s="45"/>
      <c r="IF175" s="45"/>
      <c r="IG175" s="45"/>
      <c r="IH175" s="45"/>
      <c r="II175" s="45"/>
      <c r="IJ175" s="45"/>
      <c r="IK175" s="45"/>
      <c r="IL175" s="45"/>
      <c r="IM175" s="45"/>
      <c r="IN175" s="45"/>
      <c r="IO175" s="45"/>
      <c r="IP175" s="45"/>
      <c r="IQ175" s="45"/>
      <c r="IR175" s="45"/>
      <c r="IS175" s="45"/>
      <c r="IT175" s="45"/>
      <c r="IU175" s="45"/>
      <c r="IV175" s="45"/>
      <c r="IW175" s="45"/>
      <c r="IX175" s="45"/>
      <c r="IY175" s="45"/>
      <c r="IZ175" s="45"/>
      <c r="JA175" s="45"/>
      <c r="JB175" s="45"/>
      <c r="JC175" s="45"/>
      <c r="JD175" s="45"/>
      <c r="JE175" s="45"/>
      <c r="JF175" s="45"/>
      <c r="JG175" s="45"/>
      <c r="JH175" s="45"/>
      <c r="JI175" s="45"/>
      <c r="JJ175" s="45"/>
      <c r="JK175" s="45"/>
      <c r="JL175" s="45"/>
      <c r="JM175" s="45"/>
    </row>
    <row r="176" spans="1:274" s="259" customFormat="1" ht="108.75" customHeight="1" x14ac:dyDescent="0.25">
      <c r="A176" s="832">
        <v>153</v>
      </c>
      <c r="B176" s="149" t="s">
        <v>985</v>
      </c>
      <c r="C176" s="838">
        <v>80101706</v>
      </c>
      <c r="D176" s="1212" t="s">
        <v>941</v>
      </c>
      <c r="E176" s="838" t="s">
        <v>125</v>
      </c>
      <c r="F176" s="838">
        <v>1</v>
      </c>
      <c r="G176" s="842" t="s">
        <v>161</v>
      </c>
      <c r="H176" s="844">
        <v>9</v>
      </c>
      <c r="I176" s="836" t="s">
        <v>96</v>
      </c>
      <c r="J176" s="838" t="s">
        <v>128</v>
      </c>
      <c r="K176" s="836" t="s">
        <v>108</v>
      </c>
      <c r="L176" s="1187">
        <v>37800000</v>
      </c>
      <c r="M176" s="1235">
        <v>37800000</v>
      </c>
      <c r="N176" s="838" t="s">
        <v>81</v>
      </c>
      <c r="O176" s="838" t="s">
        <v>56</v>
      </c>
      <c r="P176" s="795" t="s">
        <v>126</v>
      </c>
      <c r="Q176" s="45"/>
      <c r="R176" s="172" t="s">
        <v>1130</v>
      </c>
      <c r="S176" s="172" t="s">
        <v>398</v>
      </c>
      <c r="T176" s="28">
        <v>42461</v>
      </c>
      <c r="U176" s="1012" t="s">
        <v>1131</v>
      </c>
      <c r="V176" s="181" t="s">
        <v>212</v>
      </c>
      <c r="W176" s="1050">
        <v>37800000</v>
      </c>
      <c r="X176" s="138"/>
      <c r="Y176" s="134">
        <f t="shared" si="3"/>
        <v>37800000</v>
      </c>
      <c r="Z176" s="411" t="s">
        <v>1132</v>
      </c>
      <c r="AA176" s="411" t="s">
        <v>1133</v>
      </c>
      <c r="AB176" s="411" t="s">
        <v>215</v>
      </c>
      <c r="AC176" s="181" t="s">
        <v>1134</v>
      </c>
      <c r="AD176" s="411" t="s">
        <v>56</v>
      </c>
      <c r="AE176" s="411" t="s">
        <v>56</v>
      </c>
      <c r="AF176" s="411" t="s">
        <v>56</v>
      </c>
      <c r="AG176" s="168" t="s">
        <v>1128</v>
      </c>
      <c r="AH176" s="169">
        <v>42461</v>
      </c>
      <c r="AI176" s="169">
        <v>42735</v>
      </c>
      <c r="AJ176" s="411" t="s">
        <v>1129</v>
      </c>
      <c r="AK176" s="1089" t="s">
        <v>795</v>
      </c>
      <c r="AL176" s="1152" t="s">
        <v>56</v>
      </c>
      <c r="AM176" s="1152" t="s">
        <v>56</v>
      </c>
      <c r="AN176" s="1152" t="s">
        <v>56</v>
      </c>
      <c r="AO176" s="1152" t="s">
        <v>56</v>
      </c>
      <c r="AP176" s="1152" t="s">
        <v>56</v>
      </c>
      <c r="AQ176" s="1153">
        <v>4200000</v>
      </c>
      <c r="AR176" s="1153">
        <v>4200000</v>
      </c>
      <c r="AS176" s="138"/>
      <c r="AT176" s="1153">
        <v>4200000</v>
      </c>
      <c r="AU176" s="1153">
        <v>4200000</v>
      </c>
      <c r="AV176" s="138"/>
      <c r="AW176" s="138"/>
      <c r="AX176" s="138"/>
      <c r="AY176" s="138"/>
      <c r="AZ176" s="138"/>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c r="IK176" s="45"/>
      <c r="IL176" s="45"/>
      <c r="IM176" s="45"/>
      <c r="IN176" s="45"/>
      <c r="IO176" s="45"/>
      <c r="IP176" s="45"/>
      <c r="IQ176" s="45"/>
      <c r="IR176" s="45"/>
      <c r="IS176" s="45"/>
      <c r="IT176" s="45"/>
      <c r="IU176" s="45"/>
      <c r="IV176" s="45"/>
      <c r="IW176" s="45"/>
      <c r="IX176" s="45"/>
      <c r="IY176" s="45"/>
      <c r="IZ176" s="45"/>
      <c r="JA176" s="45"/>
      <c r="JB176" s="45"/>
      <c r="JC176" s="45"/>
      <c r="JD176" s="45"/>
      <c r="JE176" s="45"/>
      <c r="JF176" s="45"/>
      <c r="JG176" s="45"/>
      <c r="JH176" s="45"/>
      <c r="JI176" s="45"/>
      <c r="JJ176" s="45"/>
      <c r="JK176" s="45"/>
      <c r="JL176" s="45"/>
      <c r="JM176" s="45"/>
    </row>
    <row r="177" spans="1:273" s="259" customFormat="1" ht="90" customHeight="1" x14ac:dyDescent="0.25">
      <c r="A177" s="832">
        <v>154</v>
      </c>
      <c r="B177" s="149" t="s">
        <v>985</v>
      </c>
      <c r="C177" s="838">
        <v>80101706</v>
      </c>
      <c r="D177" s="1212" t="s">
        <v>942</v>
      </c>
      <c r="E177" s="838" t="s">
        <v>125</v>
      </c>
      <c r="F177" s="838">
        <v>1</v>
      </c>
      <c r="G177" s="842" t="s">
        <v>161</v>
      </c>
      <c r="H177" s="844">
        <v>9</v>
      </c>
      <c r="I177" s="838" t="s">
        <v>96</v>
      </c>
      <c r="J177" s="838" t="s">
        <v>128</v>
      </c>
      <c r="K177" s="838" t="s">
        <v>108</v>
      </c>
      <c r="L177" s="1187">
        <v>37800000</v>
      </c>
      <c r="M177" s="1235">
        <v>37800000</v>
      </c>
      <c r="N177" s="838" t="s">
        <v>81</v>
      </c>
      <c r="O177" s="838" t="s">
        <v>56</v>
      </c>
      <c r="P177" s="795" t="s">
        <v>126</v>
      </c>
      <c r="Q177" s="45"/>
      <c r="R177" s="172" t="s">
        <v>1135</v>
      </c>
      <c r="S177" s="172" t="s">
        <v>1136</v>
      </c>
      <c r="T177" s="28">
        <v>42464</v>
      </c>
      <c r="U177" s="1012" t="s">
        <v>1137</v>
      </c>
      <c r="V177" s="181" t="s">
        <v>212</v>
      </c>
      <c r="W177" s="1050">
        <v>37800000</v>
      </c>
      <c r="X177" s="138"/>
      <c r="Y177" s="134">
        <f t="shared" si="3"/>
        <v>37800000</v>
      </c>
      <c r="Z177" s="411" t="s">
        <v>1138</v>
      </c>
      <c r="AA177" s="411" t="s">
        <v>1139</v>
      </c>
      <c r="AB177" s="411" t="s">
        <v>225</v>
      </c>
      <c r="AC177" s="181" t="s">
        <v>1140</v>
      </c>
      <c r="AD177" s="411" t="s">
        <v>56</v>
      </c>
      <c r="AE177" s="411" t="s">
        <v>56</v>
      </c>
      <c r="AF177" s="411" t="s">
        <v>56</v>
      </c>
      <c r="AG177" s="168" t="s">
        <v>1109</v>
      </c>
      <c r="AH177" s="169">
        <v>42464</v>
      </c>
      <c r="AI177" s="169">
        <v>42734</v>
      </c>
      <c r="AJ177" s="411" t="s">
        <v>1129</v>
      </c>
      <c r="AK177" s="1089" t="s">
        <v>795</v>
      </c>
      <c r="AL177" s="1152" t="s">
        <v>56</v>
      </c>
      <c r="AM177" s="1152" t="s">
        <v>56</v>
      </c>
      <c r="AN177" s="1152" t="s">
        <v>56</v>
      </c>
      <c r="AO177" s="1152" t="s">
        <v>56</v>
      </c>
      <c r="AP177" s="1152" t="s">
        <v>56</v>
      </c>
      <c r="AQ177" s="1153">
        <v>4200000</v>
      </c>
      <c r="AR177" s="1153">
        <v>4200000</v>
      </c>
      <c r="AS177" s="138"/>
      <c r="AT177" s="1153">
        <v>4200000</v>
      </c>
      <c r="AU177" s="138"/>
      <c r="AV177" s="138"/>
      <c r="AW177" s="138"/>
      <c r="AX177" s="138"/>
      <c r="AY177" s="138"/>
      <c r="AZ177" s="138"/>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45"/>
      <c r="FX177" s="45"/>
      <c r="FY177" s="45"/>
      <c r="FZ177" s="45"/>
      <c r="GA177" s="45"/>
      <c r="GB177" s="45"/>
      <c r="GC177" s="45"/>
      <c r="GD177" s="45"/>
      <c r="GE177" s="45"/>
      <c r="GF177" s="45"/>
      <c r="GG177" s="45"/>
      <c r="GH177" s="45"/>
      <c r="GI177" s="45"/>
      <c r="GJ177" s="45"/>
      <c r="GK177" s="45"/>
      <c r="GL177" s="45"/>
      <c r="GM177" s="45"/>
      <c r="GN177" s="45"/>
      <c r="GO177" s="45"/>
      <c r="GP177" s="45"/>
      <c r="GQ177" s="45"/>
      <c r="GR177" s="45"/>
      <c r="GS177" s="45"/>
      <c r="GT177" s="45"/>
      <c r="GU177" s="45"/>
      <c r="GV177" s="45"/>
      <c r="GW177" s="45"/>
      <c r="GX177" s="45"/>
      <c r="GY177" s="45"/>
      <c r="GZ177" s="45"/>
      <c r="HA177" s="45"/>
      <c r="HB177" s="45"/>
      <c r="HC177" s="45"/>
      <c r="HD177" s="45"/>
      <c r="HE177" s="45"/>
      <c r="HF177" s="45"/>
      <c r="HG177" s="45"/>
      <c r="HH177" s="45"/>
      <c r="HI177" s="45"/>
      <c r="HJ177" s="45"/>
      <c r="HK177" s="45"/>
      <c r="HL177" s="45"/>
      <c r="HM177" s="45"/>
      <c r="HN177" s="45"/>
      <c r="HO177" s="45"/>
      <c r="HP177" s="45"/>
      <c r="HQ177" s="45"/>
      <c r="HR177" s="45"/>
      <c r="HS177" s="45"/>
      <c r="HT177" s="45"/>
      <c r="HU177" s="45"/>
      <c r="HV177" s="45"/>
      <c r="HW177" s="45"/>
      <c r="HX177" s="45"/>
      <c r="HY177" s="45"/>
      <c r="HZ177" s="45"/>
      <c r="IA177" s="45"/>
      <c r="IB177" s="45"/>
      <c r="IC177" s="45"/>
      <c r="ID177" s="45"/>
      <c r="IE177" s="45"/>
      <c r="IF177" s="45"/>
      <c r="IG177" s="45"/>
      <c r="IH177" s="45"/>
      <c r="II177" s="45"/>
      <c r="IJ177" s="45"/>
      <c r="IK177" s="45"/>
      <c r="IL177" s="45"/>
      <c r="IM177" s="45"/>
      <c r="IN177" s="45"/>
      <c r="IO177" s="45"/>
      <c r="IP177" s="45"/>
      <c r="IQ177" s="45"/>
      <c r="IR177" s="45"/>
      <c r="IS177" s="45"/>
      <c r="IT177" s="45"/>
      <c r="IU177" s="45"/>
      <c r="IV177" s="45"/>
      <c r="IW177" s="45"/>
      <c r="IX177" s="45"/>
      <c r="IY177" s="45"/>
      <c r="IZ177" s="45"/>
      <c r="JA177" s="45"/>
      <c r="JB177" s="45"/>
      <c r="JC177" s="45"/>
      <c r="JD177" s="45"/>
      <c r="JE177" s="45"/>
      <c r="JF177" s="45"/>
      <c r="JG177" s="45"/>
      <c r="JH177" s="45"/>
      <c r="JI177" s="45"/>
      <c r="JJ177" s="45"/>
      <c r="JK177" s="45"/>
      <c r="JL177" s="45"/>
      <c r="JM177" s="45"/>
    </row>
    <row r="178" spans="1:273" s="259" customFormat="1" ht="94.5" customHeight="1" x14ac:dyDescent="0.25">
      <c r="A178" s="832">
        <v>155</v>
      </c>
      <c r="B178" s="833" t="s">
        <v>987</v>
      </c>
      <c r="C178" s="836">
        <v>80101706</v>
      </c>
      <c r="D178" s="174" t="s">
        <v>1141</v>
      </c>
      <c r="E178" s="836" t="s">
        <v>125</v>
      </c>
      <c r="F178" s="836">
        <v>1</v>
      </c>
      <c r="G178" s="834" t="s">
        <v>164</v>
      </c>
      <c r="H178" s="835">
        <v>9</v>
      </c>
      <c r="I178" s="836" t="s">
        <v>96</v>
      </c>
      <c r="J178" s="836" t="s">
        <v>847</v>
      </c>
      <c r="K178" s="836" t="s">
        <v>108</v>
      </c>
      <c r="L178" s="56">
        <v>58500000</v>
      </c>
      <c r="M178" s="1179">
        <v>58500000</v>
      </c>
      <c r="N178" s="838" t="s">
        <v>81</v>
      </c>
      <c r="O178" s="838" t="s">
        <v>56</v>
      </c>
      <c r="P178" s="795" t="s">
        <v>126</v>
      </c>
      <c r="Q178" s="45"/>
      <c r="R178" s="172" t="s">
        <v>1142</v>
      </c>
      <c r="S178" s="172" t="s">
        <v>612</v>
      </c>
      <c r="T178" s="28">
        <v>42461</v>
      </c>
      <c r="U178" s="1012" t="s">
        <v>1143</v>
      </c>
      <c r="V178" s="181" t="s">
        <v>212</v>
      </c>
      <c r="W178" s="1050">
        <v>58500000</v>
      </c>
      <c r="X178" s="138"/>
      <c r="Y178" s="134">
        <f t="shared" si="3"/>
        <v>58500000</v>
      </c>
      <c r="Z178" s="181" t="s">
        <v>1144</v>
      </c>
      <c r="AA178" s="181" t="s">
        <v>1145</v>
      </c>
      <c r="AB178" s="181" t="s">
        <v>225</v>
      </c>
      <c r="AC178" s="181"/>
      <c r="AD178" s="181" t="s">
        <v>56</v>
      </c>
      <c r="AE178" s="181" t="s">
        <v>56</v>
      </c>
      <c r="AF178" s="181" t="s">
        <v>56</v>
      </c>
      <c r="AG178" s="1013" t="s">
        <v>1146</v>
      </c>
      <c r="AH178" s="1014">
        <v>42461</v>
      </c>
      <c r="AI178" s="1014">
        <v>42735</v>
      </c>
      <c r="AJ178" s="181" t="s">
        <v>1147</v>
      </c>
      <c r="AK178" s="1189" t="s">
        <v>241</v>
      </c>
      <c r="AL178" s="1152" t="s">
        <v>56</v>
      </c>
      <c r="AM178" s="1152" t="s">
        <v>56</v>
      </c>
      <c r="AN178" s="1152" t="s">
        <v>56</v>
      </c>
      <c r="AO178" s="1152" t="s">
        <v>56</v>
      </c>
      <c r="AP178" s="1152" t="s">
        <v>56</v>
      </c>
      <c r="AQ178" s="1153">
        <v>6500000</v>
      </c>
      <c r="AR178" s="1153">
        <v>6500000</v>
      </c>
      <c r="AS178" s="138"/>
      <c r="AT178" s="1153">
        <v>6500000</v>
      </c>
      <c r="AU178" s="1153">
        <v>6500000</v>
      </c>
      <c r="AV178" s="138"/>
      <c r="AW178" s="138"/>
      <c r="AX178" s="138"/>
      <c r="AY178" s="138"/>
      <c r="AZ178" s="138"/>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c r="IK178" s="45"/>
      <c r="IL178" s="45"/>
      <c r="IM178" s="45"/>
      <c r="IN178" s="45"/>
      <c r="IO178" s="45"/>
      <c r="IP178" s="45"/>
      <c r="IQ178" s="45"/>
      <c r="IR178" s="45"/>
      <c r="IS178" s="45"/>
      <c r="IT178" s="45"/>
      <c r="IU178" s="45"/>
      <c r="IV178" s="45"/>
      <c r="IW178" s="45"/>
      <c r="IX178" s="45"/>
      <c r="IY178" s="45"/>
      <c r="IZ178" s="45"/>
      <c r="JA178" s="45"/>
      <c r="JB178" s="45"/>
      <c r="JC178" s="45"/>
      <c r="JD178" s="45"/>
      <c r="JE178" s="45"/>
      <c r="JF178" s="45"/>
      <c r="JG178" s="45"/>
      <c r="JH178" s="45"/>
      <c r="JI178" s="45"/>
      <c r="JJ178" s="45"/>
      <c r="JK178" s="45"/>
      <c r="JL178" s="45"/>
      <c r="JM178" s="45"/>
    </row>
    <row r="179" spans="1:273" s="259" customFormat="1" ht="90" customHeight="1" x14ac:dyDescent="0.25">
      <c r="A179" s="832">
        <v>156</v>
      </c>
      <c r="B179" s="833" t="s">
        <v>987</v>
      </c>
      <c r="C179" s="836">
        <v>80101706</v>
      </c>
      <c r="D179" s="174" t="s">
        <v>943</v>
      </c>
      <c r="E179" s="836" t="s">
        <v>125</v>
      </c>
      <c r="F179" s="836">
        <v>1</v>
      </c>
      <c r="G179" s="834" t="s">
        <v>161</v>
      </c>
      <c r="H179" s="835">
        <v>9.3000000000000007</v>
      </c>
      <c r="I179" s="836" t="s">
        <v>96</v>
      </c>
      <c r="J179" s="836" t="s">
        <v>847</v>
      </c>
      <c r="K179" s="836" t="s">
        <v>108</v>
      </c>
      <c r="L179" s="56">
        <v>26271000</v>
      </c>
      <c r="M179" s="1179">
        <v>26271000</v>
      </c>
      <c r="N179" s="838" t="s">
        <v>81</v>
      </c>
      <c r="O179" s="838" t="s">
        <v>56</v>
      </c>
      <c r="P179" s="795" t="s">
        <v>126</v>
      </c>
      <c r="Q179" s="45"/>
      <c r="R179" s="172" t="s">
        <v>1041</v>
      </c>
      <c r="S179" s="172" t="s">
        <v>294</v>
      </c>
      <c r="T179" s="28">
        <v>42452</v>
      </c>
      <c r="U179" s="1012" t="s">
        <v>1042</v>
      </c>
      <c r="V179" s="181" t="s">
        <v>212</v>
      </c>
      <c r="W179" s="30">
        <v>26271000</v>
      </c>
      <c r="X179" s="138"/>
      <c r="Y179" s="134">
        <f t="shared" si="3"/>
        <v>26271000</v>
      </c>
      <c r="Z179" s="411" t="s">
        <v>1043</v>
      </c>
      <c r="AA179" s="181" t="s">
        <v>1044</v>
      </c>
      <c r="AB179" s="181" t="s">
        <v>225</v>
      </c>
      <c r="AC179" s="181" t="s">
        <v>1045</v>
      </c>
      <c r="AD179" s="181" t="s">
        <v>56</v>
      </c>
      <c r="AE179" s="181" t="s">
        <v>56</v>
      </c>
      <c r="AF179" s="181" t="s">
        <v>56</v>
      </c>
      <c r="AG179" s="1013" t="s">
        <v>1038</v>
      </c>
      <c r="AH179" s="1014">
        <v>42452</v>
      </c>
      <c r="AI179" s="1014">
        <v>42734</v>
      </c>
      <c r="AJ179" s="181" t="s">
        <v>248</v>
      </c>
      <c r="AK179" s="1189" t="s">
        <v>241</v>
      </c>
      <c r="AL179" s="1152" t="s">
        <v>56</v>
      </c>
      <c r="AM179" s="1152" t="s">
        <v>56</v>
      </c>
      <c r="AN179" s="1152" t="s">
        <v>56</v>
      </c>
      <c r="AO179" s="1152" t="s">
        <v>56</v>
      </c>
      <c r="AP179" s="1152" t="s">
        <v>56</v>
      </c>
      <c r="AQ179" s="1153">
        <v>2835000</v>
      </c>
      <c r="AR179" s="1153">
        <v>2835000</v>
      </c>
      <c r="AS179" s="138"/>
      <c r="AT179" s="1153">
        <v>2835000</v>
      </c>
      <c r="AU179" s="1153">
        <v>2835000</v>
      </c>
      <c r="AV179" s="138"/>
      <c r="AW179" s="138"/>
      <c r="AX179" s="138"/>
      <c r="AY179" s="138"/>
      <c r="AZ179" s="138"/>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c r="IK179" s="45"/>
      <c r="IL179" s="45"/>
      <c r="IM179" s="45"/>
      <c r="IN179" s="45"/>
      <c r="IO179" s="45"/>
      <c r="IP179" s="45"/>
      <c r="IQ179" s="45"/>
      <c r="IR179" s="45"/>
      <c r="IS179" s="45"/>
      <c r="IT179" s="45"/>
      <c r="IU179" s="45"/>
      <c r="IV179" s="45"/>
      <c r="IW179" s="45"/>
      <c r="IX179" s="45"/>
      <c r="IY179" s="45"/>
      <c r="IZ179" s="45"/>
      <c r="JA179" s="45"/>
      <c r="JB179" s="45"/>
      <c r="JC179" s="45"/>
      <c r="JD179" s="45"/>
      <c r="JE179" s="45"/>
      <c r="JF179" s="45"/>
      <c r="JG179" s="45"/>
      <c r="JH179" s="45"/>
      <c r="JI179" s="45"/>
      <c r="JJ179" s="45"/>
      <c r="JK179" s="45"/>
      <c r="JL179" s="45"/>
      <c r="JM179" s="45"/>
    </row>
    <row r="180" spans="1:273" s="259" customFormat="1" ht="90" customHeight="1" x14ac:dyDescent="0.25">
      <c r="A180" s="832">
        <v>157</v>
      </c>
      <c r="B180" s="833" t="s">
        <v>987</v>
      </c>
      <c r="C180" s="836">
        <v>80101706</v>
      </c>
      <c r="D180" s="174" t="s">
        <v>944</v>
      </c>
      <c r="E180" s="836" t="s">
        <v>125</v>
      </c>
      <c r="F180" s="836">
        <v>1</v>
      </c>
      <c r="G180" s="834" t="s">
        <v>161</v>
      </c>
      <c r="H180" s="835">
        <v>9.3000000000000007</v>
      </c>
      <c r="I180" s="836" t="s">
        <v>96</v>
      </c>
      <c r="J180" s="836" t="s">
        <v>847</v>
      </c>
      <c r="K180" s="836" t="s">
        <v>108</v>
      </c>
      <c r="L180" s="56">
        <v>68110000.000000015</v>
      </c>
      <c r="M180" s="1179">
        <v>68110000.000000015</v>
      </c>
      <c r="N180" s="838" t="s">
        <v>81</v>
      </c>
      <c r="O180" s="838" t="s">
        <v>56</v>
      </c>
      <c r="P180" s="795" t="s">
        <v>126</v>
      </c>
      <c r="Q180" s="45"/>
      <c r="R180" s="172" t="s">
        <v>1046</v>
      </c>
      <c r="S180" s="172" t="s">
        <v>306</v>
      </c>
      <c r="T180" s="28">
        <v>42452</v>
      </c>
      <c r="U180" s="1012" t="s">
        <v>1047</v>
      </c>
      <c r="V180" s="181" t="s">
        <v>212</v>
      </c>
      <c r="W180" s="30">
        <v>68110000</v>
      </c>
      <c r="X180" s="138"/>
      <c r="Y180" s="134">
        <f t="shared" si="3"/>
        <v>68110000</v>
      </c>
      <c r="Z180" s="411" t="s">
        <v>1048</v>
      </c>
      <c r="AA180" s="411" t="s">
        <v>1049</v>
      </c>
      <c r="AB180" s="411" t="s">
        <v>225</v>
      </c>
      <c r="AC180" s="181" t="s">
        <v>1050</v>
      </c>
      <c r="AD180" s="411" t="s">
        <v>56</v>
      </c>
      <c r="AE180" s="411" t="s">
        <v>56</v>
      </c>
      <c r="AF180" s="411" t="s">
        <v>56</v>
      </c>
      <c r="AG180" s="168" t="s">
        <v>1038</v>
      </c>
      <c r="AH180" s="169">
        <v>42451</v>
      </c>
      <c r="AI180" s="169">
        <v>42734</v>
      </c>
      <c r="AJ180" s="411" t="s">
        <v>248</v>
      </c>
      <c r="AK180" s="170" t="s">
        <v>241</v>
      </c>
      <c r="AL180" s="1152" t="s">
        <v>56</v>
      </c>
      <c r="AM180" s="1152" t="s">
        <v>56</v>
      </c>
      <c r="AN180" s="1152" t="s">
        <v>56</v>
      </c>
      <c r="AO180" s="1152" t="s">
        <v>56</v>
      </c>
      <c r="AP180" s="1152" t="s">
        <v>56</v>
      </c>
      <c r="AQ180" s="1153">
        <v>7350000</v>
      </c>
      <c r="AR180" s="1104">
        <v>7350000</v>
      </c>
      <c r="AS180" s="138"/>
      <c r="AT180" s="1104">
        <v>7350000</v>
      </c>
      <c r="AU180" s="1104">
        <v>7350000</v>
      </c>
      <c r="AV180" s="138"/>
      <c r="AW180" s="138"/>
      <c r="AX180" s="138"/>
      <c r="AY180" s="138"/>
      <c r="AZ180" s="138"/>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c r="IK180" s="45"/>
      <c r="IL180" s="45"/>
      <c r="IM180" s="45"/>
      <c r="IN180" s="45"/>
      <c r="IO180" s="45"/>
      <c r="IP180" s="45"/>
      <c r="IQ180" s="45"/>
      <c r="IR180" s="45"/>
      <c r="IS180" s="45"/>
      <c r="IT180" s="45"/>
      <c r="IU180" s="45"/>
      <c r="IV180" s="45"/>
      <c r="IW180" s="45"/>
      <c r="IX180" s="45"/>
      <c r="IY180" s="45"/>
      <c r="IZ180" s="45"/>
      <c r="JA180" s="45"/>
      <c r="JB180" s="45"/>
      <c r="JC180" s="45"/>
      <c r="JD180" s="45"/>
      <c r="JE180" s="45"/>
      <c r="JF180" s="45"/>
      <c r="JG180" s="45"/>
      <c r="JH180" s="45"/>
      <c r="JI180" s="45"/>
      <c r="JJ180" s="45"/>
      <c r="JK180" s="45"/>
      <c r="JL180" s="45"/>
      <c r="JM180" s="45"/>
    </row>
    <row r="181" spans="1:273" s="259" customFormat="1" ht="81.75" customHeight="1" x14ac:dyDescent="0.25">
      <c r="A181" s="832">
        <v>158</v>
      </c>
      <c r="B181" s="833" t="s">
        <v>987</v>
      </c>
      <c r="C181" s="836">
        <v>80101706</v>
      </c>
      <c r="D181" s="174" t="s">
        <v>945</v>
      </c>
      <c r="E181" s="836" t="s">
        <v>125</v>
      </c>
      <c r="F181" s="836">
        <v>1</v>
      </c>
      <c r="G181" s="834" t="s">
        <v>164</v>
      </c>
      <c r="H181" s="835">
        <v>9</v>
      </c>
      <c r="I181" s="836" t="s">
        <v>96</v>
      </c>
      <c r="J181" s="836" t="s">
        <v>847</v>
      </c>
      <c r="K181" s="836" t="s">
        <v>108</v>
      </c>
      <c r="L181" s="56">
        <v>39600000</v>
      </c>
      <c r="M181" s="56">
        <v>39600000</v>
      </c>
      <c r="N181" s="838" t="s">
        <v>81</v>
      </c>
      <c r="O181" s="838" t="s">
        <v>56</v>
      </c>
      <c r="P181" s="795" t="s">
        <v>126</v>
      </c>
      <c r="Q181" s="45"/>
      <c r="R181" s="172" t="s">
        <v>1309</v>
      </c>
      <c r="S181" s="172" t="s">
        <v>1310</v>
      </c>
      <c r="T181" s="28">
        <v>42475</v>
      </c>
      <c r="U181" s="1012" t="s">
        <v>1311</v>
      </c>
      <c r="V181" s="181" t="s">
        <v>212</v>
      </c>
      <c r="W181" s="1005">
        <v>31237500</v>
      </c>
      <c r="X181" s="138"/>
      <c r="Y181" s="134">
        <f t="shared" si="3"/>
        <v>31237500</v>
      </c>
      <c r="Z181" s="411" t="s">
        <v>1312</v>
      </c>
      <c r="AA181" s="411" t="s">
        <v>1313</v>
      </c>
      <c r="AB181" s="411" t="s">
        <v>225</v>
      </c>
      <c r="AC181" s="181" t="s">
        <v>1314</v>
      </c>
      <c r="AD181" s="411" t="s">
        <v>56</v>
      </c>
      <c r="AE181" s="411" t="s">
        <v>56</v>
      </c>
      <c r="AF181" s="411" t="s">
        <v>56</v>
      </c>
      <c r="AG181" s="168" t="s">
        <v>1315</v>
      </c>
      <c r="AH181" s="169">
        <v>42475</v>
      </c>
      <c r="AI181" s="169">
        <v>42734</v>
      </c>
      <c r="AJ181" s="411" t="s">
        <v>1147</v>
      </c>
      <c r="AK181" s="134" t="s">
        <v>241</v>
      </c>
      <c r="AL181" s="1152" t="s">
        <v>56</v>
      </c>
      <c r="AM181" s="1152" t="s">
        <v>56</v>
      </c>
      <c r="AN181" s="1152" t="s">
        <v>56</v>
      </c>
      <c r="AO181" s="1152" t="s">
        <v>56</v>
      </c>
      <c r="AP181" s="1152" t="s">
        <v>56</v>
      </c>
      <c r="AQ181" s="1153">
        <v>3675000</v>
      </c>
      <c r="AR181" s="1104">
        <v>3675000</v>
      </c>
      <c r="AS181" s="138"/>
      <c r="AT181" s="1104">
        <v>3675000</v>
      </c>
      <c r="AU181" s="1236" t="s">
        <v>2937</v>
      </c>
      <c r="AV181" s="138"/>
      <c r="AW181" s="138"/>
      <c r="AX181" s="138"/>
      <c r="AY181" s="138"/>
      <c r="AZ181" s="138"/>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c r="IK181" s="45"/>
      <c r="IL181" s="45"/>
      <c r="IM181" s="45"/>
      <c r="IN181" s="45"/>
      <c r="IO181" s="45"/>
      <c r="IP181" s="45"/>
      <c r="IQ181" s="45"/>
      <c r="IR181" s="45"/>
      <c r="IS181" s="45"/>
      <c r="IT181" s="45"/>
      <c r="IU181" s="45"/>
      <c r="IV181" s="45"/>
      <c r="IW181" s="45"/>
      <c r="IX181" s="45"/>
      <c r="IY181" s="45"/>
      <c r="IZ181" s="45"/>
      <c r="JA181" s="45"/>
      <c r="JB181" s="45"/>
      <c r="JC181" s="45"/>
      <c r="JD181" s="45"/>
      <c r="JE181" s="45"/>
      <c r="JF181" s="45"/>
      <c r="JG181" s="45"/>
      <c r="JH181" s="45"/>
      <c r="JI181" s="45"/>
      <c r="JJ181" s="45"/>
      <c r="JK181" s="45"/>
      <c r="JL181" s="45"/>
      <c r="JM181" s="45"/>
    </row>
    <row r="182" spans="1:273" s="259" customFormat="1" ht="68.25" customHeight="1" x14ac:dyDescent="0.25">
      <c r="A182" s="832">
        <v>159</v>
      </c>
      <c r="B182" s="833" t="s">
        <v>987</v>
      </c>
      <c r="C182" s="836">
        <v>80101706</v>
      </c>
      <c r="D182" s="174" t="s">
        <v>1388</v>
      </c>
      <c r="E182" s="836" t="s">
        <v>125</v>
      </c>
      <c r="F182" s="836">
        <v>1</v>
      </c>
      <c r="G182" s="834" t="s">
        <v>164</v>
      </c>
      <c r="H182" s="835">
        <v>9</v>
      </c>
      <c r="I182" s="836" t="s">
        <v>96</v>
      </c>
      <c r="J182" s="836" t="s">
        <v>847</v>
      </c>
      <c r="K182" s="836" t="s">
        <v>108</v>
      </c>
      <c r="L182" s="56">
        <v>55250000</v>
      </c>
      <c r="M182" s="1179">
        <v>55250000</v>
      </c>
      <c r="N182" s="838" t="s">
        <v>81</v>
      </c>
      <c r="O182" s="838" t="s">
        <v>56</v>
      </c>
      <c r="P182" s="24" t="s">
        <v>126</v>
      </c>
      <c r="Q182" s="45"/>
      <c r="R182" s="172" t="s">
        <v>1389</v>
      </c>
      <c r="S182" s="172" t="s">
        <v>1390</v>
      </c>
      <c r="T182" s="28">
        <v>42478</v>
      </c>
      <c r="U182" s="1012" t="s">
        <v>1391</v>
      </c>
      <c r="V182" s="181" t="s">
        <v>212</v>
      </c>
      <c r="W182" s="1005">
        <v>55250000</v>
      </c>
      <c r="X182" s="138"/>
      <c r="Y182" s="134">
        <f t="shared" si="3"/>
        <v>55250000</v>
      </c>
      <c r="Z182" s="411" t="s">
        <v>1392</v>
      </c>
      <c r="AA182" s="411" t="s">
        <v>1393</v>
      </c>
      <c r="AB182" s="411" t="s">
        <v>225</v>
      </c>
      <c r="AC182" s="181" t="s">
        <v>1394</v>
      </c>
      <c r="AD182" s="411" t="s">
        <v>56</v>
      </c>
      <c r="AE182" s="411" t="s">
        <v>56</v>
      </c>
      <c r="AF182" s="411" t="s">
        <v>56</v>
      </c>
      <c r="AG182" s="168" t="s">
        <v>1395</v>
      </c>
      <c r="AH182" s="169">
        <v>42478</v>
      </c>
      <c r="AI182" s="169">
        <v>42734</v>
      </c>
      <c r="AJ182" s="411" t="s">
        <v>1147</v>
      </c>
      <c r="AK182" s="134" t="s">
        <v>241</v>
      </c>
      <c r="AL182" s="1152" t="s">
        <v>56</v>
      </c>
      <c r="AM182" s="1152" t="s">
        <v>56</v>
      </c>
      <c r="AN182" s="1152" t="s">
        <v>56</v>
      </c>
      <c r="AO182" s="1152" t="s">
        <v>56</v>
      </c>
      <c r="AP182" s="1152" t="s">
        <v>56</v>
      </c>
      <c r="AQ182" s="1153">
        <v>6500000</v>
      </c>
      <c r="AR182" s="1104">
        <v>6500000</v>
      </c>
      <c r="AS182" s="138"/>
      <c r="AT182" s="1104">
        <v>6500000</v>
      </c>
      <c r="AU182" s="138"/>
      <c r="AV182" s="138"/>
      <c r="AW182" s="138"/>
      <c r="AX182" s="138"/>
      <c r="AY182" s="138"/>
      <c r="AZ182" s="138"/>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c r="EK182" s="45"/>
      <c r="EL182" s="45"/>
      <c r="EM182" s="45"/>
      <c r="EN182" s="45"/>
      <c r="EO182" s="45"/>
      <c r="EP182" s="45"/>
      <c r="EQ182" s="45"/>
      <c r="ER182" s="45"/>
      <c r="ES182" s="45"/>
      <c r="ET182" s="45"/>
      <c r="EU182" s="45"/>
      <c r="EV182" s="45"/>
      <c r="EW182" s="45"/>
      <c r="EX182" s="45"/>
      <c r="EY182" s="45"/>
      <c r="EZ182" s="45"/>
      <c r="FA182" s="45"/>
      <c r="FB182" s="45"/>
      <c r="FC182" s="45"/>
      <c r="FD182" s="45"/>
      <c r="FE182" s="45"/>
      <c r="FF182" s="45"/>
      <c r="FG182" s="45"/>
      <c r="FH182" s="45"/>
      <c r="FI182" s="45"/>
      <c r="FJ182" s="45"/>
      <c r="FK182" s="45"/>
      <c r="FL182" s="45"/>
      <c r="FM182" s="45"/>
      <c r="FN182" s="45"/>
      <c r="FO182" s="45"/>
      <c r="FP182" s="45"/>
      <c r="FQ182" s="45"/>
      <c r="FR182" s="45"/>
      <c r="FS182" s="45"/>
      <c r="FT182" s="45"/>
      <c r="FU182" s="45"/>
      <c r="FV182" s="45"/>
      <c r="FW182" s="45"/>
      <c r="FX182" s="45"/>
      <c r="FY182" s="45"/>
      <c r="FZ182" s="45"/>
      <c r="GA182" s="45"/>
      <c r="GB182" s="45"/>
      <c r="GC182" s="45"/>
      <c r="GD182" s="45"/>
      <c r="GE182" s="45"/>
      <c r="GF182" s="45"/>
      <c r="GG182" s="45"/>
      <c r="GH182" s="45"/>
      <c r="GI182" s="45"/>
      <c r="GJ182" s="45"/>
      <c r="GK182" s="45"/>
      <c r="GL182" s="45"/>
      <c r="GM182" s="45"/>
      <c r="GN182" s="45"/>
      <c r="GO182" s="45"/>
      <c r="GP182" s="45"/>
      <c r="GQ182" s="45"/>
      <c r="GR182" s="45"/>
      <c r="GS182" s="45"/>
      <c r="GT182" s="45"/>
      <c r="GU182" s="45"/>
      <c r="GV182" s="45"/>
      <c r="GW182" s="45"/>
      <c r="GX182" s="45"/>
      <c r="GY182" s="45"/>
      <c r="GZ182" s="45"/>
      <c r="HA182" s="45"/>
      <c r="HB182" s="45"/>
      <c r="HC182" s="45"/>
      <c r="HD182" s="45"/>
      <c r="HE182" s="45"/>
      <c r="HF182" s="45"/>
      <c r="HG182" s="45"/>
      <c r="HH182" s="45"/>
      <c r="HI182" s="45"/>
      <c r="HJ182" s="45"/>
      <c r="HK182" s="45"/>
      <c r="HL182" s="45"/>
      <c r="HM182" s="45"/>
      <c r="HN182" s="45"/>
      <c r="HO182" s="45"/>
      <c r="HP182" s="45"/>
      <c r="HQ182" s="45"/>
      <c r="HR182" s="45"/>
      <c r="HS182" s="45"/>
      <c r="HT182" s="45"/>
      <c r="HU182" s="45"/>
      <c r="HV182" s="45"/>
      <c r="HW182" s="45"/>
      <c r="HX182" s="45"/>
      <c r="HY182" s="45"/>
      <c r="HZ182" s="45"/>
      <c r="IA182" s="45"/>
      <c r="IB182" s="45"/>
      <c r="IC182" s="45"/>
      <c r="ID182" s="45"/>
      <c r="IE182" s="45"/>
      <c r="IF182" s="45"/>
      <c r="IG182" s="45"/>
      <c r="IH182" s="45"/>
      <c r="II182" s="45"/>
      <c r="IJ182" s="45"/>
      <c r="IK182" s="45"/>
      <c r="IL182" s="45"/>
      <c r="IM182" s="45"/>
      <c r="IN182" s="45"/>
      <c r="IO182" s="45"/>
      <c r="IP182" s="45"/>
      <c r="IQ182" s="45"/>
      <c r="IR182" s="45"/>
      <c r="IS182" s="45"/>
      <c r="IT182" s="45"/>
      <c r="IU182" s="45"/>
      <c r="IV182" s="45"/>
      <c r="IW182" s="45"/>
      <c r="IX182" s="45"/>
      <c r="IY182" s="45"/>
      <c r="IZ182" s="45"/>
      <c r="JA182" s="45"/>
      <c r="JB182" s="45"/>
      <c r="JC182" s="45"/>
      <c r="JD182" s="45"/>
      <c r="JE182" s="45"/>
      <c r="JF182" s="45"/>
      <c r="JG182" s="45"/>
      <c r="JH182" s="45"/>
      <c r="JI182" s="45"/>
      <c r="JJ182" s="45"/>
      <c r="JK182" s="45"/>
      <c r="JL182" s="45"/>
      <c r="JM182" s="45"/>
    </row>
    <row r="183" spans="1:273" s="259" customFormat="1" ht="86.25" customHeight="1" x14ac:dyDescent="0.25">
      <c r="A183" s="832">
        <v>160</v>
      </c>
      <c r="B183" s="833" t="s">
        <v>987</v>
      </c>
      <c r="C183" s="836">
        <v>80101706</v>
      </c>
      <c r="D183" s="174" t="s">
        <v>946</v>
      </c>
      <c r="E183" s="836" t="s">
        <v>125</v>
      </c>
      <c r="F183" s="836">
        <v>1</v>
      </c>
      <c r="G183" s="834" t="s">
        <v>161</v>
      </c>
      <c r="H183" s="835">
        <v>9</v>
      </c>
      <c r="I183" s="836" t="s">
        <v>96</v>
      </c>
      <c r="J183" s="836" t="s">
        <v>847</v>
      </c>
      <c r="K183" s="836" t="s">
        <v>108</v>
      </c>
      <c r="L183" s="56">
        <v>27000000</v>
      </c>
      <c r="M183" s="1179">
        <v>27000000</v>
      </c>
      <c r="N183" s="838" t="s">
        <v>81</v>
      </c>
      <c r="O183" s="838" t="s">
        <v>56</v>
      </c>
      <c r="P183" s="1213" t="s">
        <v>126</v>
      </c>
      <c r="Q183" s="45"/>
      <c r="R183" s="172" t="s">
        <v>1148</v>
      </c>
      <c r="S183" s="172" t="s">
        <v>1149</v>
      </c>
      <c r="T183" s="28">
        <v>42461</v>
      </c>
      <c r="U183" s="1012" t="s">
        <v>1150</v>
      </c>
      <c r="V183" s="181" t="s">
        <v>212</v>
      </c>
      <c r="W183" s="1005">
        <v>26200000</v>
      </c>
      <c r="X183" s="138"/>
      <c r="Y183" s="134">
        <f t="shared" si="3"/>
        <v>26200000</v>
      </c>
      <c r="Z183" s="411" t="s">
        <v>1151</v>
      </c>
      <c r="AA183" s="181" t="s">
        <v>1152</v>
      </c>
      <c r="AB183" s="181" t="s">
        <v>225</v>
      </c>
      <c r="AC183" s="181" t="s">
        <v>1153</v>
      </c>
      <c r="AD183" s="181" t="s">
        <v>56</v>
      </c>
      <c r="AE183" s="181" t="s">
        <v>56</v>
      </c>
      <c r="AF183" s="181" t="s">
        <v>56</v>
      </c>
      <c r="AG183" s="1013" t="s">
        <v>1154</v>
      </c>
      <c r="AH183" s="1014">
        <v>42461</v>
      </c>
      <c r="AI183" s="1014">
        <v>42726</v>
      </c>
      <c r="AJ183" s="181" t="s">
        <v>1147</v>
      </c>
      <c r="AK183" s="1189" t="s">
        <v>241</v>
      </c>
      <c r="AL183" s="1152" t="s">
        <v>56</v>
      </c>
      <c r="AM183" s="1152" t="s">
        <v>56</v>
      </c>
      <c r="AN183" s="1152" t="s">
        <v>56</v>
      </c>
      <c r="AO183" s="1152" t="s">
        <v>56</v>
      </c>
      <c r="AP183" s="1152" t="s">
        <v>56</v>
      </c>
      <c r="AQ183" s="1153">
        <v>3000000</v>
      </c>
      <c r="AR183" s="1153">
        <v>3000000</v>
      </c>
      <c r="AS183" s="1152" t="s">
        <v>56</v>
      </c>
      <c r="AT183" s="1153">
        <v>3000000</v>
      </c>
      <c r="AU183" s="1153">
        <v>3000000</v>
      </c>
      <c r="AV183" s="138"/>
      <c r="AW183" s="138"/>
      <c r="AX183" s="138"/>
      <c r="AY183" s="138"/>
      <c r="AZ183" s="138"/>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c r="HB183" s="45"/>
      <c r="HC183" s="45"/>
      <c r="HD183" s="45"/>
      <c r="HE183" s="45"/>
      <c r="HF183" s="45"/>
      <c r="HG183" s="45"/>
      <c r="HH183" s="45"/>
      <c r="HI183" s="45"/>
      <c r="HJ183" s="45"/>
      <c r="HK183" s="45"/>
      <c r="HL183" s="45"/>
      <c r="HM183" s="45"/>
      <c r="HN183" s="45"/>
      <c r="HO183" s="45"/>
      <c r="HP183" s="45"/>
      <c r="HQ183" s="45"/>
      <c r="HR183" s="45"/>
      <c r="HS183" s="45"/>
      <c r="HT183" s="45"/>
      <c r="HU183" s="45"/>
      <c r="HV183" s="45"/>
      <c r="HW183" s="45"/>
      <c r="HX183" s="45"/>
      <c r="HY183" s="45"/>
      <c r="HZ183" s="45"/>
      <c r="IA183" s="45"/>
      <c r="IB183" s="45"/>
      <c r="IC183" s="45"/>
      <c r="ID183" s="45"/>
      <c r="IE183" s="45"/>
      <c r="IF183" s="45"/>
      <c r="IG183" s="45"/>
      <c r="IH183" s="45"/>
      <c r="II183" s="45"/>
      <c r="IJ183" s="45"/>
      <c r="IK183" s="45"/>
      <c r="IL183" s="45"/>
      <c r="IM183" s="45"/>
      <c r="IN183" s="45"/>
      <c r="IO183" s="45"/>
      <c r="IP183" s="45"/>
      <c r="IQ183" s="45"/>
      <c r="IR183" s="45"/>
      <c r="IS183" s="45"/>
      <c r="IT183" s="45"/>
      <c r="IU183" s="45"/>
      <c r="IV183" s="45"/>
      <c r="IW183" s="45"/>
      <c r="IX183" s="45"/>
      <c r="IY183" s="45"/>
      <c r="IZ183" s="45"/>
      <c r="JA183" s="45"/>
      <c r="JB183" s="45"/>
      <c r="JC183" s="45"/>
      <c r="JD183" s="45"/>
      <c r="JE183" s="45"/>
      <c r="JF183" s="45"/>
      <c r="JG183" s="45"/>
      <c r="JH183" s="45"/>
      <c r="JI183" s="45"/>
      <c r="JJ183" s="45"/>
      <c r="JK183" s="45"/>
      <c r="JL183" s="45"/>
      <c r="JM183" s="45"/>
    </row>
    <row r="184" spans="1:273" s="259" customFormat="1" ht="84" customHeight="1" x14ac:dyDescent="0.25">
      <c r="A184" s="832">
        <v>161</v>
      </c>
      <c r="B184" s="833" t="s">
        <v>987</v>
      </c>
      <c r="C184" s="836">
        <v>80101706</v>
      </c>
      <c r="D184" s="174" t="s">
        <v>947</v>
      </c>
      <c r="E184" s="836" t="s">
        <v>125</v>
      </c>
      <c r="F184" s="836">
        <v>1</v>
      </c>
      <c r="G184" s="834" t="s">
        <v>164</v>
      </c>
      <c r="H184" s="835">
        <v>8</v>
      </c>
      <c r="I184" s="836" t="s">
        <v>96</v>
      </c>
      <c r="J184" s="836" t="s">
        <v>847</v>
      </c>
      <c r="K184" s="836" t="s">
        <v>108</v>
      </c>
      <c r="L184" s="56">
        <v>29400000</v>
      </c>
      <c r="M184" s="56">
        <v>29400000</v>
      </c>
      <c r="N184" s="838" t="s">
        <v>81</v>
      </c>
      <c r="O184" s="838" t="s">
        <v>56</v>
      </c>
      <c r="P184" s="795" t="s">
        <v>126</v>
      </c>
      <c r="Q184" s="45"/>
      <c r="R184" s="172" t="s">
        <v>1487</v>
      </c>
      <c r="S184" s="172" t="s">
        <v>1488</v>
      </c>
      <c r="T184" s="28">
        <v>42488</v>
      </c>
      <c r="U184" s="1012" t="s">
        <v>1489</v>
      </c>
      <c r="V184" s="181" t="s">
        <v>212</v>
      </c>
      <c r="W184" s="1005">
        <v>29400000</v>
      </c>
      <c r="X184" s="138"/>
      <c r="Y184" s="134">
        <f t="shared" si="3"/>
        <v>29400000</v>
      </c>
      <c r="Z184" s="411" t="s">
        <v>1490</v>
      </c>
      <c r="AA184" s="411" t="s">
        <v>1491</v>
      </c>
      <c r="AB184" s="411" t="s">
        <v>225</v>
      </c>
      <c r="AC184" s="181" t="s">
        <v>1492</v>
      </c>
      <c r="AD184" s="411" t="s">
        <v>56</v>
      </c>
      <c r="AE184" s="411" t="s">
        <v>56</v>
      </c>
      <c r="AF184" s="411" t="s">
        <v>56</v>
      </c>
      <c r="AG184" s="168" t="s">
        <v>1467</v>
      </c>
      <c r="AH184" s="169">
        <v>42488</v>
      </c>
      <c r="AI184" s="169">
        <v>42640</v>
      </c>
      <c r="AJ184" s="411" t="s">
        <v>1493</v>
      </c>
      <c r="AK184" s="134" t="s">
        <v>241</v>
      </c>
      <c r="AL184" s="1152" t="s">
        <v>56</v>
      </c>
      <c r="AM184" s="1152" t="s">
        <v>56</v>
      </c>
      <c r="AN184" s="1152" t="s">
        <v>56</v>
      </c>
      <c r="AO184" s="1152" t="s">
        <v>56</v>
      </c>
      <c r="AP184" s="1152" t="s">
        <v>56</v>
      </c>
      <c r="AQ184" s="1153">
        <v>3675000</v>
      </c>
      <c r="AR184" s="1153">
        <v>3675000</v>
      </c>
      <c r="AS184" s="138"/>
      <c r="AT184" s="1153">
        <v>3675000</v>
      </c>
      <c r="AU184" s="138"/>
      <c r="AV184" s="138"/>
      <c r="AW184" s="138"/>
      <c r="AX184" s="138"/>
      <c r="AY184" s="138"/>
      <c r="AZ184" s="138"/>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c r="IK184" s="45"/>
      <c r="IL184" s="45"/>
      <c r="IM184" s="45"/>
      <c r="IN184" s="45"/>
      <c r="IO184" s="45"/>
      <c r="IP184" s="45"/>
      <c r="IQ184" s="45"/>
      <c r="IR184" s="45"/>
      <c r="IS184" s="45"/>
      <c r="IT184" s="45"/>
      <c r="IU184" s="45"/>
      <c r="IV184" s="45"/>
      <c r="IW184" s="45"/>
      <c r="IX184" s="45"/>
      <c r="IY184" s="45"/>
      <c r="IZ184" s="45"/>
      <c r="JA184" s="45"/>
      <c r="JB184" s="45"/>
      <c r="JC184" s="45"/>
      <c r="JD184" s="45"/>
      <c r="JE184" s="45"/>
      <c r="JF184" s="45"/>
      <c r="JG184" s="45"/>
      <c r="JH184" s="45"/>
      <c r="JI184" s="45"/>
      <c r="JJ184" s="45"/>
      <c r="JK184" s="45"/>
      <c r="JL184" s="45"/>
      <c r="JM184" s="45"/>
    </row>
    <row r="185" spans="1:273" s="259" customFormat="1" ht="54.75" customHeight="1" x14ac:dyDescent="0.25">
      <c r="A185" s="832">
        <v>162</v>
      </c>
      <c r="B185" s="833" t="s">
        <v>987</v>
      </c>
      <c r="C185" s="836">
        <v>80101706</v>
      </c>
      <c r="D185" s="174" t="s">
        <v>948</v>
      </c>
      <c r="E185" s="836" t="s">
        <v>125</v>
      </c>
      <c r="F185" s="836">
        <v>1</v>
      </c>
      <c r="G185" s="834" t="s">
        <v>164</v>
      </c>
      <c r="H185" s="835">
        <v>3.2</v>
      </c>
      <c r="I185" s="836" t="s">
        <v>96</v>
      </c>
      <c r="J185" s="836" t="s">
        <v>847</v>
      </c>
      <c r="K185" s="836" t="s">
        <v>108</v>
      </c>
      <c r="L185" s="56">
        <v>20832000</v>
      </c>
      <c r="M185" s="56">
        <v>20832000</v>
      </c>
      <c r="N185" s="838" t="s">
        <v>81</v>
      </c>
      <c r="O185" s="838" t="s">
        <v>56</v>
      </c>
      <c r="P185" s="795" t="s">
        <v>126</v>
      </c>
      <c r="Q185" s="45"/>
      <c r="R185" s="172" t="s">
        <v>1155</v>
      </c>
      <c r="S185" s="172" t="s">
        <v>392</v>
      </c>
      <c r="T185" s="28">
        <v>42468</v>
      </c>
      <c r="U185" s="1012" t="s">
        <v>1156</v>
      </c>
      <c r="V185" s="181" t="s">
        <v>212</v>
      </c>
      <c r="W185" s="1005">
        <v>19530000</v>
      </c>
      <c r="X185" s="138"/>
      <c r="Y185" s="134">
        <f t="shared" si="3"/>
        <v>19530000</v>
      </c>
      <c r="Z185" s="411" t="s">
        <v>1157</v>
      </c>
      <c r="AA185" s="411" t="s">
        <v>1158</v>
      </c>
      <c r="AB185" s="411" t="s">
        <v>225</v>
      </c>
      <c r="AC185" s="181" t="s">
        <v>1159</v>
      </c>
      <c r="AD185" s="411" t="s">
        <v>56</v>
      </c>
      <c r="AE185" s="411" t="s">
        <v>56</v>
      </c>
      <c r="AF185" s="411" t="s">
        <v>56</v>
      </c>
      <c r="AG185" s="168" t="s">
        <v>1160</v>
      </c>
      <c r="AH185" s="169">
        <v>42468</v>
      </c>
      <c r="AI185" s="169">
        <v>42558</v>
      </c>
      <c r="AJ185" s="411" t="s">
        <v>1147</v>
      </c>
      <c r="AK185" s="134" t="s">
        <v>241</v>
      </c>
      <c r="AL185" s="1152" t="s">
        <v>56</v>
      </c>
      <c r="AM185" s="1152" t="s">
        <v>56</v>
      </c>
      <c r="AN185" s="1152" t="s">
        <v>56</v>
      </c>
      <c r="AO185" s="1152" t="s">
        <v>56</v>
      </c>
      <c r="AP185" s="1152" t="s">
        <v>56</v>
      </c>
      <c r="AQ185" s="1153">
        <v>6510000</v>
      </c>
      <c r="AR185" s="1153">
        <v>6510000</v>
      </c>
      <c r="AS185" s="138"/>
      <c r="AT185" s="1153">
        <v>6510000</v>
      </c>
      <c r="AU185" s="138"/>
      <c r="AV185" s="138"/>
      <c r="AW185" s="138"/>
      <c r="AX185" s="138"/>
      <c r="AY185" s="138"/>
      <c r="AZ185" s="138"/>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c r="IK185" s="45"/>
      <c r="IL185" s="45"/>
      <c r="IM185" s="45"/>
      <c r="IN185" s="45"/>
      <c r="IO185" s="45"/>
      <c r="IP185" s="45"/>
      <c r="IQ185" s="45"/>
      <c r="IR185" s="45"/>
      <c r="IS185" s="45"/>
      <c r="IT185" s="45"/>
      <c r="IU185" s="45"/>
      <c r="IV185" s="45"/>
      <c r="IW185" s="45"/>
      <c r="IX185" s="45"/>
      <c r="IY185" s="45"/>
      <c r="IZ185" s="45"/>
      <c r="JA185" s="45"/>
      <c r="JB185" s="45"/>
      <c r="JC185" s="45"/>
      <c r="JD185" s="45"/>
      <c r="JE185" s="45"/>
      <c r="JF185" s="45"/>
      <c r="JG185" s="45"/>
      <c r="JH185" s="45"/>
      <c r="JI185" s="45"/>
      <c r="JJ185" s="45"/>
      <c r="JK185" s="45"/>
      <c r="JL185" s="45"/>
      <c r="JM185" s="45"/>
    </row>
    <row r="186" spans="1:273" s="259" customFormat="1" ht="135" customHeight="1" x14ac:dyDescent="0.25">
      <c r="A186" s="832">
        <v>164</v>
      </c>
      <c r="B186" s="833" t="s">
        <v>989</v>
      </c>
      <c r="C186" s="836">
        <v>80101706</v>
      </c>
      <c r="D186" s="174" t="s">
        <v>949</v>
      </c>
      <c r="E186" s="836" t="s">
        <v>125</v>
      </c>
      <c r="F186" s="836">
        <v>1</v>
      </c>
      <c r="G186" s="834" t="s">
        <v>164</v>
      </c>
      <c r="H186" s="485" t="s">
        <v>1092</v>
      </c>
      <c r="I186" s="836" t="s">
        <v>96</v>
      </c>
      <c r="J186" s="836" t="s">
        <v>847</v>
      </c>
      <c r="K186" s="836" t="s">
        <v>108</v>
      </c>
      <c r="L186" s="56">
        <v>35700000</v>
      </c>
      <c r="M186" s="56">
        <v>35700000</v>
      </c>
      <c r="N186" s="838" t="s">
        <v>81</v>
      </c>
      <c r="O186" s="838" t="s">
        <v>56</v>
      </c>
      <c r="P186" s="795" t="s">
        <v>126</v>
      </c>
      <c r="Q186" s="45"/>
      <c r="R186" s="172" t="s">
        <v>1161</v>
      </c>
      <c r="S186" s="172" t="s">
        <v>756</v>
      </c>
      <c r="T186" s="28">
        <v>42472</v>
      </c>
      <c r="U186" s="1012" t="s">
        <v>1215</v>
      </c>
      <c r="V186" s="181" t="s">
        <v>212</v>
      </c>
      <c r="W186" s="1005">
        <v>35700000</v>
      </c>
      <c r="X186" s="138"/>
      <c r="Y186" s="134">
        <f t="shared" si="3"/>
        <v>35700000</v>
      </c>
      <c r="Z186" s="411" t="s">
        <v>1216</v>
      </c>
      <c r="AA186" s="411" t="s">
        <v>1217</v>
      </c>
      <c r="AB186" s="411" t="s">
        <v>225</v>
      </c>
      <c r="AC186" s="181"/>
      <c r="AD186" s="411" t="s">
        <v>56</v>
      </c>
      <c r="AE186" s="411" t="s">
        <v>56</v>
      </c>
      <c r="AF186" s="411" t="s">
        <v>56</v>
      </c>
      <c r="AG186" s="168" t="s">
        <v>1218</v>
      </c>
      <c r="AH186" s="169">
        <v>42472</v>
      </c>
      <c r="AI186" s="169">
        <v>42729</v>
      </c>
      <c r="AJ186" s="411" t="s">
        <v>389</v>
      </c>
      <c r="AK186" s="134" t="s">
        <v>390</v>
      </c>
      <c r="AL186" s="1152" t="s">
        <v>56</v>
      </c>
      <c r="AM186" s="1152" t="s">
        <v>56</v>
      </c>
      <c r="AN186" s="1152" t="s">
        <v>56</v>
      </c>
      <c r="AO186" s="1152" t="s">
        <v>56</v>
      </c>
      <c r="AP186" s="1152" t="s">
        <v>56</v>
      </c>
      <c r="AQ186" s="1153">
        <v>4200000</v>
      </c>
      <c r="AR186" s="1237">
        <v>4200000</v>
      </c>
      <c r="AS186" s="138"/>
      <c r="AT186" s="1237">
        <v>4200000</v>
      </c>
      <c r="AU186" s="138"/>
      <c r="AV186" s="138"/>
      <c r="AW186" s="138"/>
      <c r="AX186" s="138"/>
      <c r="AY186" s="138"/>
      <c r="AZ186" s="138"/>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c r="IK186" s="45"/>
      <c r="IL186" s="45"/>
      <c r="IM186" s="45"/>
      <c r="IN186" s="45"/>
      <c r="IO186" s="45"/>
      <c r="IP186" s="45"/>
      <c r="IQ186" s="45"/>
      <c r="IR186" s="45"/>
      <c r="IS186" s="45"/>
      <c r="IT186" s="45"/>
      <c r="IU186" s="45"/>
      <c r="IV186" s="45"/>
      <c r="IW186" s="45"/>
      <c r="IX186" s="45"/>
      <c r="IY186" s="45"/>
      <c r="IZ186" s="45"/>
      <c r="JA186" s="45"/>
      <c r="JB186" s="45"/>
      <c r="JC186" s="45"/>
      <c r="JD186" s="45"/>
      <c r="JE186" s="45"/>
      <c r="JF186" s="45"/>
      <c r="JG186" s="45"/>
      <c r="JH186" s="45"/>
      <c r="JI186" s="45"/>
      <c r="JJ186" s="45"/>
      <c r="JK186" s="45"/>
      <c r="JL186" s="45"/>
      <c r="JM186" s="45"/>
    </row>
    <row r="187" spans="1:273" s="259" customFormat="1" ht="135" customHeight="1" x14ac:dyDescent="0.25">
      <c r="A187" s="832">
        <v>165</v>
      </c>
      <c r="B187" s="833" t="s">
        <v>989</v>
      </c>
      <c r="C187" s="836">
        <v>80101706</v>
      </c>
      <c r="D187" s="174" t="s">
        <v>949</v>
      </c>
      <c r="E187" s="836" t="s">
        <v>125</v>
      </c>
      <c r="F187" s="836">
        <v>1</v>
      </c>
      <c r="G187" s="834" t="s">
        <v>164</v>
      </c>
      <c r="H187" s="485" t="s">
        <v>1092</v>
      </c>
      <c r="I187" s="836" t="s">
        <v>96</v>
      </c>
      <c r="J187" s="836" t="s">
        <v>847</v>
      </c>
      <c r="K187" s="836" t="s">
        <v>108</v>
      </c>
      <c r="L187" s="56">
        <v>35700000</v>
      </c>
      <c r="M187" s="56">
        <v>35700000</v>
      </c>
      <c r="N187" s="838" t="s">
        <v>81</v>
      </c>
      <c r="O187" s="838" t="s">
        <v>56</v>
      </c>
      <c r="P187" s="795" t="s">
        <v>126</v>
      </c>
      <c r="Q187" s="45"/>
      <c r="R187" s="172" t="s">
        <v>1219</v>
      </c>
      <c r="S187" s="172" t="s">
        <v>762</v>
      </c>
      <c r="T187" s="28">
        <v>42472</v>
      </c>
      <c r="U187" s="1012" t="s">
        <v>1220</v>
      </c>
      <c r="V187" s="181" t="s">
        <v>212</v>
      </c>
      <c r="W187" s="1005">
        <v>35700000</v>
      </c>
      <c r="X187" s="138"/>
      <c r="Y187" s="134">
        <f t="shared" si="3"/>
        <v>35700000</v>
      </c>
      <c r="Z187" s="411" t="s">
        <v>1216</v>
      </c>
      <c r="AA187" s="411" t="s">
        <v>1221</v>
      </c>
      <c r="AB187" s="411" t="s">
        <v>225</v>
      </c>
      <c r="AC187" s="181" t="s">
        <v>1222</v>
      </c>
      <c r="AD187" s="411" t="s">
        <v>56</v>
      </c>
      <c r="AE187" s="411" t="s">
        <v>56</v>
      </c>
      <c r="AF187" s="411" t="s">
        <v>56</v>
      </c>
      <c r="AG187" s="168" t="s">
        <v>1218</v>
      </c>
      <c r="AH187" s="169">
        <v>42472</v>
      </c>
      <c r="AI187" s="169">
        <v>42729</v>
      </c>
      <c r="AJ187" s="411" t="s">
        <v>389</v>
      </c>
      <c r="AK187" s="134" t="s">
        <v>390</v>
      </c>
      <c r="AL187" s="1152" t="s">
        <v>56</v>
      </c>
      <c r="AM187" s="1152" t="s">
        <v>56</v>
      </c>
      <c r="AN187" s="1152" t="s">
        <v>56</v>
      </c>
      <c r="AO187" s="1152" t="s">
        <v>56</v>
      </c>
      <c r="AP187" s="1152" t="s">
        <v>56</v>
      </c>
      <c r="AQ187" s="1153">
        <v>4200000</v>
      </c>
      <c r="AR187" s="1237">
        <v>4200000</v>
      </c>
      <c r="AS187" s="138"/>
      <c r="AT187" s="1237">
        <v>4200000</v>
      </c>
      <c r="AU187" s="138"/>
      <c r="AV187" s="138"/>
      <c r="AW187" s="138"/>
      <c r="AX187" s="138"/>
      <c r="AY187" s="138"/>
      <c r="AZ187" s="138"/>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c r="EV187" s="45"/>
      <c r="EW187" s="45"/>
      <c r="EX187" s="45"/>
      <c r="EY187" s="45"/>
      <c r="EZ187" s="45"/>
      <c r="FA187" s="45"/>
      <c r="FB187" s="45"/>
      <c r="FC187" s="45"/>
      <c r="FD187" s="45"/>
      <c r="FE187" s="45"/>
      <c r="FF187" s="45"/>
      <c r="FG187" s="45"/>
      <c r="FH187" s="45"/>
      <c r="FI187" s="45"/>
      <c r="FJ187" s="45"/>
      <c r="FK187" s="45"/>
      <c r="FL187" s="45"/>
      <c r="FM187" s="45"/>
      <c r="FN187" s="45"/>
      <c r="FO187" s="45"/>
      <c r="FP187" s="45"/>
      <c r="FQ187" s="45"/>
      <c r="FR187" s="45"/>
      <c r="FS187" s="45"/>
      <c r="FT187" s="45"/>
      <c r="FU187" s="45"/>
      <c r="FV187" s="45"/>
      <c r="FW187" s="45"/>
      <c r="FX187" s="45"/>
      <c r="FY187" s="45"/>
      <c r="FZ187" s="45"/>
      <c r="GA187" s="45"/>
      <c r="GB187" s="45"/>
      <c r="GC187" s="45"/>
      <c r="GD187" s="45"/>
      <c r="GE187" s="45"/>
      <c r="GF187" s="45"/>
      <c r="GG187" s="45"/>
      <c r="GH187" s="45"/>
      <c r="GI187" s="45"/>
      <c r="GJ187" s="45"/>
      <c r="GK187" s="45"/>
      <c r="GL187" s="45"/>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c r="IK187" s="45"/>
      <c r="IL187" s="45"/>
      <c r="IM187" s="45"/>
      <c r="IN187" s="45"/>
      <c r="IO187" s="45"/>
      <c r="IP187" s="45"/>
      <c r="IQ187" s="45"/>
      <c r="IR187" s="45"/>
      <c r="IS187" s="45"/>
      <c r="IT187" s="45"/>
      <c r="IU187" s="45"/>
      <c r="IV187" s="45"/>
      <c r="IW187" s="45"/>
      <c r="IX187" s="45"/>
      <c r="IY187" s="45"/>
      <c r="IZ187" s="45"/>
      <c r="JA187" s="45"/>
      <c r="JB187" s="45"/>
      <c r="JC187" s="45"/>
      <c r="JD187" s="45"/>
      <c r="JE187" s="45"/>
      <c r="JF187" s="45"/>
      <c r="JG187" s="45"/>
      <c r="JH187" s="45"/>
      <c r="JI187" s="45"/>
      <c r="JJ187" s="45"/>
      <c r="JK187" s="45"/>
      <c r="JL187" s="45"/>
      <c r="JM187" s="45"/>
    </row>
    <row r="188" spans="1:273" s="259" customFormat="1" ht="150" customHeight="1" x14ac:dyDescent="0.25">
      <c r="A188" s="832">
        <v>166</v>
      </c>
      <c r="B188" s="833" t="s">
        <v>989</v>
      </c>
      <c r="C188" s="836">
        <v>80101706</v>
      </c>
      <c r="D188" s="174" t="s">
        <v>122</v>
      </c>
      <c r="E188" s="836" t="s">
        <v>125</v>
      </c>
      <c r="F188" s="836">
        <v>1</v>
      </c>
      <c r="G188" s="834" t="s">
        <v>164</v>
      </c>
      <c r="H188" s="485" t="s">
        <v>1092</v>
      </c>
      <c r="I188" s="836" t="s">
        <v>96</v>
      </c>
      <c r="J188" s="836" t="s">
        <v>847</v>
      </c>
      <c r="K188" s="836" t="s">
        <v>108</v>
      </c>
      <c r="L188" s="56">
        <v>56950000</v>
      </c>
      <c r="M188" s="56">
        <v>56950000</v>
      </c>
      <c r="N188" s="838" t="s">
        <v>81</v>
      </c>
      <c r="O188" s="838" t="s">
        <v>56</v>
      </c>
      <c r="P188" s="795" t="s">
        <v>126</v>
      </c>
      <c r="Q188" s="45"/>
      <c r="R188" s="172" t="s">
        <v>1162</v>
      </c>
      <c r="S188" s="172" t="s">
        <v>384</v>
      </c>
      <c r="T188" s="28">
        <v>42472</v>
      </c>
      <c r="U188" s="1012" t="s">
        <v>1223</v>
      </c>
      <c r="V188" s="181" t="s">
        <v>212</v>
      </c>
      <c r="W188" s="1005">
        <v>56950000</v>
      </c>
      <c r="X188" s="138"/>
      <c r="Y188" s="134">
        <f t="shared" si="3"/>
        <v>56950000</v>
      </c>
      <c r="Z188" s="411" t="s">
        <v>1224</v>
      </c>
      <c r="AA188" s="411" t="s">
        <v>1225</v>
      </c>
      <c r="AB188" s="411" t="s">
        <v>225</v>
      </c>
      <c r="AC188" s="181"/>
      <c r="AD188" s="411" t="s">
        <v>56</v>
      </c>
      <c r="AE188" s="411" t="s">
        <v>56</v>
      </c>
      <c r="AF188" s="411" t="s">
        <v>56</v>
      </c>
      <c r="AG188" s="168" t="s">
        <v>1218</v>
      </c>
      <c r="AH188" s="169">
        <v>42472</v>
      </c>
      <c r="AI188" s="169">
        <v>42729</v>
      </c>
      <c r="AJ188" s="411" t="s">
        <v>389</v>
      </c>
      <c r="AK188" s="134" t="s">
        <v>390</v>
      </c>
      <c r="AL188" s="1152" t="s">
        <v>56</v>
      </c>
      <c r="AM188" s="1152" t="s">
        <v>56</v>
      </c>
      <c r="AN188" s="1152" t="s">
        <v>56</v>
      </c>
      <c r="AO188" s="1152" t="s">
        <v>56</v>
      </c>
      <c r="AP188" s="1152" t="s">
        <v>56</v>
      </c>
      <c r="AQ188" s="1153">
        <v>6700000</v>
      </c>
      <c r="AR188" s="1237">
        <v>6700000</v>
      </c>
      <c r="AS188" s="138"/>
      <c r="AT188" s="1237">
        <v>6700000</v>
      </c>
      <c r="AU188" s="138"/>
      <c r="AV188" s="138"/>
      <c r="AW188" s="138"/>
      <c r="AX188" s="138"/>
      <c r="AY188" s="138"/>
      <c r="AZ188" s="138"/>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c r="HB188" s="45"/>
      <c r="HC188" s="45"/>
      <c r="HD188" s="45"/>
      <c r="HE188" s="45"/>
      <c r="HF188" s="45"/>
      <c r="HG188" s="45"/>
      <c r="HH188" s="45"/>
      <c r="HI188" s="45"/>
      <c r="HJ188" s="45"/>
      <c r="HK188" s="45"/>
      <c r="HL188" s="45"/>
      <c r="HM188" s="45"/>
      <c r="HN188" s="45"/>
      <c r="HO188" s="45"/>
      <c r="HP188" s="45"/>
      <c r="HQ188" s="45"/>
      <c r="HR188" s="45"/>
      <c r="HS188" s="45"/>
      <c r="HT188" s="45"/>
      <c r="HU188" s="45"/>
      <c r="HV188" s="45"/>
      <c r="HW188" s="45"/>
      <c r="HX188" s="45"/>
      <c r="HY188" s="45"/>
      <c r="HZ188" s="45"/>
      <c r="IA188" s="45"/>
      <c r="IB188" s="45"/>
      <c r="IC188" s="45"/>
      <c r="ID188" s="45"/>
      <c r="IE188" s="45"/>
      <c r="IF188" s="45"/>
      <c r="IG188" s="45"/>
      <c r="IH188" s="45"/>
      <c r="II188" s="45"/>
      <c r="IJ188" s="45"/>
      <c r="IK188" s="45"/>
      <c r="IL188" s="45"/>
      <c r="IM188" s="45"/>
      <c r="IN188" s="45"/>
      <c r="IO188" s="45"/>
      <c r="IP188" s="45"/>
      <c r="IQ188" s="45"/>
      <c r="IR188" s="45"/>
      <c r="IS188" s="45"/>
      <c r="IT188" s="45"/>
      <c r="IU188" s="45"/>
      <c r="IV188" s="45"/>
      <c r="IW188" s="45"/>
      <c r="IX188" s="45"/>
      <c r="IY188" s="45"/>
      <c r="IZ188" s="45"/>
      <c r="JA188" s="45"/>
      <c r="JB188" s="45"/>
      <c r="JC188" s="45"/>
      <c r="JD188" s="45"/>
      <c r="JE188" s="45"/>
      <c r="JF188" s="45"/>
      <c r="JG188" s="45"/>
      <c r="JH188" s="45"/>
      <c r="JI188" s="45"/>
      <c r="JJ188" s="45"/>
      <c r="JK188" s="45"/>
      <c r="JL188" s="45"/>
      <c r="JM188" s="45"/>
    </row>
    <row r="189" spans="1:273" s="259" customFormat="1" ht="63.75" customHeight="1" x14ac:dyDescent="0.25">
      <c r="A189" s="832">
        <v>167</v>
      </c>
      <c r="B189" s="833" t="s">
        <v>989</v>
      </c>
      <c r="C189" s="836">
        <v>80101706</v>
      </c>
      <c r="D189" s="174" t="s">
        <v>123</v>
      </c>
      <c r="E189" s="836" t="s">
        <v>125</v>
      </c>
      <c r="F189" s="836">
        <v>1</v>
      </c>
      <c r="G189" s="834" t="s">
        <v>164</v>
      </c>
      <c r="H189" s="485" t="s">
        <v>1092</v>
      </c>
      <c r="I189" s="836" t="s">
        <v>96</v>
      </c>
      <c r="J189" s="836" t="s">
        <v>847</v>
      </c>
      <c r="K189" s="836" t="s">
        <v>108</v>
      </c>
      <c r="L189" s="56">
        <v>20527500</v>
      </c>
      <c r="M189" s="56">
        <v>20527500</v>
      </c>
      <c r="N189" s="838" t="s">
        <v>81</v>
      </c>
      <c r="O189" s="838" t="s">
        <v>56</v>
      </c>
      <c r="P189" s="795" t="s">
        <v>126</v>
      </c>
      <c r="Q189" s="45"/>
      <c r="R189" s="172" t="s">
        <v>1226</v>
      </c>
      <c r="S189" s="172" t="s">
        <v>766</v>
      </c>
      <c r="T189" s="28">
        <v>42472</v>
      </c>
      <c r="U189" s="1012" t="s">
        <v>1227</v>
      </c>
      <c r="V189" s="181" t="s">
        <v>212</v>
      </c>
      <c r="W189" s="1005">
        <v>20527500</v>
      </c>
      <c r="X189" s="138"/>
      <c r="Y189" s="134">
        <f t="shared" si="3"/>
        <v>20527500</v>
      </c>
      <c r="Z189" s="411" t="s">
        <v>1228</v>
      </c>
      <c r="AA189" s="411" t="s">
        <v>1229</v>
      </c>
      <c r="AB189" s="411" t="s">
        <v>225</v>
      </c>
      <c r="AC189" s="181" t="s">
        <v>1230</v>
      </c>
      <c r="AD189" s="411" t="s">
        <v>56</v>
      </c>
      <c r="AE189" s="411" t="s">
        <v>56</v>
      </c>
      <c r="AF189" s="411" t="s">
        <v>56</v>
      </c>
      <c r="AG189" s="168" t="s">
        <v>1218</v>
      </c>
      <c r="AH189" s="169">
        <v>42472</v>
      </c>
      <c r="AI189" s="169">
        <v>42729</v>
      </c>
      <c r="AJ189" s="411" t="s">
        <v>389</v>
      </c>
      <c r="AK189" s="134" t="s">
        <v>390</v>
      </c>
      <c r="AL189" s="1152" t="s">
        <v>56</v>
      </c>
      <c r="AM189" s="1152" t="s">
        <v>56</v>
      </c>
      <c r="AN189" s="1152" t="s">
        <v>56</v>
      </c>
      <c r="AO189" s="1152" t="s">
        <v>56</v>
      </c>
      <c r="AP189" s="1152" t="s">
        <v>56</v>
      </c>
      <c r="AQ189" s="1153">
        <v>2415000</v>
      </c>
      <c r="AR189" s="1237">
        <v>2415000</v>
      </c>
      <c r="AS189" s="138"/>
      <c r="AT189" s="1237">
        <v>2415000</v>
      </c>
      <c r="AU189" s="138"/>
      <c r="AV189" s="138"/>
      <c r="AW189" s="138"/>
      <c r="AX189" s="138"/>
      <c r="AY189" s="138"/>
      <c r="AZ189" s="138"/>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c r="EU189" s="45"/>
      <c r="EV189" s="45"/>
      <c r="EW189" s="45"/>
      <c r="EX189" s="45"/>
      <c r="EY189" s="45"/>
      <c r="EZ189" s="45"/>
      <c r="FA189" s="45"/>
      <c r="FB189" s="45"/>
      <c r="FC189" s="45"/>
      <c r="FD189" s="45"/>
      <c r="FE189" s="45"/>
      <c r="FF189" s="45"/>
      <c r="FG189" s="45"/>
      <c r="FH189" s="45"/>
      <c r="FI189" s="45"/>
      <c r="FJ189" s="45"/>
      <c r="FK189" s="45"/>
      <c r="FL189" s="45"/>
      <c r="FM189" s="45"/>
      <c r="FN189" s="45"/>
      <c r="FO189" s="45"/>
      <c r="FP189" s="45"/>
      <c r="FQ189" s="45"/>
      <c r="FR189" s="45"/>
      <c r="FS189" s="45"/>
      <c r="FT189" s="45"/>
      <c r="FU189" s="45"/>
      <c r="FV189" s="45"/>
      <c r="FW189" s="45"/>
      <c r="FX189" s="45"/>
      <c r="FY189" s="45"/>
      <c r="FZ189" s="45"/>
      <c r="GA189" s="45"/>
      <c r="GB189" s="45"/>
      <c r="GC189" s="45"/>
      <c r="GD189" s="45"/>
      <c r="GE189" s="45"/>
      <c r="GF189" s="45"/>
      <c r="GG189" s="45"/>
      <c r="GH189" s="45"/>
      <c r="GI189" s="45"/>
      <c r="GJ189" s="45"/>
      <c r="GK189" s="45"/>
      <c r="GL189" s="45"/>
      <c r="GM189" s="45"/>
      <c r="GN189" s="45"/>
      <c r="GO189" s="45"/>
      <c r="GP189" s="45"/>
      <c r="GQ189" s="45"/>
      <c r="GR189" s="45"/>
      <c r="GS189" s="45"/>
      <c r="GT189" s="45"/>
      <c r="GU189" s="45"/>
      <c r="GV189" s="45"/>
      <c r="GW189" s="45"/>
      <c r="GX189" s="45"/>
      <c r="GY189" s="45"/>
      <c r="GZ189" s="45"/>
      <c r="HA189" s="45"/>
      <c r="HB189" s="45"/>
      <c r="HC189" s="45"/>
      <c r="HD189" s="45"/>
      <c r="HE189" s="45"/>
      <c r="HF189" s="45"/>
      <c r="HG189" s="45"/>
      <c r="HH189" s="45"/>
      <c r="HI189" s="45"/>
      <c r="HJ189" s="45"/>
      <c r="HK189" s="45"/>
      <c r="HL189" s="45"/>
      <c r="HM189" s="45"/>
      <c r="HN189" s="45"/>
      <c r="HO189" s="45"/>
      <c r="HP189" s="45"/>
      <c r="HQ189" s="45"/>
      <c r="HR189" s="45"/>
      <c r="HS189" s="45"/>
      <c r="HT189" s="45"/>
      <c r="HU189" s="45"/>
      <c r="HV189" s="45"/>
      <c r="HW189" s="45"/>
      <c r="HX189" s="45"/>
      <c r="HY189" s="45"/>
      <c r="HZ189" s="45"/>
      <c r="IA189" s="45"/>
      <c r="IB189" s="45"/>
      <c r="IC189" s="45"/>
      <c r="ID189" s="45"/>
      <c r="IE189" s="45"/>
      <c r="IF189" s="45"/>
      <c r="IG189" s="45"/>
      <c r="IH189" s="45"/>
      <c r="II189" s="45"/>
      <c r="IJ189" s="45"/>
      <c r="IK189" s="45"/>
      <c r="IL189" s="45"/>
      <c r="IM189" s="45"/>
      <c r="IN189" s="45"/>
      <c r="IO189" s="45"/>
      <c r="IP189" s="45"/>
      <c r="IQ189" s="45"/>
      <c r="IR189" s="45"/>
      <c r="IS189" s="45"/>
      <c r="IT189" s="45"/>
      <c r="IU189" s="45"/>
      <c r="IV189" s="45"/>
      <c r="IW189" s="45"/>
      <c r="IX189" s="45"/>
      <c r="IY189" s="45"/>
      <c r="IZ189" s="45"/>
      <c r="JA189" s="45"/>
      <c r="JB189" s="45"/>
      <c r="JC189" s="45"/>
      <c r="JD189" s="45"/>
      <c r="JE189" s="45"/>
      <c r="JF189" s="45"/>
      <c r="JG189" s="45"/>
      <c r="JH189" s="45"/>
      <c r="JI189" s="45"/>
      <c r="JJ189" s="45"/>
      <c r="JK189" s="45"/>
      <c r="JL189" s="45"/>
      <c r="JM189" s="45"/>
    </row>
    <row r="190" spans="1:273" s="259" customFormat="1" ht="53.25" customHeight="1" x14ac:dyDescent="0.25">
      <c r="A190" s="832">
        <v>168</v>
      </c>
      <c r="B190" s="833" t="s">
        <v>989</v>
      </c>
      <c r="C190" s="836">
        <v>80101706</v>
      </c>
      <c r="D190" s="174" t="s">
        <v>123</v>
      </c>
      <c r="E190" s="836" t="s">
        <v>125</v>
      </c>
      <c r="F190" s="836">
        <v>1</v>
      </c>
      <c r="G190" s="834" t="s">
        <v>164</v>
      </c>
      <c r="H190" s="485" t="s">
        <v>1092</v>
      </c>
      <c r="I190" s="836" t="s">
        <v>96</v>
      </c>
      <c r="J190" s="836" t="s">
        <v>847</v>
      </c>
      <c r="K190" s="836" t="s">
        <v>108</v>
      </c>
      <c r="L190" s="56">
        <v>20527500</v>
      </c>
      <c r="M190" s="56">
        <v>20527500</v>
      </c>
      <c r="N190" s="838" t="s">
        <v>81</v>
      </c>
      <c r="O190" s="838" t="s">
        <v>56</v>
      </c>
      <c r="P190" s="795" t="s">
        <v>126</v>
      </c>
      <c r="Q190" s="45"/>
      <c r="R190" s="172" t="s">
        <v>1231</v>
      </c>
      <c r="S190" s="172" t="s">
        <v>684</v>
      </c>
      <c r="T190" s="28">
        <v>42472</v>
      </c>
      <c r="U190" s="1012" t="s">
        <v>1232</v>
      </c>
      <c r="V190" s="181" t="s">
        <v>212</v>
      </c>
      <c r="W190" s="1005">
        <v>20527500</v>
      </c>
      <c r="X190" s="138"/>
      <c r="Y190" s="134">
        <f t="shared" si="3"/>
        <v>20527500</v>
      </c>
      <c r="Z190" s="411" t="s">
        <v>1228</v>
      </c>
      <c r="AA190" s="181" t="s">
        <v>1233</v>
      </c>
      <c r="AB190" s="181" t="s">
        <v>225</v>
      </c>
      <c r="AC190" s="181" t="s">
        <v>1234</v>
      </c>
      <c r="AD190" s="181" t="s">
        <v>56</v>
      </c>
      <c r="AE190" s="181" t="s">
        <v>56</v>
      </c>
      <c r="AF190" s="181" t="s">
        <v>56</v>
      </c>
      <c r="AG190" s="1013" t="s">
        <v>1218</v>
      </c>
      <c r="AH190" s="1014">
        <v>42472</v>
      </c>
      <c r="AI190" s="1014">
        <v>42729</v>
      </c>
      <c r="AJ190" s="181" t="s">
        <v>389</v>
      </c>
      <c r="AK190" s="30" t="s">
        <v>390</v>
      </c>
      <c r="AL190" s="1152" t="s">
        <v>56</v>
      </c>
      <c r="AM190" s="1152" t="s">
        <v>56</v>
      </c>
      <c r="AN190" s="1152" t="s">
        <v>56</v>
      </c>
      <c r="AO190" s="1152" t="s">
        <v>56</v>
      </c>
      <c r="AP190" s="1152" t="s">
        <v>56</v>
      </c>
      <c r="AQ190" s="1153">
        <v>2415000</v>
      </c>
      <c r="AR190" s="1237">
        <v>2415000</v>
      </c>
      <c r="AS190" s="138"/>
      <c r="AT190" s="1237">
        <v>2415000</v>
      </c>
      <c r="AU190" s="138"/>
      <c r="AV190" s="138"/>
      <c r="AW190" s="138"/>
      <c r="AX190" s="138"/>
      <c r="AY190" s="138"/>
      <c r="AZ190" s="138"/>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c r="EU190" s="45"/>
      <c r="EV190" s="45"/>
      <c r="EW190" s="45"/>
      <c r="EX190" s="45"/>
      <c r="EY190" s="45"/>
      <c r="EZ190" s="45"/>
      <c r="FA190" s="45"/>
      <c r="FB190" s="45"/>
      <c r="FC190" s="45"/>
      <c r="FD190" s="45"/>
      <c r="FE190" s="45"/>
      <c r="FF190" s="45"/>
      <c r="FG190" s="45"/>
      <c r="FH190" s="45"/>
      <c r="FI190" s="45"/>
      <c r="FJ190" s="45"/>
      <c r="FK190" s="45"/>
      <c r="FL190" s="45"/>
      <c r="FM190" s="45"/>
      <c r="FN190" s="45"/>
      <c r="FO190" s="45"/>
      <c r="FP190" s="45"/>
      <c r="FQ190" s="45"/>
      <c r="FR190" s="45"/>
      <c r="FS190" s="45"/>
      <c r="FT190" s="45"/>
      <c r="FU190" s="45"/>
      <c r="FV190" s="45"/>
      <c r="FW190" s="45"/>
      <c r="FX190" s="45"/>
      <c r="FY190" s="45"/>
      <c r="FZ190" s="45"/>
      <c r="GA190" s="45"/>
      <c r="GB190" s="45"/>
      <c r="GC190" s="45"/>
      <c r="GD190" s="45"/>
      <c r="GE190" s="45"/>
      <c r="GF190" s="45"/>
      <c r="GG190" s="45"/>
      <c r="GH190" s="45"/>
      <c r="GI190" s="45"/>
      <c r="GJ190" s="45"/>
      <c r="GK190" s="45"/>
      <c r="GL190" s="45"/>
      <c r="GM190" s="45"/>
      <c r="GN190" s="45"/>
      <c r="GO190" s="45"/>
      <c r="GP190" s="45"/>
      <c r="GQ190" s="45"/>
      <c r="GR190" s="45"/>
      <c r="GS190" s="45"/>
      <c r="GT190" s="45"/>
      <c r="GU190" s="45"/>
      <c r="GV190" s="45"/>
      <c r="GW190" s="45"/>
      <c r="GX190" s="45"/>
      <c r="GY190" s="45"/>
      <c r="GZ190" s="45"/>
      <c r="HA190" s="45"/>
      <c r="HB190" s="45"/>
      <c r="HC190" s="45"/>
      <c r="HD190" s="45"/>
      <c r="HE190" s="45"/>
      <c r="HF190" s="45"/>
      <c r="HG190" s="45"/>
      <c r="HH190" s="45"/>
      <c r="HI190" s="45"/>
      <c r="HJ190" s="45"/>
      <c r="HK190" s="45"/>
      <c r="HL190" s="45"/>
      <c r="HM190" s="45"/>
      <c r="HN190" s="45"/>
      <c r="HO190" s="45"/>
      <c r="HP190" s="45"/>
      <c r="HQ190" s="45"/>
      <c r="HR190" s="45"/>
      <c r="HS190" s="45"/>
      <c r="HT190" s="45"/>
      <c r="HU190" s="45"/>
      <c r="HV190" s="45"/>
      <c r="HW190" s="45"/>
      <c r="HX190" s="45"/>
      <c r="HY190" s="45"/>
      <c r="HZ190" s="45"/>
      <c r="IA190" s="45"/>
      <c r="IB190" s="45"/>
      <c r="IC190" s="45"/>
      <c r="ID190" s="45"/>
      <c r="IE190" s="45"/>
      <c r="IF190" s="45"/>
      <c r="IG190" s="45"/>
      <c r="IH190" s="45"/>
      <c r="II190" s="45"/>
      <c r="IJ190" s="45"/>
      <c r="IK190" s="45"/>
      <c r="IL190" s="45"/>
      <c r="IM190" s="45"/>
      <c r="IN190" s="45"/>
      <c r="IO190" s="45"/>
      <c r="IP190" s="45"/>
      <c r="IQ190" s="45"/>
      <c r="IR190" s="45"/>
      <c r="IS190" s="45"/>
      <c r="IT190" s="45"/>
      <c r="IU190" s="45"/>
      <c r="IV190" s="45"/>
      <c r="IW190" s="45"/>
      <c r="IX190" s="45"/>
      <c r="IY190" s="45"/>
      <c r="IZ190" s="45"/>
      <c r="JA190" s="45"/>
      <c r="JB190" s="45"/>
      <c r="JC190" s="45"/>
      <c r="JD190" s="45"/>
      <c r="JE190" s="45"/>
      <c r="JF190" s="45"/>
      <c r="JG190" s="45"/>
      <c r="JH190" s="45"/>
      <c r="JI190" s="45"/>
      <c r="JJ190" s="45"/>
      <c r="JK190" s="45"/>
      <c r="JL190" s="45"/>
      <c r="JM190" s="45"/>
    </row>
    <row r="191" spans="1:273" s="259" customFormat="1" ht="135" customHeight="1" x14ac:dyDescent="0.25">
      <c r="A191" s="832">
        <v>169</v>
      </c>
      <c r="B191" s="833" t="s">
        <v>989</v>
      </c>
      <c r="C191" s="836">
        <v>80101706</v>
      </c>
      <c r="D191" s="174" t="s">
        <v>950</v>
      </c>
      <c r="E191" s="836" t="s">
        <v>125</v>
      </c>
      <c r="F191" s="836">
        <v>1</v>
      </c>
      <c r="G191" s="834" t="s">
        <v>164</v>
      </c>
      <c r="H191" s="485" t="s">
        <v>1092</v>
      </c>
      <c r="I191" s="836" t="s">
        <v>96</v>
      </c>
      <c r="J191" s="836" t="s">
        <v>847</v>
      </c>
      <c r="K191" s="836" t="s">
        <v>108</v>
      </c>
      <c r="L191" s="56">
        <v>13387500</v>
      </c>
      <c r="M191" s="56">
        <v>13387500</v>
      </c>
      <c r="N191" s="838" t="s">
        <v>81</v>
      </c>
      <c r="O191" s="838" t="s">
        <v>56</v>
      </c>
      <c r="P191" s="795" t="s">
        <v>126</v>
      </c>
      <c r="Q191" s="45"/>
      <c r="R191" s="172" t="s">
        <v>1235</v>
      </c>
      <c r="S191" s="172" t="s">
        <v>686</v>
      </c>
      <c r="T191" s="28">
        <v>42472</v>
      </c>
      <c r="U191" s="1012" t="s">
        <v>687</v>
      </c>
      <c r="V191" s="181" t="s">
        <v>296</v>
      </c>
      <c r="W191" s="1097">
        <v>13387500</v>
      </c>
      <c r="X191" s="138"/>
      <c r="Y191" s="134">
        <f t="shared" si="3"/>
        <v>13387500</v>
      </c>
      <c r="Z191" s="411" t="s">
        <v>1236</v>
      </c>
      <c r="AA191" s="411" t="s">
        <v>1237</v>
      </c>
      <c r="AB191" s="411" t="s">
        <v>225</v>
      </c>
      <c r="AC191" s="181" t="s">
        <v>1238</v>
      </c>
      <c r="AD191" s="411" t="s">
        <v>56</v>
      </c>
      <c r="AE191" s="411" t="s">
        <v>56</v>
      </c>
      <c r="AF191" s="411" t="s">
        <v>56</v>
      </c>
      <c r="AG191" s="168" t="s">
        <v>1218</v>
      </c>
      <c r="AH191" s="169">
        <v>42472</v>
      </c>
      <c r="AI191" s="169">
        <v>42729</v>
      </c>
      <c r="AJ191" s="411" t="s">
        <v>389</v>
      </c>
      <c r="AK191" s="134" t="s">
        <v>390</v>
      </c>
      <c r="AL191" s="1152" t="s">
        <v>56</v>
      </c>
      <c r="AM191" s="1152" t="s">
        <v>56</v>
      </c>
      <c r="AN191" s="1152" t="s">
        <v>56</v>
      </c>
      <c r="AO191" s="1152" t="s">
        <v>56</v>
      </c>
      <c r="AP191" s="1152" t="s">
        <v>56</v>
      </c>
      <c r="AQ191" s="1153">
        <v>1575000</v>
      </c>
      <c r="AR191" s="1237">
        <v>1575000</v>
      </c>
      <c r="AS191" s="138"/>
      <c r="AT191" s="1237">
        <v>1575000</v>
      </c>
      <c r="AU191" s="138"/>
      <c r="AV191" s="138"/>
      <c r="AW191" s="138"/>
      <c r="AX191" s="138"/>
      <c r="AY191" s="138"/>
      <c r="AZ191" s="138"/>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c r="EN191" s="45"/>
      <c r="EO191" s="45"/>
      <c r="EP191" s="45"/>
      <c r="EQ191" s="45"/>
      <c r="ER191" s="45"/>
      <c r="ES191" s="45"/>
      <c r="ET191" s="45"/>
      <c r="EU191" s="45"/>
      <c r="EV191" s="45"/>
      <c r="EW191" s="45"/>
      <c r="EX191" s="45"/>
      <c r="EY191" s="45"/>
      <c r="EZ191" s="45"/>
      <c r="FA191" s="45"/>
      <c r="FB191" s="45"/>
      <c r="FC191" s="45"/>
      <c r="FD191" s="45"/>
      <c r="FE191" s="45"/>
      <c r="FF191" s="45"/>
      <c r="FG191" s="45"/>
      <c r="FH191" s="45"/>
      <c r="FI191" s="45"/>
      <c r="FJ191" s="45"/>
      <c r="FK191" s="45"/>
      <c r="FL191" s="45"/>
      <c r="FM191" s="45"/>
      <c r="FN191" s="45"/>
      <c r="FO191" s="45"/>
      <c r="FP191" s="45"/>
      <c r="FQ191" s="45"/>
      <c r="FR191" s="45"/>
      <c r="FS191" s="45"/>
      <c r="FT191" s="45"/>
      <c r="FU191" s="45"/>
      <c r="FV191" s="45"/>
      <c r="FW191" s="45"/>
      <c r="FX191" s="45"/>
      <c r="FY191" s="45"/>
      <c r="FZ191" s="45"/>
      <c r="GA191" s="45"/>
      <c r="GB191" s="45"/>
      <c r="GC191" s="45"/>
      <c r="GD191" s="45"/>
      <c r="GE191" s="45"/>
      <c r="GF191" s="45"/>
      <c r="GG191" s="45"/>
      <c r="GH191" s="45"/>
      <c r="GI191" s="45"/>
      <c r="GJ191" s="45"/>
      <c r="GK191" s="45"/>
      <c r="GL191" s="45"/>
      <c r="GM191" s="45"/>
      <c r="GN191" s="45"/>
      <c r="GO191" s="45"/>
      <c r="GP191" s="45"/>
      <c r="GQ191" s="45"/>
      <c r="GR191" s="45"/>
      <c r="GS191" s="45"/>
      <c r="GT191" s="45"/>
      <c r="GU191" s="45"/>
      <c r="GV191" s="45"/>
      <c r="GW191" s="45"/>
      <c r="GX191" s="45"/>
      <c r="GY191" s="45"/>
      <c r="GZ191" s="45"/>
      <c r="HA191" s="45"/>
      <c r="HB191" s="45"/>
      <c r="HC191" s="45"/>
      <c r="HD191" s="45"/>
      <c r="HE191" s="45"/>
      <c r="HF191" s="45"/>
      <c r="HG191" s="45"/>
      <c r="HH191" s="45"/>
      <c r="HI191" s="45"/>
      <c r="HJ191" s="45"/>
      <c r="HK191" s="45"/>
      <c r="HL191" s="45"/>
      <c r="HM191" s="45"/>
      <c r="HN191" s="45"/>
      <c r="HO191" s="45"/>
      <c r="HP191" s="45"/>
      <c r="HQ191" s="45"/>
      <c r="HR191" s="45"/>
      <c r="HS191" s="45"/>
      <c r="HT191" s="45"/>
      <c r="HU191" s="45"/>
      <c r="HV191" s="45"/>
      <c r="HW191" s="45"/>
      <c r="HX191" s="45"/>
      <c r="HY191" s="45"/>
      <c r="HZ191" s="45"/>
      <c r="IA191" s="45"/>
      <c r="IB191" s="45"/>
      <c r="IC191" s="45"/>
      <c r="ID191" s="45"/>
      <c r="IE191" s="45"/>
      <c r="IF191" s="45"/>
      <c r="IG191" s="45"/>
      <c r="IH191" s="45"/>
      <c r="II191" s="45"/>
      <c r="IJ191" s="45"/>
      <c r="IK191" s="45"/>
      <c r="IL191" s="45"/>
      <c r="IM191" s="45"/>
      <c r="IN191" s="45"/>
      <c r="IO191" s="45"/>
      <c r="IP191" s="45"/>
      <c r="IQ191" s="45"/>
      <c r="IR191" s="45"/>
      <c r="IS191" s="45"/>
      <c r="IT191" s="45"/>
      <c r="IU191" s="45"/>
      <c r="IV191" s="45"/>
      <c r="IW191" s="45"/>
      <c r="IX191" s="45"/>
      <c r="IY191" s="45"/>
      <c r="IZ191" s="45"/>
      <c r="JA191" s="45"/>
      <c r="JB191" s="45"/>
      <c r="JC191" s="45"/>
      <c r="JD191" s="45"/>
      <c r="JE191" s="45"/>
      <c r="JF191" s="45"/>
      <c r="JG191" s="45"/>
      <c r="JH191" s="45"/>
      <c r="JI191" s="45"/>
      <c r="JJ191" s="45"/>
      <c r="JK191" s="45"/>
      <c r="JL191" s="45"/>
      <c r="JM191" s="45"/>
    </row>
    <row r="192" spans="1:273" s="259" customFormat="1" ht="135" customHeight="1" x14ac:dyDescent="0.25">
      <c r="A192" s="832">
        <v>170</v>
      </c>
      <c r="B192" s="833" t="s">
        <v>989</v>
      </c>
      <c r="C192" s="836">
        <v>80101706</v>
      </c>
      <c r="D192" s="174" t="s">
        <v>950</v>
      </c>
      <c r="E192" s="836" t="s">
        <v>125</v>
      </c>
      <c r="F192" s="836">
        <v>1</v>
      </c>
      <c r="G192" s="834" t="s">
        <v>164</v>
      </c>
      <c r="H192" s="485" t="s">
        <v>1092</v>
      </c>
      <c r="I192" s="836" t="s">
        <v>96</v>
      </c>
      <c r="J192" s="836" t="s">
        <v>847</v>
      </c>
      <c r="K192" s="836" t="s">
        <v>108</v>
      </c>
      <c r="L192" s="56">
        <v>13387500</v>
      </c>
      <c r="M192" s="56">
        <v>13387500</v>
      </c>
      <c r="N192" s="838" t="s">
        <v>81</v>
      </c>
      <c r="O192" s="838" t="s">
        <v>56</v>
      </c>
      <c r="P192" s="795" t="s">
        <v>126</v>
      </c>
      <c r="Q192" s="45"/>
      <c r="R192" s="172" t="s">
        <v>1239</v>
      </c>
      <c r="S192" s="172" t="s">
        <v>624</v>
      </c>
      <c r="T192" s="28">
        <v>42472</v>
      </c>
      <c r="U192" s="1012" t="s">
        <v>687</v>
      </c>
      <c r="V192" s="181" t="s">
        <v>296</v>
      </c>
      <c r="W192" s="1050">
        <v>13387500</v>
      </c>
      <c r="X192" s="138"/>
      <c r="Y192" s="134">
        <f t="shared" si="3"/>
        <v>13387500</v>
      </c>
      <c r="Z192" s="411" t="s">
        <v>1236</v>
      </c>
      <c r="AA192" s="411" t="s">
        <v>1240</v>
      </c>
      <c r="AB192" s="411" t="s">
        <v>225</v>
      </c>
      <c r="AC192" s="181" t="s">
        <v>1241</v>
      </c>
      <c r="AD192" s="411" t="s">
        <v>56</v>
      </c>
      <c r="AE192" s="411" t="s">
        <v>56</v>
      </c>
      <c r="AF192" s="411" t="s">
        <v>56</v>
      </c>
      <c r="AG192" s="168" t="s">
        <v>1218</v>
      </c>
      <c r="AH192" s="169">
        <v>42472</v>
      </c>
      <c r="AI192" s="169">
        <v>42729</v>
      </c>
      <c r="AJ192" s="411" t="s">
        <v>389</v>
      </c>
      <c r="AK192" s="134" t="s">
        <v>390</v>
      </c>
      <c r="AL192" s="1152" t="s">
        <v>56</v>
      </c>
      <c r="AM192" s="1152" t="s">
        <v>56</v>
      </c>
      <c r="AN192" s="1152" t="s">
        <v>56</v>
      </c>
      <c r="AO192" s="1152" t="s">
        <v>56</v>
      </c>
      <c r="AP192" s="1152" t="s">
        <v>56</v>
      </c>
      <c r="AQ192" s="1153">
        <v>1575000</v>
      </c>
      <c r="AR192" s="1237">
        <v>1575000</v>
      </c>
      <c r="AS192" s="138"/>
      <c r="AT192" s="1237">
        <v>1575000</v>
      </c>
      <c r="AU192" s="138"/>
      <c r="AV192" s="138"/>
      <c r="AW192" s="138"/>
      <c r="AX192" s="138"/>
      <c r="AY192" s="138"/>
      <c r="AZ192" s="138"/>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c r="HB192" s="45"/>
      <c r="HC192" s="45"/>
      <c r="HD192" s="45"/>
      <c r="HE192" s="45"/>
      <c r="HF192" s="45"/>
      <c r="HG192" s="45"/>
      <c r="HH192" s="45"/>
      <c r="HI192" s="45"/>
      <c r="HJ192" s="45"/>
      <c r="HK192" s="45"/>
      <c r="HL192" s="45"/>
      <c r="HM192" s="45"/>
      <c r="HN192" s="45"/>
      <c r="HO192" s="45"/>
      <c r="HP192" s="45"/>
      <c r="HQ192" s="45"/>
      <c r="HR192" s="45"/>
      <c r="HS192" s="45"/>
      <c r="HT192" s="45"/>
      <c r="HU192" s="45"/>
      <c r="HV192" s="45"/>
      <c r="HW192" s="45"/>
      <c r="HX192" s="45"/>
      <c r="HY192" s="45"/>
      <c r="HZ192" s="45"/>
      <c r="IA192" s="45"/>
      <c r="IB192" s="45"/>
      <c r="IC192" s="45"/>
      <c r="ID192" s="45"/>
      <c r="IE192" s="45"/>
      <c r="IF192" s="45"/>
      <c r="IG192" s="45"/>
      <c r="IH192" s="45"/>
      <c r="II192" s="45"/>
      <c r="IJ192" s="45"/>
      <c r="IK192" s="45"/>
      <c r="IL192" s="45"/>
      <c r="IM192" s="45"/>
      <c r="IN192" s="45"/>
      <c r="IO192" s="45"/>
      <c r="IP192" s="45"/>
      <c r="IQ192" s="45"/>
      <c r="IR192" s="45"/>
      <c r="IS192" s="45"/>
      <c r="IT192" s="45"/>
      <c r="IU192" s="45"/>
      <c r="IV192" s="45"/>
      <c r="IW192" s="45"/>
      <c r="IX192" s="45"/>
      <c r="IY192" s="45"/>
      <c r="IZ192" s="45"/>
      <c r="JA192" s="45"/>
      <c r="JB192" s="45"/>
      <c r="JC192" s="45"/>
      <c r="JD192" s="45"/>
      <c r="JE192" s="45"/>
      <c r="JF192" s="45"/>
      <c r="JG192" s="45"/>
      <c r="JH192" s="45"/>
      <c r="JI192" s="45"/>
      <c r="JJ192" s="45"/>
      <c r="JK192" s="45"/>
      <c r="JL192" s="45"/>
      <c r="JM192" s="45"/>
    </row>
    <row r="193" spans="1:273" s="259" customFormat="1" ht="135" customHeight="1" x14ac:dyDescent="0.25">
      <c r="A193" s="832">
        <v>171</v>
      </c>
      <c r="B193" s="836" t="s">
        <v>990</v>
      </c>
      <c r="C193" s="836">
        <v>80101706</v>
      </c>
      <c r="D193" s="174" t="s">
        <v>951</v>
      </c>
      <c r="E193" s="836" t="s">
        <v>125</v>
      </c>
      <c r="F193" s="836">
        <v>1</v>
      </c>
      <c r="G193" s="834" t="s">
        <v>161</v>
      </c>
      <c r="H193" s="485">
        <v>4</v>
      </c>
      <c r="I193" s="836" t="s">
        <v>96</v>
      </c>
      <c r="J193" s="836" t="s">
        <v>847</v>
      </c>
      <c r="K193" s="836" t="s">
        <v>108</v>
      </c>
      <c r="L193" s="56">
        <v>12600000</v>
      </c>
      <c r="M193" s="56">
        <v>12600000</v>
      </c>
      <c r="N193" s="838" t="s">
        <v>81</v>
      </c>
      <c r="O193" s="838" t="s">
        <v>56</v>
      </c>
      <c r="P193" s="795" t="s">
        <v>126</v>
      </c>
      <c r="Q193" s="45"/>
      <c r="R193" s="172" t="s">
        <v>1163</v>
      </c>
      <c r="S193" s="172" t="s">
        <v>288</v>
      </c>
      <c r="T193" s="28">
        <v>42461</v>
      </c>
      <c r="U193" s="1012" t="s">
        <v>1164</v>
      </c>
      <c r="V193" s="181" t="s">
        <v>212</v>
      </c>
      <c r="W193" s="1050">
        <v>12600000</v>
      </c>
      <c r="X193" s="138"/>
      <c r="Y193" s="134">
        <f t="shared" si="3"/>
        <v>12600000</v>
      </c>
      <c r="Z193" s="411" t="s">
        <v>1165</v>
      </c>
      <c r="AA193" s="181" t="s">
        <v>1166</v>
      </c>
      <c r="AB193" s="181" t="s">
        <v>225</v>
      </c>
      <c r="AC193" s="181" t="s">
        <v>1167</v>
      </c>
      <c r="AD193" s="181" t="s">
        <v>56</v>
      </c>
      <c r="AE193" s="181" t="s">
        <v>56</v>
      </c>
      <c r="AF193" s="181" t="s">
        <v>56</v>
      </c>
      <c r="AG193" s="1013" t="s">
        <v>1168</v>
      </c>
      <c r="AH193" s="1014">
        <v>42461</v>
      </c>
      <c r="AI193" s="1014">
        <v>42551</v>
      </c>
      <c r="AJ193" s="181" t="s">
        <v>1169</v>
      </c>
      <c r="AK193" s="1189" t="s">
        <v>1040</v>
      </c>
      <c r="AL193" s="1152" t="s">
        <v>56</v>
      </c>
      <c r="AM193" s="1152" t="s">
        <v>56</v>
      </c>
      <c r="AN193" s="1152" t="s">
        <v>56</v>
      </c>
      <c r="AO193" s="1152" t="s">
        <v>56</v>
      </c>
      <c r="AP193" s="1152" t="s">
        <v>56</v>
      </c>
      <c r="AQ193" s="1153">
        <v>3150000</v>
      </c>
      <c r="AR193" s="1238">
        <v>3150000</v>
      </c>
      <c r="AS193" s="138"/>
      <c r="AT193" s="1238">
        <v>3150000</v>
      </c>
      <c r="AU193" s="138"/>
      <c r="AV193" s="138"/>
      <c r="AW193" s="138"/>
      <c r="AX193" s="138"/>
      <c r="AY193" s="138"/>
      <c r="AZ193" s="138"/>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c r="IK193" s="45"/>
      <c r="IL193" s="45"/>
      <c r="IM193" s="45"/>
      <c r="IN193" s="45"/>
      <c r="IO193" s="45"/>
      <c r="IP193" s="45"/>
      <c r="IQ193" s="45"/>
      <c r="IR193" s="45"/>
      <c r="IS193" s="45"/>
      <c r="IT193" s="45"/>
      <c r="IU193" s="45"/>
      <c r="IV193" s="45"/>
      <c r="IW193" s="45"/>
      <c r="IX193" s="45"/>
      <c r="IY193" s="45"/>
      <c r="IZ193" s="45"/>
      <c r="JA193" s="45"/>
      <c r="JB193" s="45"/>
      <c r="JC193" s="45"/>
      <c r="JD193" s="45"/>
      <c r="JE193" s="45"/>
      <c r="JF193" s="45"/>
      <c r="JG193" s="45"/>
      <c r="JH193" s="45"/>
      <c r="JI193" s="45"/>
      <c r="JJ193" s="45"/>
      <c r="JK193" s="45"/>
      <c r="JL193" s="45"/>
      <c r="JM193" s="45"/>
    </row>
    <row r="194" spans="1:273" s="259" customFormat="1" ht="135" customHeight="1" x14ac:dyDescent="0.25">
      <c r="A194" s="832">
        <v>172</v>
      </c>
      <c r="B194" s="836" t="s">
        <v>990</v>
      </c>
      <c r="C194" s="836">
        <v>80101706</v>
      </c>
      <c r="D194" s="174" t="s">
        <v>952</v>
      </c>
      <c r="E194" s="836" t="s">
        <v>125</v>
      </c>
      <c r="F194" s="836">
        <v>1</v>
      </c>
      <c r="G194" s="834" t="s">
        <v>161</v>
      </c>
      <c r="H194" s="485">
        <v>9</v>
      </c>
      <c r="I194" s="836" t="s">
        <v>96</v>
      </c>
      <c r="J194" s="836" t="s">
        <v>847</v>
      </c>
      <c r="K194" s="836" t="s">
        <v>108</v>
      </c>
      <c r="L194" s="56">
        <v>63000000</v>
      </c>
      <c r="M194" s="56">
        <v>63000000</v>
      </c>
      <c r="N194" s="838" t="s">
        <v>81</v>
      </c>
      <c r="O194" s="838" t="s">
        <v>56</v>
      </c>
      <c r="P194" s="795" t="s">
        <v>126</v>
      </c>
      <c r="Q194" s="45"/>
      <c r="R194" s="172" t="s">
        <v>1170</v>
      </c>
      <c r="S194" s="172" t="s">
        <v>1171</v>
      </c>
      <c r="T194" s="28">
        <v>42465</v>
      </c>
      <c r="U194" s="1012" t="s">
        <v>1172</v>
      </c>
      <c r="V194" s="181" t="s">
        <v>212</v>
      </c>
      <c r="W194" s="1050">
        <v>63000000</v>
      </c>
      <c r="X194" s="138"/>
      <c r="Y194" s="134">
        <f t="shared" si="3"/>
        <v>63000000</v>
      </c>
      <c r="Z194" s="411" t="s">
        <v>1173</v>
      </c>
      <c r="AA194" s="411" t="s">
        <v>1174</v>
      </c>
      <c r="AB194" s="411" t="s">
        <v>225</v>
      </c>
      <c r="AC194" s="181"/>
      <c r="AD194" s="411" t="s">
        <v>56</v>
      </c>
      <c r="AE194" s="411" t="s">
        <v>56</v>
      </c>
      <c r="AF194" s="411" t="s">
        <v>56</v>
      </c>
      <c r="AG194" s="168" t="s">
        <v>1109</v>
      </c>
      <c r="AH194" s="169">
        <v>42465</v>
      </c>
      <c r="AI194" s="169">
        <v>42734</v>
      </c>
      <c r="AJ194" s="411" t="s">
        <v>1169</v>
      </c>
      <c r="AK194" s="1089" t="s">
        <v>1040</v>
      </c>
      <c r="AL194" s="1152" t="s">
        <v>56</v>
      </c>
      <c r="AM194" s="1152" t="s">
        <v>56</v>
      </c>
      <c r="AN194" s="1152" t="s">
        <v>56</v>
      </c>
      <c r="AO194" s="1152" t="s">
        <v>56</v>
      </c>
      <c r="AP194" s="1152" t="s">
        <v>56</v>
      </c>
      <c r="AQ194" s="1153">
        <v>7000000</v>
      </c>
      <c r="AR194" s="1237">
        <v>7000000</v>
      </c>
      <c r="AS194" s="138"/>
      <c r="AT194" s="1237">
        <v>7000000</v>
      </c>
      <c r="AU194" s="138"/>
      <c r="AV194" s="138"/>
      <c r="AW194" s="138"/>
      <c r="AX194" s="138"/>
      <c r="AY194" s="138"/>
      <c r="AZ194" s="138"/>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c r="EK194" s="45"/>
      <c r="EL194" s="45"/>
      <c r="EM194" s="45"/>
      <c r="EN194" s="45"/>
      <c r="EO194" s="45"/>
      <c r="EP194" s="45"/>
      <c r="EQ194" s="45"/>
      <c r="ER194" s="45"/>
      <c r="ES194" s="45"/>
      <c r="ET194" s="45"/>
      <c r="EU194" s="45"/>
      <c r="EV194" s="45"/>
      <c r="EW194" s="45"/>
      <c r="EX194" s="45"/>
      <c r="EY194" s="45"/>
      <c r="EZ194" s="45"/>
      <c r="FA194" s="45"/>
      <c r="FB194" s="45"/>
      <c r="FC194" s="45"/>
      <c r="FD194" s="45"/>
      <c r="FE194" s="45"/>
      <c r="FF194" s="45"/>
      <c r="FG194" s="45"/>
      <c r="FH194" s="45"/>
      <c r="FI194" s="45"/>
      <c r="FJ194" s="45"/>
      <c r="FK194" s="45"/>
      <c r="FL194" s="45"/>
      <c r="FM194" s="45"/>
      <c r="FN194" s="45"/>
      <c r="FO194" s="45"/>
      <c r="FP194" s="45"/>
      <c r="FQ194" s="45"/>
      <c r="FR194" s="45"/>
      <c r="FS194" s="45"/>
      <c r="FT194" s="45"/>
      <c r="FU194" s="45"/>
      <c r="FV194" s="45"/>
      <c r="FW194" s="45"/>
      <c r="FX194" s="45"/>
      <c r="FY194" s="45"/>
      <c r="FZ194" s="45"/>
      <c r="GA194" s="45"/>
      <c r="GB194" s="45"/>
      <c r="GC194" s="45"/>
      <c r="GD194" s="45"/>
      <c r="GE194" s="45"/>
      <c r="GF194" s="45"/>
      <c r="GG194" s="45"/>
      <c r="GH194" s="45"/>
      <c r="GI194" s="45"/>
      <c r="GJ194" s="45"/>
      <c r="GK194" s="45"/>
      <c r="GL194" s="45"/>
      <c r="GM194" s="45"/>
      <c r="GN194" s="45"/>
      <c r="GO194" s="45"/>
      <c r="GP194" s="45"/>
      <c r="GQ194" s="45"/>
      <c r="GR194" s="45"/>
      <c r="GS194" s="45"/>
      <c r="GT194" s="45"/>
      <c r="GU194" s="45"/>
      <c r="GV194" s="45"/>
      <c r="GW194" s="45"/>
      <c r="GX194" s="45"/>
      <c r="GY194" s="45"/>
      <c r="GZ194" s="45"/>
      <c r="HA194" s="45"/>
      <c r="HB194" s="45"/>
      <c r="HC194" s="45"/>
      <c r="HD194" s="45"/>
      <c r="HE194" s="45"/>
      <c r="HF194" s="45"/>
      <c r="HG194" s="45"/>
      <c r="HH194" s="45"/>
      <c r="HI194" s="45"/>
      <c r="HJ194" s="45"/>
      <c r="HK194" s="45"/>
      <c r="HL194" s="45"/>
      <c r="HM194" s="45"/>
      <c r="HN194" s="45"/>
      <c r="HO194" s="45"/>
      <c r="HP194" s="45"/>
      <c r="HQ194" s="45"/>
      <c r="HR194" s="45"/>
      <c r="HS194" s="45"/>
      <c r="HT194" s="45"/>
      <c r="HU194" s="45"/>
      <c r="HV194" s="45"/>
      <c r="HW194" s="45"/>
      <c r="HX194" s="45"/>
      <c r="HY194" s="45"/>
      <c r="HZ194" s="45"/>
      <c r="IA194" s="45"/>
      <c r="IB194" s="45"/>
      <c r="IC194" s="45"/>
      <c r="ID194" s="45"/>
      <c r="IE194" s="45"/>
      <c r="IF194" s="45"/>
      <c r="IG194" s="45"/>
      <c r="IH194" s="45"/>
      <c r="II194" s="45"/>
      <c r="IJ194" s="45"/>
      <c r="IK194" s="45"/>
      <c r="IL194" s="45"/>
      <c r="IM194" s="45"/>
      <c r="IN194" s="45"/>
      <c r="IO194" s="45"/>
      <c r="IP194" s="45"/>
      <c r="IQ194" s="45"/>
      <c r="IR194" s="45"/>
      <c r="IS194" s="45"/>
      <c r="IT194" s="45"/>
      <c r="IU194" s="45"/>
      <c r="IV194" s="45"/>
      <c r="IW194" s="45"/>
      <c r="IX194" s="45"/>
      <c r="IY194" s="45"/>
      <c r="IZ194" s="45"/>
      <c r="JA194" s="45"/>
      <c r="JB194" s="45"/>
      <c r="JC194" s="45"/>
      <c r="JD194" s="45"/>
      <c r="JE194" s="45"/>
      <c r="JF194" s="45"/>
      <c r="JG194" s="45"/>
      <c r="JH194" s="45"/>
      <c r="JI194" s="45"/>
      <c r="JJ194" s="45"/>
      <c r="JK194" s="45"/>
      <c r="JL194" s="45"/>
      <c r="JM194" s="45"/>
    </row>
    <row r="195" spans="1:273" s="259" customFormat="1" ht="95.25" customHeight="1" x14ac:dyDescent="0.25">
      <c r="A195" s="832">
        <v>173</v>
      </c>
      <c r="B195" s="833" t="s">
        <v>986</v>
      </c>
      <c r="C195" s="836">
        <v>80101706</v>
      </c>
      <c r="D195" s="174" t="s">
        <v>953</v>
      </c>
      <c r="E195" s="836" t="s">
        <v>125</v>
      </c>
      <c r="F195" s="836">
        <v>1</v>
      </c>
      <c r="G195" s="834" t="s">
        <v>164</v>
      </c>
      <c r="H195" s="485">
        <v>8</v>
      </c>
      <c r="I195" s="836" t="s">
        <v>96</v>
      </c>
      <c r="J195" s="836" t="s">
        <v>847</v>
      </c>
      <c r="K195" s="836" t="s">
        <v>108</v>
      </c>
      <c r="L195" s="56">
        <v>67200000</v>
      </c>
      <c r="M195" s="56">
        <v>67200000</v>
      </c>
      <c r="N195" s="838" t="s">
        <v>81</v>
      </c>
      <c r="O195" s="838" t="s">
        <v>56</v>
      </c>
      <c r="P195" s="795" t="s">
        <v>126</v>
      </c>
      <c r="Q195" s="45"/>
      <c r="R195" s="172" t="s">
        <v>1175</v>
      </c>
      <c r="S195" s="172" t="s">
        <v>619</v>
      </c>
      <c r="T195" s="28">
        <v>42466</v>
      </c>
      <c r="U195" s="1012" t="s">
        <v>1176</v>
      </c>
      <c r="V195" s="181" t="s">
        <v>212</v>
      </c>
      <c r="W195" s="1097">
        <v>67200000</v>
      </c>
      <c r="X195" s="138"/>
      <c r="Y195" s="134">
        <f t="shared" si="3"/>
        <v>67200000</v>
      </c>
      <c r="Z195" s="411" t="s">
        <v>1177</v>
      </c>
      <c r="AA195" s="411" t="s">
        <v>1178</v>
      </c>
      <c r="AB195" s="411" t="s">
        <v>225</v>
      </c>
      <c r="AC195" s="181" t="s">
        <v>1179</v>
      </c>
      <c r="AD195" s="411" t="s">
        <v>56</v>
      </c>
      <c r="AE195" s="411" t="s">
        <v>56</v>
      </c>
      <c r="AF195" s="411" t="s">
        <v>56</v>
      </c>
      <c r="AG195" s="168" t="s">
        <v>1180</v>
      </c>
      <c r="AH195" s="169">
        <v>42466</v>
      </c>
      <c r="AI195" s="169">
        <v>42709</v>
      </c>
      <c r="AJ195" s="411" t="s">
        <v>346</v>
      </c>
      <c r="AK195" s="1089" t="s">
        <v>347</v>
      </c>
      <c r="AL195" s="1152" t="s">
        <v>56</v>
      </c>
      <c r="AM195" s="1152" t="s">
        <v>56</v>
      </c>
      <c r="AN195" s="1152" t="s">
        <v>56</v>
      </c>
      <c r="AO195" s="1152" t="s">
        <v>56</v>
      </c>
      <c r="AP195" s="1152" t="s">
        <v>56</v>
      </c>
      <c r="AQ195" s="1153">
        <v>8400000</v>
      </c>
      <c r="AR195" s="1153">
        <v>8400000</v>
      </c>
      <c r="AS195" s="138"/>
      <c r="AT195" s="1153">
        <v>8400000</v>
      </c>
      <c r="AU195" s="1153">
        <v>5880000</v>
      </c>
      <c r="AV195" s="138"/>
      <c r="AW195" s="138"/>
      <c r="AX195" s="138"/>
      <c r="AY195" s="138"/>
      <c r="AZ195" s="138"/>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c r="EK195" s="45"/>
      <c r="EL195" s="45"/>
      <c r="EM195" s="45"/>
      <c r="EN195" s="45"/>
      <c r="EO195" s="45"/>
      <c r="EP195" s="45"/>
      <c r="EQ195" s="45"/>
      <c r="ER195" s="45"/>
      <c r="ES195" s="45"/>
      <c r="ET195" s="45"/>
      <c r="EU195" s="45"/>
      <c r="EV195" s="45"/>
      <c r="EW195" s="45"/>
      <c r="EX195" s="45"/>
      <c r="EY195" s="45"/>
      <c r="EZ195" s="45"/>
      <c r="FA195" s="45"/>
      <c r="FB195" s="45"/>
      <c r="FC195" s="45"/>
      <c r="FD195" s="45"/>
      <c r="FE195" s="45"/>
      <c r="FF195" s="45"/>
      <c r="FG195" s="45"/>
      <c r="FH195" s="45"/>
      <c r="FI195" s="45"/>
      <c r="FJ195" s="45"/>
      <c r="FK195" s="45"/>
      <c r="FL195" s="45"/>
      <c r="FM195" s="45"/>
      <c r="FN195" s="45"/>
      <c r="FO195" s="45"/>
      <c r="FP195" s="45"/>
      <c r="FQ195" s="45"/>
      <c r="FR195" s="45"/>
      <c r="FS195" s="45"/>
      <c r="FT195" s="45"/>
      <c r="FU195" s="45"/>
      <c r="FV195" s="45"/>
      <c r="FW195" s="45"/>
      <c r="FX195" s="45"/>
      <c r="FY195" s="45"/>
      <c r="FZ195" s="45"/>
      <c r="GA195" s="45"/>
      <c r="GB195" s="45"/>
      <c r="GC195" s="45"/>
      <c r="GD195" s="45"/>
      <c r="GE195" s="45"/>
      <c r="GF195" s="45"/>
      <c r="GG195" s="45"/>
      <c r="GH195" s="45"/>
      <c r="GI195" s="45"/>
      <c r="GJ195" s="45"/>
      <c r="GK195" s="45"/>
      <c r="GL195" s="45"/>
      <c r="GM195" s="45"/>
      <c r="GN195" s="45"/>
      <c r="GO195" s="45"/>
      <c r="GP195" s="45"/>
      <c r="GQ195" s="45"/>
      <c r="GR195" s="45"/>
      <c r="GS195" s="45"/>
      <c r="GT195" s="45"/>
      <c r="GU195" s="45"/>
      <c r="GV195" s="45"/>
      <c r="GW195" s="45"/>
      <c r="GX195" s="45"/>
      <c r="GY195" s="45"/>
      <c r="GZ195" s="45"/>
      <c r="HA195" s="45"/>
      <c r="HB195" s="45"/>
      <c r="HC195" s="45"/>
      <c r="HD195" s="45"/>
      <c r="HE195" s="45"/>
      <c r="HF195" s="45"/>
      <c r="HG195" s="45"/>
      <c r="HH195" s="45"/>
      <c r="HI195" s="45"/>
      <c r="HJ195" s="45"/>
      <c r="HK195" s="45"/>
      <c r="HL195" s="45"/>
      <c r="HM195" s="45"/>
      <c r="HN195" s="45"/>
      <c r="HO195" s="45"/>
      <c r="HP195" s="45"/>
      <c r="HQ195" s="45"/>
      <c r="HR195" s="45"/>
      <c r="HS195" s="45"/>
      <c r="HT195" s="45"/>
      <c r="HU195" s="45"/>
      <c r="HV195" s="45"/>
      <c r="HW195" s="45"/>
      <c r="HX195" s="45"/>
      <c r="HY195" s="45"/>
      <c r="HZ195" s="45"/>
      <c r="IA195" s="45"/>
      <c r="IB195" s="45"/>
      <c r="IC195" s="45"/>
      <c r="ID195" s="45"/>
      <c r="IE195" s="45"/>
      <c r="IF195" s="45"/>
      <c r="IG195" s="45"/>
      <c r="IH195" s="45"/>
      <c r="II195" s="45"/>
      <c r="IJ195" s="45"/>
      <c r="IK195" s="45"/>
      <c r="IL195" s="45"/>
      <c r="IM195" s="45"/>
      <c r="IN195" s="45"/>
      <c r="IO195" s="45"/>
      <c r="IP195" s="45"/>
      <c r="IQ195" s="45"/>
      <c r="IR195" s="45"/>
      <c r="IS195" s="45"/>
      <c r="IT195" s="45"/>
      <c r="IU195" s="45"/>
      <c r="IV195" s="45"/>
      <c r="IW195" s="45"/>
      <c r="IX195" s="45"/>
      <c r="IY195" s="45"/>
      <c r="IZ195" s="45"/>
      <c r="JA195" s="45"/>
      <c r="JB195" s="45"/>
      <c r="JC195" s="45"/>
      <c r="JD195" s="45"/>
      <c r="JE195" s="45"/>
      <c r="JF195" s="45"/>
      <c r="JG195" s="45"/>
      <c r="JH195" s="45"/>
      <c r="JI195" s="45"/>
      <c r="JJ195" s="45"/>
      <c r="JK195" s="45"/>
      <c r="JL195" s="45"/>
      <c r="JM195" s="45"/>
    </row>
    <row r="196" spans="1:273" s="259" customFormat="1" ht="98.25" customHeight="1" x14ac:dyDescent="0.25">
      <c r="A196" s="832">
        <v>174</v>
      </c>
      <c r="B196" s="833" t="s">
        <v>986</v>
      </c>
      <c r="C196" s="836">
        <v>80101706</v>
      </c>
      <c r="D196" s="174" t="s">
        <v>954</v>
      </c>
      <c r="E196" s="836" t="s">
        <v>125</v>
      </c>
      <c r="F196" s="836">
        <v>1</v>
      </c>
      <c r="G196" s="834" t="s">
        <v>164</v>
      </c>
      <c r="H196" s="485">
        <v>8</v>
      </c>
      <c r="I196" s="836" t="s">
        <v>96</v>
      </c>
      <c r="J196" s="836" t="s">
        <v>847</v>
      </c>
      <c r="K196" s="836" t="s">
        <v>108</v>
      </c>
      <c r="L196" s="56">
        <v>32760000</v>
      </c>
      <c r="M196" s="56">
        <v>32760000</v>
      </c>
      <c r="N196" s="838" t="s">
        <v>81</v>
      </c>
      <c r="O196" s="838" t="s">
        <v>56</v>
      </c>
      <c r="P196" s="795" t="s">
        <v>126</v>
      </c>
      <c r="Q196" s="45"/>
      <c r="R196" s="172" t="s">
        <v>1316</v>
      </c>
      <c r="S196" s="172" t="s">
        <v>1317</v>
      </c>
      <c r="T196" s="28">
        <v>42475</v>
      </c>
      <c r="U196" s="1012" t="s">
        <v>1318</v>
      </c>
      <c r="V196" s="181" t="s">
        <v>212</v>
      </c>
      <c r="W196" s="1005">
        <v>32760000</v>
      </c>
      <c r="X196" s="138"/>
      <c r="Y196" s="134">
        <f t="shared" si="3"/>
        <v>32760000</v>
      </c>
      <c r="Z196" s="411" t="s">
        <v>1319</v>
      </c>
      <c r="AA196" s="411" t="s">
        <v>1320</v>
      </c>
      <c r="AB196" s="411" t="s">
        <v>225</v>
      </c>
      <c r="AC196" s="181" t="s">
        <v>1321</v>
      </c>
      <c r="AD196" s="411" t="s">
        <v>56</v>
      </c>
      <c r="AE196" s="411" t="s">
        <v>56</v>
      </c>
      <c r="AF196" s="411" t="s">
        <v>56</v>
      </c>
      <c r="AG196" s="168" t="s">
        <v>1180</v>
      </c>
      <c r="AH196" s="169">
        <v>42475</v>
      </c>
      <c r="AI196" s="169">
        <v>42718</v>
      </c>
      <c r="AJ196" s="411" t="s">
        <v>346</v>
      </c>
      <c r="AK196" s="134" t="s">
        <v>347</v>
      </c>
      <c r="AL196" s="1152" t="s">
        <v>56</v>
      </c>
      <c r="AM196" s="1152" t="s">
        <v>56</v>
      </c>
      <c r="AN196" s="1152" t="s">
        <v>56</v>
      </c>
      <c r="AO196" s="1152" t="s">
        <v>56</v>
      </c>
      <c r="AP196" s="1152" t="s">
        <v>56</v>
      </c>
      <c r="AQ196" s="1153">
        <v>4095000</v>
      </c>
      <c r="AR196" s="1153">
        <v>4095000</v>
      </c>
      <c r="AS196" s="138"/>
      <c r="AT196" s="1153">
        <v>3139500</v>
      </c>
      <c r="AU196" s="138"/>
      <c r="AV196" s="138"/>
      <c r="AW196" s="138"/>
      <c r="AX196" s="138"/>
      <c r="AY196" s="138"/>
      <c r="AZ196" s="138"/>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c r="DY196" s="45"/>
      <c r="DZ196" s="45"/>
      <c r="EA196" s="45"/>
      <c r="EB196" s="45"/>
      <c r="EC196" s="45"/>
      <c r="ED196" s="45"/>
      <c r="EE196" s="45"/>
      <c r="EF196" s="45"/>
      <c r="EG196" s="45"/>
      <c r="EH196" s="45"/>
      <c r="EI196" s="45"/>
      <c r="EJ196" s="45"/>
      <c r="EK196" s="45"/>
      <c r="EL196" s="45"/>
      <c r="EM196" s="45"/>
      <c r="EN196" s="45"/>
      <c r="EO196" s="45"/>
      <c r="EP196" s="45"/>
      <c r="EQ196" s="45"/>
      <c r="ER196" s="45"/>
      <c r="ES196" s="45"/>
      <c r="ET196" s="45"/>
      <c r="EU196" s="45"/>
      <c r="EV196" s="45"/>
      <c r="EW196" s="45"/>
      <c r="EX196" s="45"/>
      <c r="EY196" s="45"/>
      <c r="EZ196" s="45"/>
      <c r="FA196" s="45"/>
      <c r="FB196" s="45"/>
      <c r="FC196" s="45"/>
      <c r="FD196" s="45"/>
      <c r="FE196" s="45"/>
      <c r="FF196" s="45"/>
      <c r="FG196" s="45"/>
      <c r="FH196" s="45"/>
      <c r="FI196" s="45"/>
      <c r="FJ196" s="45"/>
      <c r="FK196" s="45"/>
      <c r="FL196" s="45"/>
      <c r="FM196" s="45"/>
      <c r="FN196" s="45"/>
      <c r="FO196" s="45"/>
      <c r="FP196" s="45"/>
      <c r="FQ196" s="45"/>
      <c r="FR196" s="45"/>
      <c r="FS196" s="45"/>
      <c r="FT196" s="45"/>
      <c r="FU196" s="45"/>
      <c r="FV196" s="45"/>
      <c r="FW196" s="45"/>
      <c r="FX196" s="45"/>
      <c r="FY196" s="45"/>
      <c r="FZ196" s="45"/>
      <c r="GA196" s="45"/>
      <c r="GB196" s="45"/>
      <c r="GC196" s="45"/>
      <c r="GD196" s="45"/>
      <c r="GE196" s="45"/>
      <c r="GF196" s="45"/>
      <c r="GG196" s="45"/>
      <c r="GH196" s="45"/>
      <c r="GI196" s="45"/>
      <c r="GJ196" s="45"/>
      <c r="GK196" s="45"/>
      <c r="GL196" s="45"/>
      <c r="GM196" s="45"/>
      <c r="GN196" s="45"/>
      <c r="GO196" s="45"/>
      <c r="GP196" s="45"/>
      <c r="GQ196" s="45"/>
      <c r="GR196" s="45"/>
      <c r="GS196" s="45"/>
      <c r="GT196" s="45"/>
      <c r="GU196" s="45"/>
      <c r="GV196" s="45"/>
      <c r="GW196" s="45"/>
      <c r="GX196" s="45"/>
      <c r="GY196" s="45"/>
      <c r="GZ196" s="45"/>
      <c r="HA196" s="45"/>
      <c r="HB196" s="45"/>
      <c r="HC196" s="45"/>
      <c r="HD196" s="45"/>
      <c r="HE196" s="45"/>
      <c r="HF196" s="45"/>
      <c r="HG196" s="45"/>
      <c r="HH196" s="45"/>
      <c r="HI196" s="45"/>
      <c r="HJ196" s="45"/>
      <c r="HK196" s="45"/>
      <c r="HL196" s="45"/>
      <c r="HM196" s="45"/>
      <c r="HN196" s="45"/>
      <c r="HO196" s="45"/>
      <c r="HP196" s="45"/>
      <c r="HQ196" s="45"/>
      <c r="HR196" s="45"/>
      <c r="HS196" s="45"/>
      <c r="HT196" s="45"/>
      <c r="HU196" s="45"/>
      <c r="HV196" s="45"/>
      <c r="HW196" s="45"/>
      <c r="HX196" s="45"/>
      <c r="HY196" s="45"/>
      <c r="HZ196" s="45"/>
      <c r="IA196" s="45"/>
      <c r="IB196" s="45"/>
      <c r="IC196" s="45"/>
      <c r="ID196" s="45"/>
      <c r="IE196" s="45"/>
      <c r="IF196" s="45"/>
      <c r="IG196" s="45"/>
      <c r="IH196" s="45"/>
      <c r="II196" s="45"/>
      <c r="IJ196" s="45"/>
      <c r="IK196" s="45"/>
      <c r="IL196" s="45"/>
      <c r="IM196" s="45"/>
      <c r="IN196" s="45"/>
      <c r="IO196" s="45"/>
      <c r="IP196" s="45"/>
      <c r="IQ196" s="45"/>
      <c r="IR196" s="45"/>
      <c r="IS196" s="45"/>
      <c r="IT196" s="45"/>
      <c r="IU196" s="45"/>
      <c r="IV196" s="45"/>
      <c r="IW196" s="45"/>
      <c r="IX196" s="45"/>
      <c r="IY196" s="45"/>
      <c r="IZ196" s="45"/>
      <c r="JA196" s="45"/>
      <c r="JB196" s="45"/>
      <c r="JC196" s="45"/>
      <c r="JD196" s="45"/>
      <c r="JE196" s="45"/>
      <c r="JF196" s="45"/>
      <c r="JG196" s="45"/>
      <c r="JH196" s="45"/>
      <c r="JI196" s="45"/>
      <c r="JJ196" s="45"/>
      <c r="JK196" s="45"/>
      <c r="JL196" s="45"/>
      <c r="JM196" s="45"/>
    </row>
    <row r="197" spans="1:273" s="259" customFormat="1" ht="103.5" customHeight="1" x14ac:dyDescent="0.25">
      <c r="A197" s="832">
        <v>175</v>
      </c>
      <c r="B197" s="833" t="s">
        <v>986</v>
      </c>
      <c r="C197" s="836">
        <v>80101706</v>
      </c>
      <c r="D197" s="174" t="s">
        <v>955</v>
      </c>
      <c r="E197" s="836" t="s">
        <v>125</v>
      </c>
      <c r="F197" s="836">
        <v>1</v>
      </c>
      <c r="G197" s="834" t="s">
        <v>162</v>
      </c>
      <c r="H197" s="485">
        <v>8</v>
      </c>
      <c r="I197" s="836" t="s">
        <v>96</v>
      </c>
      <c r="J197" s="836" t="s">
        <v>847</v>
      </c>
      <c r="K197" s="836" t="s">
        <v>108</v>
      </c>
      <c r="L197" s="56">
        <v>80000000</v>
      </c>
      <c r="M197" s="56">
        <v>80000000</v>
      </c>
      <c r="N197" s="838" t="s">
        <v>81</v>
      </c>
      <c r="O197" s="838" t="s">
        <v>56</v>
      </c>
      <c r="P197" s="24" t="s">
        <v>126</v>
      </c>
      <c r="Q197" s="45"/>
      <c r="R197" s="172" t="s">
        <v>1494</v>
      </c>
      <c r="S197" s="172" t="s">
        <v>1495</v>
      </c>
      <c r="T197" s="28">
        <v>42493</v>
      </c>
      <c r="U197" s="1012" t="s">
        <v>1496</v>
      </c>
      <c r="V197" s="181" t="s">
        <v>212</v>
      </c>
      <c r="W197" s="1005">
        <v>80000000</v>
      </c>
      <c r="X197" s="138"/>
      <c r="Y197" s="134">
        <f t="shared" si="3"/>
        <v>80000000</v>
      </c>
      <c r="Z197" s="994" t="s">
        <v>1497</v>
      </c>
      <c r="AA197" s="411" t="s">
        <v>1498</v>
      </c>
      <c r="AB197" s="411" t="s">
        <v>225</v>
      </c>
      <c r="AC197" s="181"/>
      <c r="AD197" s="411" t="s">
        <v>56</v>
      </c>
      <c r="AE197" s="411" t="s">
        <v>56</v>
      </c>
      <c r="AF197" s="411" t="s">
        <v>56</v>
      </c>
      <c r="AG197" s="168" t="s">
        <v>1438</v>
      </c>
      <c r="AH197" s="169">
        <v>42493</v>
      </c>
      <c r="AI197" s="169">
        <v>42734</v>
      </c>
      <c r="AJ197" s="411" t="s">
        <v>346</v>
      </c>
      <c r="AK197" s="134" t="s">
        <v>347</v>
      </c>
      <c r="AL197" s="1152" t="s">
        <v>56</v>
      </c>
      <c r="AM197" s="1152" t="s">
        <v>56</v>
      </c>
      <c r="AN197" s="1152" t="s">
        <v>56</v>
      </c>
      <c r="AO197" s="1152" t="s">
        <v>56</v>
      </c>
      <c r="AP197" s="1152" t="s">
        <v>56</v>
      </c>
      <c r="AQ197" s="1152" t="s">
        <v>56</v>
      </c>
      <c r="AR197" s="1153">
        <v>10000000</v>
      </c>
      <c r="AS197" s="138"/>
      <c r="AT197" s="1153">
        <v>10000000</v>
      </c>
      <c r="AU197" s="138"/>
      <c r="AV197" s="138"/>
      <c r="AW197" s="138"/>
      <c r="AX197" s="138"/>
      <c r="AY197" s="138"/>
      <c r="AZ197" s="138"/>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c r="HB197" s="45"/>
      <c r="HC197" s="45"/>
      <c r="HD197" s="45"/>
      <c r="HE197" s="45"/>
      <c r="HF197" s="45"/>
      <c r="HG197" s="45"/>
      <c r="HH197" s="45"/>
      <c r="HI197" s="45"/>
      <c r="HJ197" s="45"/>
      <c r="HK197" s="45"/>
      <c r="HL197" s="45"/>
      <c r="HM197" s="45"/>
      <c r="HN197" s="45"/>
      <c r="HO197" s="45"/>
      <c r="HP197" s="45"/>
      <c r="HQ197" s="45"/>
      <c r="HR197" s="45"/>
      <c r="HS197" s="45"/>
      <c r="HT197" s="45"/>
      <c r="HU197" s="45"/>
      <c r="HV197" s="45"/>
      <c r="HW197" s="45"/>
      <c r="HX197" s="45"/>
      <c r="HY197" s="45"/>
      <c r="HZ197" s="45"/>
      <c r="IA197" s="45"/>
      <c r="IB197" s="45"/>
      <c r="IC197" s="45"/>
      <c r="ID197" s="45"/>
      <c r="IE197" s="45"/>
      <c r="IF197" s="45"/>
      <c r="IG197" s="45"/>
      <c r="IH197" s="45"/>
      <c r="II197" s="45"/>
      <c r="IJ197" s="45"/>
      <c r="IK197" s="45"/>
      <c r="IL197" s="45"/>
      <c r="IM197" s="45"/>
      <c r="IN197" s="45"/>
      <c r="IO197" s="45"/>
      <c r="IP197" s="45"/>
      <c r="IQ197" s="45"/>
      <c r="IR197" s="45"/>
      <c r="IS197" s="45"/>
      <c r="IT197" s="45"/>
      <c r="IU197" s="45"/>
      <c r="IV197" s="45"/>
      <c r="IW197" s="45"/>
      <c r="IX197" s="45"/>
      <c r="IY197" s="45"/>
      <c r="IZ197" s="45"/>
      <c r="JA197" s="45"/>
      <c r="JB197" s="45"/>
      <c r="JC197" s="45"/>
      <c r="JD197" s="45"/>
      <c r="JE197" s="45"/>
      <c r="JF197" s="45"/>
      <c r="JG197" s="45"/>
      <c r="JH197" s="45"/>
      <c r="JI197" s="45"/>
      <c r="JJ197" s="45"/>
      <c r="JK197" s="45"/>
      <c r="JL197" s="45"/>
      <c r="JM197" s="45"/>
    </row>
    <row r="198" spans="1:273" s="259" customFormat="1" ht="72.75" customHeight="1" x14ac:dyDescent="0.25">
      <c r="A198" s="832">
        <v>176</v>
      </c>
      <c r="B198" s="836" t="s">
        <v>988</v>
      </c>
      <c r="C198" s="836">
        <v>80101706</v>
      </c>
      <c r="D198" s="174" t="s">
        <v>956</v>
      </c>
      <c r="E198" s="836" t="s">
        <v>125</v>
      </c>
      <c r="F198" s="836">
        <v>1</v>
      </c>
      <c r="G198" s="834" t="s">
        <v>161</v>
      </c>
      <c r="H198" s="485">
        <v>9</v>
      </c>
      <c r="I198" s="836" t="s">
        <v>96</v>
      </c>
      <c r="J198" s="836" t="s">
        <v>847</v>
      </c>
      <c r="K198" s="836" t="s">
        <v>108</v>
      </c>
      <c r="L198" s="56">
        <v>23625000</v>
      </c>
      <c r="M198" s="56">
        <v>23625000</v>
      </c>
      <c r="N198" s="838" t="s">
        <v>81</v>
      </c>
      <c r="O198" s="838" t="s">
        <v>56</v>
      </c>
      <c r="P198" s="1213" t="s">
        <v>126</v>
      </c>
      <c r="Q198" s="45"/>
      <c r="R198" s="172" t="s">
        <v>1181</v>
      </c>
      <c r="S198" s="982" t="s">
        <v>2676</v>
      </c>
      <c r="T198" s="28">
        <v>42461</v>
      </c>
      <c r="U198" s="1012" t="s">
        <v>1182</v>
      </c>
      <c r="V198" s="181" t="s">
        <v>212</v>
      </c>
      <c r="W198" s="1050">
        <v>23625000</v>
      </c>
      <c r="X198" s="138"/>
      <c r="Y198" s="134">
        <f t="shared" si="3"/>
        <v>23625000</v>
      </c>
      <c r="Z198" s="411" t="s">
        <v>1183</v>
      </c>
      <c r="AA198" s="181" t="s">
        <v>1184</v>
      </c>
      <c r="AB198" s="181" t="s">
        <v>225</v>
      </c>
      <c r="AC198" s="181" t="s">
        <v>1185</v>
      </c>
      <c r="AD198" s="181" t="s">
        <v>56</v>
      </c>
      <c r="AE198" s="181" t="s">
        <v>56</v>
      </c>
      <c r="AF198" s="181" t="s">
        <v>56</v>
      </c>
      <c r="AG198" s="1013" t="s">
        <v>1146</v>
      </c>
      <c r="AH198" s="1014">
        <v>42461</v>
      </c>
      <c r="AI198" s="1014">
        <v>42735</v>
      </c>
      <c r="AJ198" s="181" t="s">
        <v>240</v>
      </c>
      <c r="AK198" s="1189" t="s">
        <v>1186</v>
      </c>
      <c r="AL198" s="1152" t="s">
        <v>56</v>
      </c>
      <c r="AM198" s="1152" t="s">
        <v>56</v>
      </c>
      <c r="AN198" s="1152" t="s">
        <v>56</v>
      </c>
      <c r="AO198" s="1152" t="s">
        <v>56</v>
      </c>
      <c r="AP198" s="1152" t="s">
        <v>56</v>
      </c>
      <c r="AQ198" s="1239" t="s">
        <v>2677</v>
      </c>
      <c r="AR198" s="1237">
        <v>6000000</v>
      </c>
      <c r="AS198" s="138"/>
      <c r="AT198" s="1153">
        <v>525000</v>
      </c>
      <c r="AU198" s="1153">
        <v>2625000</v>
      </c>
      <c r="AV198" s="138"/>
      <c r="AW198" s="138"/>
      <c r="AX198" s="138"/>
      <c r="AY198" s="138"/>
      <c r="AZ198" s="138"/>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c r="EK198" s="45"/>
      <c r="EL198" s="45"/>
      <c r="EM198" s="45"/>
      <c r="EN198" s="45"/>
      <c r="EO198" s="45"/>
      <c r="EP198" s="45"/>
      <c r="EQ198" s="45"/>
      <c r="ER198" s="45"/>
      <c r="ES198" s="45"/>
      <c r="ET198" s="45"/>
      <c r="EU198" s="45"/>
      <c r="EV198" s="45"/>
      <c r="EW198" s="45"/>
      <c r="EX198" s="45"/>
      <c r="EY198" s="45"/>
      <c r="EZ198" s="45"/>
      <c r="FA198" s="45"/>
      <c r="FB198" s="45"/>
      <c r="FC198" s="45"/>
      <c r="FD198" s="45"/>
      <c r="FE198" s="45"/>
      <c r="FF198" s="45"/>
      <c r="FG198" s="45"/>
      <c r="FH198" s="45"/>
      <c r="FI198" s="45"/>
      <c r="FJ198" s="45"/>
      <c r="FK198" s="45"/>
      <c r="FL198" s="45"/>
      <c r="FM198" s="45"/>
      <c r="FN198" s="45"/>
      <c r="FO198" s="45"/>
      <c r="FP198" s="45"/>
      <c r="FQ198" s="45"/>
      <c r="FR198" s="45"/>
      <c r="FS198" s="45"/>
      <c r="FT198" s="45"/>
      <c r="FU198" s="45"/>
      <c r="FV198" s="45"/>
      <c r="FW198" s="45"/>
      <c r="FX198" s="45"/>
      <c r="FY198" s="45"/>
      <c r="FZ198" s="45"/>
      <c r="GA198" s="45"/>
      <c r="GB198" s="45"/>
      <c r="GC198" s="45"/>
      <c r="GD198" s="45"/>
      <c r="GE198" s="45"/>
      <c r="GF198" s="45"/>
      <c r="GG198" s="45"/>
      <c r="GH198" s="45"/>
      <c r="GI198" s="45"/>
      <c r="GJ198" s="45"/>
      <c r="GK198" s="45"/>
      <c r="GL198" s="45"/>
      <c r="GM198" s="45"/>
      <c r="GN198" s="45"/>
      <c r="GO198" s="45"/>
      <c r="GP198" s="45"/>
      <c r="GQ198" s="45"/>
      <c r="GR198" s="45"/>
      <c r="GS198" s="45"/>
      <c r="GT198" s="45"/>
      <c r="GU198" s="45"/>
      <c r="GV198" s="45"/>
      <c r="GW198" s="45"/>
      <c r="GX198" s="45"/>
      <c r="GY198" s="45"/>
      <c r="GZ198" s="45"/>
      <c r="HA198" s="45"/>
      <c r="HB198" s="45"/>
      <c r="HC198" s="45"/>
      <c r="HD198" s="45"/>
      <c r="HE198" s="45"/>
      <c r="HF198" s="45"/>
      <c r="HG198" s="45"/>
      <c r="HH198" s="45"/>
      <c r="HI198" s="45"/>
      <c r="HJ198" s="45"/>
      <c r="HK198" s="45"/>
      <c r="HL198" s="45"/>
      <c r="HM198" s="45"/>
      <c r="HN198" s="45"/>
      <c r="HO198" s="45"/>
      <c r="HP198" s="45"/>
      <c r="HQ198" s="45"/>
      <c r="HR198" s="45"/>
      <c r="HS198" s="45"/>
      <c r="HT198" s="45"/>
      <c r="HU198" s="45"/>
      <c r="HV198" s="45"/>
      <c r="HW198" s="45"/>
      <c r="HX198" s="45"/>
      <c r="HY198" s="45"/>
      <c r="HZ198" s="45"/>
      <c r="IA198" s="45"/>
      <c r="IB198" s="45"/>
      <c r="IC198" s="45"/>
      <c r="ID198" s="45"/>
      <c r="IE198" s="45"/>
      <c r="IF198" s="45"/>
      <c r="IG198" s="45"/>
      <c r="IH198" s="45"/>
      <c r="II198" s="45"/>
      <c r="IJ198" s="45"/>
      <c r="IK198" s="45"/>
      <c r="IL198" s="45"/>
      <c r="IM198" s="45"/>
      <c r="IN198" s="45"/>
      <c r="IO198" s="45"/>
      <c r="IP198" s="45"/>
      <c r="IQ198" s="45"/>
      <c r="IR198" s="45"/>
      <c r="IS198" s="45"/>
      <c r="IT198" s="45"/>
      <c r="IU198" s="45"/>
      <c r="IV198" s="45"/>
      <c r="IW198" s="45"/>
      <c r="IX198" s="45"/>
      <c r="IY198" s="45"/>
      <c r="IZ198" s="45"/>
      <c r="JA198" s="45"/>
      <c r="JB198" s="45"/>
      <c r="JC198" s="45"/>
      <c r="JD198" s="45"/>
      <c r="JE198" s="45"/>
      <c r="JF198" s="45"/>
      <c r="JG198" s="45"/>
      <c r="JH198" s="45"/>
      <c r="JI198" s="45"/>
      <c r="JJ198" s="45"/>
      <c r="JK198" s="45"/>
      <c r="JL198" s="45"/>
      <c r="JM198" s="45"/>
    </row>
    <row r="199" spans="1:273" s="259" customFormat="1" ht="74.25" customHeight="1" x14ac:dyDescent="0.25">
      <c r="A199" s="832">
        <v>177</v>
      </c>
      <c r="B199" s="836" t="s">
        <v>988</v>
      </c>
      <c r="C199" s="836">
        <v>80101706</v>
      </c>
      <c r="D199" s="174" t="s">
        <v>1187</v>
      </c>
      <c r="E199" s="836" t="s">
        <v>125</v>
      </c>
      <c r="F199" s="836">
        <v>1</v>
      </c>
      <c r="G199" s="834" t="s">
        <v>165</v>
      </c>
      <c r="H199" s="485">
        <v>8</v>
      </c>
      <c r="I199" s="836" t="s">
        <v>96</v>
      </c>
      <c r="J199" s="836" t="s">
        <v>847</v>
      </c>
      <c r="K199" s="836" t="s">
        <v>108</v>
      </c>
      <c r="L199" s="56">
        <v>64000000</v>
      </c>
      <c r="M199" s="56">
        <v>64000000</v>
      </c>
      <c r="N199" s="838" t="s">
        <v>81</v>
      </c>
      <c r="O199" s="838" t="s">
        <v>56</v>
      </c>
      <c r="P199" s="24" t="s">
        <v>126</v>
      </c>
      <c r="Q199" s="45"/>
      <c r="R199" s="172" t="s">
        <v>2678</v>
      </c>
      <c r="S199" s="982" t="s">
        <v>2679</v>
      </c>
      <c r="T199" s="166">
        <v>42479</v>
      </c>
      <c r="U199" s="164" t="s">
        <v>1182</v>
      </c>
      <c r="V199" s="411" t="s">
        <v>212</v>
      </c>
      <c r="W199" s="1090">
        <v>48000000</v>
      </c>
      <c r="X199" s="138"/>
      <c r="Y199" s="134">
        <f t="shared" si="3"/>
        <v>48000000</v>
      </c>
      <c r="Z199" s="411" t="s">
        <v>2680</v>
      </c>
      <c r="AA199" s="411" t="s">
        <v>2681</v>
      </c>
      <c r="AB199" s="411" t="s">
        <v>225</v>
      </c>
      <c r="AC199" s="181" t="s">
        <v>2682</v>
      </c>
      <c r="AD199" s="411" t="s">
        <v>56</v>
      </c>
      <c r="AE199" s="411" t="s">
        <v>56</v>
      </c>
      <c r="AF199" s="411" t="s">
        <v>56</v>
      </c>
      <c r="AG199" s="168" t="s">
        <v>2683</v>
      </c>
      <c r="AH199" s="169">
        <v>42479</v>
      </c>
      <c r="AI199" s="169">
        <v>42722</v>
      </c>
      <c r="AJ199" s="411" t="s">
        <v>2684</v>
      </c>
      <c r="AK199" s="134" t="s">
        <v>1186</v>
      </c>
      <c r="AL199" s="1152" t="s">
        <v>56</v>
      </c>
      <c r="AM199" s="1152" t="s">
        <v>56</v>
      </c>
      <c r="AN199" s="1152" t="s">
        <v>56</v>
      </c>
      <c r="AO199" s="1152" t="s">
        <v>56</v>
      </c>
      <c r="AP199" s="1152" t="s">
        <v>56</v>
      </c>
      <c r="AQ199" s="1153">
        <v>6000000</v>
      </c>
      <c r="AR199" s="1153">
        <v>6000000</v>
      </c>
      <c r="AS199" s="138"/>
      <c r="AT199" s="1153">
        <v>6000000</v>
      </c>
      <c r="AU199" s="138"/>
      <c r="AV199" s="138"/>
      <c r="AW199" s="138"/>
      <c r="AX199" s="138"/>
      <c r="AY199" s="138"/>
      <c r="AZ199" s="138"/>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c r="EK199" s="45"/>
      <c r="EL199" s="45"/>
      <c r="EM199" s="45"/>
      <c r="EN199" s="45"/>
      <c r="EO199" s="45"/>
      <c r="EP199" s="45"/>
      <c r="EQ199" s="45"/>
      <c r="ER199" s="45"/>
      <c r="ES199" s="45"/>
      <c r="ET199" s="45"/>
      <c r="EU199" s="45"/>
      <c r="EV199" s="45"/>
      <c r="EW199" s="45"/>
      <c r="EX199" s="45"/>
      <c r="EY199" s="45"/>
      <c r="EZ199" s="45"/>
      <c r="FA199" s="45"/>
      <c r="FB199" s="45"/>
      <c r="FC199" s="45"/>
      <c r="FD199" s="45"/>
      <c r="FE199" s="45"/>
      <c r="FF199" s="45"/>
      <c r="FG199" s="45"/>
      <c r="FH199" s="45"/>
      <c r="FI199" s="45"/>
      <c r="FJ199" s="45"/>
      <c r="FK199" s="45"/>
      <c r="FL199" s="45"/>
      <c r="FM199" s="45"/>
      <c r="FN199" s="45"/>
      <c r="FO199" s="45"/>
      <c r="FP199" s="45"/>
      <c r="FQ199" s="45"/>
      <c r="FR199" s="45"/>
      <c r="FS199" s="45"/>
      <c r="FT199" s="45"/>
      <c r="FU199" s="45"/>
      <c r="FV199" s="45"/>
      <c r="FW199" s="45"/>
      <c r="FX199" s="45"/>
      <c r="FY199" s="45"/>
      <c r="FZ199" s="45"/>
      <c r="GA199" s="45"/>
      <c r="GB199" s="45"/>
      <c r="GC199" s="45"/>
      <c r="GD199" s="45"/>
      <c r="GE199" s="45"/>
      <c r="GF199" s="45"/>
      <c r="GG199" s="45"/>
      <c r="GH199" s="45"/>
      <c r="GI199" s="45"/>
      <c r="GJ199" s="45"/>
      <c r="GK199" s="45"/>
      <c r="GL199" s="45"/>
      <c r="GM199" s="45"/>
      <c r="GN199" s="45"/>
      <c r="GO199" s="45"/>
      <c r="GP199" s="45"/>
      <c r="GQ199" s="45"/>
      <c r="GR199" s="45"/>
      <c r="GS199" s="45"/>
      <c r="GT199" s="45"/>
      <c r="GU199" s="45"/>
      <c r="GV199" s="45"/>
      <c r="GW199" s="45"/>
      <c r="GX199" s="45"/>
      <c r="GY199" s="45"/>
      <c r="GZ199" s="45"/>
      <c r="HA199" s="45"/>
      <c r="HB199" s="45"/>
      <c r="HC199" s="45"/>
      <c r="HD199" s="45"/>
      <c r="HE199" s="45"/>
      <c r="HF199" s="45"/>
      <c r="HG199" s="45"/>
      <c r="HH199" s="45"/>
      <c r="HI199" s="45"/>
      <c r="HJ199" s="45"/>
      <c r="HK199" s="45"/>
      <c r="HL199" s="45"/>
      <c r="HM199" s="45"/>
      <c r="HN199" s="45"/>
      <c r="HO199" s="45"/>
      <c r="HP199" s="45"/>
      <c r="HQ199" s="45"/>
      <c r="HR199" s="45"/>
      <c r="HS199" s="45"/>
      <c r="HT199" s="45"/>
      <c r="HU199" s="45"/>
      <c r="HV199" s="45"/>
      <c r="HW199" s="45"/>
      <c r="HX199" s="45"/>
      <c r="HY199" s="45"/>
      <c r="HZ199" s="45"/>
      <c r="IA199" s="45"/>
      <c r="IB199" s="45"/>
      <c r="IC199" s="45"/>
      <c r="ID199" s="45"/>
      <c r="IE199" s="45"/>
      <c r="IF199" s="45"/>
      <c r="IG199" s="45"/>
      <c r="IH199" s="45"/>
      <c r="II199" s="45"/>
      <c r="IJ199" s="45"/>
      <c r="IK199" s="45"/>
      <c r="IL199" s="45"/>
      <c r="IM199" s="45"/>
      <c r="IN199" s="45"/>
      <c r="IO199" s="45"/>
      <c r="IP199" s="45"/>
      <c r="IQ199" s="45"/>
      <c r="IR199" s="45"/>
      <c r="IS199" s="45"/>
      <c r="IT199" s="45"/>
      <c r="IU199" s="45"/>
      <c r="IV199" s="45"/>
      <c r="IW199" s="45"/>
      <c r="IX199" s="45"/>
      <c r="IY199" s="45"/>
      <c r="IZ199" s="45"/>
      <c r="JA199" s="45"/>
      <c r="JB199" s="45"/>
      <c r="JC199" s="45"/>
      <c r="JD199" s="45"/>
      <c r="JE199" s="45"/>
      <c r="JF199" s="45"/>
      <c r="JG199" s="45"/>
      <c r="JH199" s="45"/>
      <c r="JI199" s="45"/>
      <c r="JJ199" s="45"/>
      <c r="JK199" s="45"/>
      <c r="JL199" s="45"/>
      <c r="JM199" s="45"/>
    </row>
    <row r="200" spans="1:273" s="259" customFormat="1" ht="91.5" customHeight="1" x14ac:dyDescent="0.25">
      <c r="A200" s="832">
        <v>179</v>
      </c>
      <c r="B200" s="833" t="s">
        <v>996</v>
      </c>
      <c r="C200" s="836">
        <v>80101706</v>
      </c>
      <c r="D200" s="174" t="s">
        <v>957</v>
      </c>
      <c r="E200" s="836" t="s">
        <v>125</v>
      </c>
      <c r="F200" s="836">
        <v>1</v>
      </c>
      <c r="G200" s="834" t="s">
        <v>164</v>
      </c>
      <c r="H200" s="485">
        <v>8</v>
      </c>
      <c r="I200" s="836" t="s">
        <v>96</v>
      </c>
      <c r="J200" s="836" t="s">
        <v>847</v>
      </c>
      <c r="K200" s="836" t="s">
        <v>108</v>
      </c>
      <c r="L200" s="56">
        <v>37800000</v>
      </c>
      <c r="M200" s="56">
        <v>37800000</v>
      </c>
      <c r="N200" s="838" t="s">
        <v>81</v>
      </c>
      <c r="O200" s="838" t="s">
        <v>56</v>
      </c>
      <c r="P200" s="1213" t="s">
        <v>126</v>
      </c>
      <c r="Q200" s="45"/>
      <c r="R200" s="172" t="s">
        <v>1188</v>
      </c>
      <c r="S200" s="172" t="s">
        <v>410</v>
      </c>
      <c r="T200" s="166">
        <v>42466</v>
      </c>
      <c r="U200" s="164" t="s">
        <v>1189</v>
      </c>
      <c r="V200" s="411" t="s">
        <v>212</v>
      </c>
      <c r="W200" s="993">
        <v>37800000</v>
      </c>
      <c r="X200" s="138"/>
      <c r="Y200" s="134">
        <f t="shared" si="3"/>
        <v>37800000</v>
      </c>
      <c r="Z200" s="411" t="s">
        <v>1190</v>
      </c>
      <c r="AA200" s="411" t="s">
        <v>1191</v>
      </c>
      <c r="AB200" s="411" t="s">
        <v>225</v>
      </c>
      <c r="AC200" s="181" t="s">
        <v>1192</v>
      </c>
      <c r="AD200" s="411" t="s">
        <v>56</v>
      </c>
      <c r="AE200" s="411" t="s">
        <v>56</v>
      </c>
      <c r="AF200" s="411" t="s">
        <v>56</v>
      </c>
      <c r="AG200" s="168" t="s">
        <v>1180</v>
      </c>
      <c r="AH200" s="169">
        <v>42466</v>
      </c>
      <c r="AI200" s="169">
        <v>42709</v>
      </c>
      <c r="AJ200" s="411" t="s">
        <v>417</v>
      </c>
      <c r="AK200" s="1089" t="s">
        <v>408</v>
      </c>
      <c r="AL200" s="1152" t="s">
        <v>56</v>
      </c>
      <c r="AM200" s="1152" t="s">
        <v>56</v>
      </c>
      <c r="AN200" s="1152" t="s">
        <v>56</v>
      </c>
      <c r="AO200" s="1152" t="s">
        <v>56</v>
      </c>
      <c r="AP200" s="1152" t="s">
        <v>56</v>
      </c>
      <c r="AQ200" s="1153">
        <v>4725000</v>
      </c>
      <c r="AR200" s="1153">
        <v>4725000</v>
      </c>
      <c r="AS200" s="138"/>
      <c r="AT200" s="1153">
        <v>4725000</v>
      </c>
      <c r="AU200" s="1153">
        <v>4725000</v>
      </c>
      <c r="AV200" s="138"/>
      <c r="AW200" s="138"/>
      <c r="AX200" s="138"/>
      <c r="AY200" s="138"/>
      <c r="AZ200" s="138"/>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c r="EK200" s="45"/>
      <c r="EL200" s="45"/>
      <c r="EM200" s="45"/>
      <c r="EN200" s="45"/>
      <c r="EO200" s="45"/>
      <c r="EP200" s="45"/>
      <c r="EQ200" s="45"/>
      <c r="ER200" s="45"/>
      <c r="ES200" s="45"/>
      <c r="ET200" s="45"/>
      <c r="EU200" s="45"/>
      <c r="EV200" s="45"/>
      <c r="EW200" s="45"/>
      <c r="EX200" s="45"/>
      <c r="EY200" s="45"/>
      <c r="EZ200" s="45"/>
      <c r="FA200" s="45"/>
      <c r="FB200" s="45"/>
      <c r="FC200" s="45"/>
      <c r="FD200" s="45"/>
      <c r="FE200" s="45"/>
      <c r="FF200" s="45"/>
      <c r="FG200" s="45"/>
      <c r="FH200" s="45"/>
      <c r="FI200" s="45"/>
      <c r="FJ200" s="45"/>
      <c r="FK200" s="45"/>
      <c r="FL200" s="45"/>
      <c r="FM200" s="45"/>
      <c r="FN200" s="45"/>
      <c r="FO200" s="45"/>
      <c r="FP200" s="45"/>
      <c r="FQ200" s="45"/>
      <c r="FR200" s="45"/>
      <c r="FS200" s="45"/>
      <c r="FT200" s="45"/>
      <c r="FU200" s="45"/>
      <c r="FV200" s="45"/>
      <c r="FW200" s="45"/>
      <c r="FX200" s="45"/>
      <c r="FY200" s="45"/>
      <c r="FZ200" s="45"/>
      <c r="GA200" s="45"/>
      <c r="GB200" s="45"/>
      <c r="GC200" s="45"/>
      <c r="GD200" s="45"/>
      <c r="GE200" s="45"/>
      <c r="GF200" s="45"/>
      <c r="GG200" s="45"/>
      <c r="GH200" s="45"/>
      <c r="GI200" s="45"/>
      <c r="GJ200" s="45"/>
      <c r="GK200" s="45"/>
      <c r="GL200" s="45"/>
      <c r="GM200" s="45"/>
      <c r="GN200" s="45"/>
      <c r="GO200" s="45"/>
      <c r="GP200" s="45"/>
      <c r="GQ200" s="45"/>
      <c r="GR200" s="45"/>
      <c r="GS200" s="45"/>
      <c r="GT200" s="45"/>
      <c r="GU200" s="45"/>
      <c r="GV200" s="45"/>
      <c r="GW200" s="45"/>
      <c r="GX200" s="45"/>
      <c r="GY200" s="45"/>
      <c r="GZ200" s="45"/>
      <c r="HA200" s="45"/>
      <c r="HB200" s="45"/>
      <c r="HC200" s="45"/>
      <c r="HD200" s="45"/>
      <c r="HE200" s="45"/>
      <c r="HF200" s="45"/>
      <c r="HG200" s="45"/>
      <c r="HH200" s="45"/>
      <c r="HI200" s="45"/>
      <c r="HJ200" s="45"/>
      <c r="HK200" s="45"/>
      <c r="HL200" s="45"/>
      <c r="HM200" s="45"/>
      <c r="HN200" s="45"/>
      <c r="HO200" s="45"/>
      <c r="HP200" s="45"/>
      <c r="HQ200" s="45"/>
      <c r="HR200" s="45"/>
      <c r="HS200" s="45"/>
      <c r="HT200" s="45"/>
      <c r="HU200" s="45"/>
      <c r="HV200" s="45"/>
      <c r="HW200" s="45"/>
      <c r="HX200" s="45"/>
      <c r="HY200" s="45"/>
      <c r="HZ200" s="45"/>
      <c r="IA200" s="45"/>
      <c r="IB200" s="45"/>
      <c r="IC200" s="45"/>
      <c r="ID200" s="45"/>
      <c r="IE200" s="45"/>
      <c r="IF200" s="45"/>
      <c r="IG200" s="45"/>
      <c r="IH200" s="45"/>
      <c r="II200" s="45"/>
      <c r="IJ200" s="45"/>
      <c r="IK200" s="45"/>
      <c r="IL200" s="45"/>
      <c r="IM200" s="45"/>
      <c r="IN200" s="45"/>
      <c r="IO200" s="45"/>
      <c r="IP200" s="45"/>
      <c r="IQ200" s="45"/>
      <c r="IR200" s="45"/>
      <c r="IS200" s="45"/>
      <c r="IT200" s="45"/>
      <c r="IU200" s="45"/>
      <c r="IV200" s="45"/>
      <c r="IW200" s="45"/>
      <c r="IX200" s="45"/>
      <c r="IY200" s="45"/>
      <c r="IZ200" s="45"/>
      <c r="JA200" s="45"/>
      <c r="JB200" s="45"/>
      <c r="JC200" s="45"/>
      <c r="JD200" s="45"/>
      <c r="JE200" s="45"/>
      <c r="JF200" s="45"/>
      <c r="JG200" s="45"/>
      <c r="JH200" s="45"/>
      <c r="JI200" s="45"/>
      <c r="JJ200" s="45"/>
      <c r="JK200" s="45"/>
      <c r="JL200" s="45"/>
      <c r="JM200" s="45"/>
    </row>
    <row r="201" spans="1:273" s="259" customFormat="1" ht="87" customHeight="1" x14ac:dyDescent="0.25">
      <c r="A201" s="832">
        <v>180</v>
      </c>
      <c r="B201" s="833" t="s">
        <v>996</v>
      </c>
      <c r="C201" s="836">
        <v>80101706</v>
      </c>
      <c r="D201" s="174" t="s">
        <v>958</v>
      </c>
      <c r="E201" s="836" t="s">
        <v>125</v>
      </c>
      <c r="F201" s="836">
        <v>1</v>
      </c>
      <c r="G201" s="834" t="s">
        <v>164</v>
      </c>
      <c r="H201" s="485">
        <v>8</v>
      </c>
      <c r="I201" s="836" t="s">
        <v>96</v>
      </c>
      <c r="J201" s="836" t="s">
        <v>847</v>
      </c>
      <c r="K201" s="836" t="s">
        <v>108</v>
      </c>
      <c r="L201" s="56">
        <v>37800000</v>
      </c>
      <c r="M201" s="56">
        <v>37800000</v>
      </c>
      <c r="N201" s="838" t="s">
        <v>81</v>
      </c>
      <c r="O201" s="838" t="s">
        <v>56</v>
      </c>
      <c r="P201" s="795" t="s">
        <v>126</v>
      </c>
      <c r="Q201" s="45"/>
      <c r="R201" s="172" t="s">
        <v>1193</v>
      </c>
      <c r="S201" s="172" t="s">
        <v>412</v>
      </c>
      <c r="T201" s="28">
        <v>42466</v>
      </c>
      <c r="U201" s="1012" t="s">
        <v>1189</v>
      </c>
      <c r="V201" s="181" t="s">
        <v>212</v>
      </c>
      <c r="W201" s="1050">
        <v>37800000</v>
      </c>
      <c r="X201" s="138"/>
      <c r="Y201" s="134">
        <f t="shared" si="3"/>
        <v>37800000</v>
      </c>
      <c r="Z201" s="411" t="s">
        <v>1190</v>
      </c>
      <c r="AA201" s="411" t="s">
        <v>1194</v>
      </c>
      <c r="AB201" s="411" t="s">
        <v>225</v>
      </c>
      <c r="AC201" s="181" t="s">
        <v>1195</v>
      </c>
      <c r="AD201" s="411" t="s">
        <v>56</v>
      </c>
      <c r="AE201" s="411" t="s">
        <v>56</v>
      </c>
      <c r="AF201" s="411" t="s">
        <v>56</v>
      </c>
      <c r="AG201" s="168" t="s">
        <v>1180</v>
      </c>
      <c r="AH201" s="169">
        <v>42466</v>
      </c>
      <c r="AI201" s="169">
        <v>42709</v>
      </c>
      <c r="AJ201" s="411" t="s">
        <v>417</v>
      </c>
      <c r="AK201" s="1089" t="s">
        <v>408</v>
      </c>
      <c r="AL201" s="1152" t="s">
        <v>56</v>
      </c>
      <c r="AM201" s="1152" t="s">
        <v>56</v>
      </c>
      <c r="AN201" s="1152" t="s">
        <v>56</v>
      </c>
      <c r="AO201" s="1152" t="s">
        <v>56</v>
      </c>
      <c r="AP201" s="1152" t="s">
        <v>56</v>
      </c>
      <c r="AQ201" s="1153">
        <v>4725000</v>
      </c>
      <c r="AR201" s="1104">
        <v>4725000</v>
      </c>
      <c r="AS201" s="138"/>
      <c r="AT201" s="1104">
        <v>4725000</v>
      </c>
      <c r="AU201" s="138"/>
      <c r="AV201" s="138"/>
      <c r="AW201" s="138"/>
      <c r="AX201" s="138"/>
      <c r="AY201" s="138"/>
      <c r="AZ201" s="138"/>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c r="EK201" s="45"/>
      <c r="EL201" s="45"/>
      <c r="EM201" s="45"/>
      <c r="EN201" s="45"/>
      <c r="EO201" s="45"/>
      <c r="EP201" s="45"/>
      <c r="EQ201" s="45"/>
      <c r="ER201" s="45"/>
      <c r="ES201" s="45"/>
      <c r="ET201" s="45"/>
      <c r="EU201" s="45"/>
      <c r="EV201" s="45"/>
      <c r="EW201" s="45"/>
      <c r="EX201" s="45"/>
      <c r="EY201" s="45"/>
      <c r="EZ201" s="45"/>
      <c r="FA201" s="45"/>
      <c r="FB201" s="45"/>
      <c r="FC201" s="45"/>
      <c r="FD201" s="45"/>
      <c r="FE201" s="45"/>
      <c r="FF201" s="45"/>
      <c r="FG201" s="45"/>
      <c r="FH201" s="45"/>
      <c r="FI201" s="45"/>
      <c r="FJ201" s="45"/>
      <c r="FK201" s="45"/>
      <c r="FL201" s="45"/>
      <c r="FM201" s="45"/>
      <c r="FN201" s="45"/>
      <c r="FO201" s="45"/>
      <c r="FP201" s="45"/>
      <c r="FQ201" s="45"/>
      <c r="FR201" s="45"/>
      <c r="FS201" s="45"/>
      <c r="FT201" s="45"/>
      <c r="FU201" s="45"/>
      <c r="FV201" s="45"/>
      <c r="FW201" s="45"/>
      <c r="FX201" s="45"/>
      <c r="FY201" s="45"/>
      <c r="FZ201" s="45"/>
      <c r="GA201" s="45"/>
      <c r="GB201" s="45"/>
      <c r="GC201" s="45"/>
      <c r="GD201" s="45"/>
      <c r="GE201" s="45"/>
      <c r="GF201" s="45"/>
      <c r="GG201" s="45"/>
      <c r="GH201" s="45"/>
      <c r="GI201" s="45"/>
      <c r="GJ201" s="45"/>
      <c r="GK201" s="45"/>
      <c r="GL201" s="45"/>
      <c r="GM201" s="45"/>
      <c r="GN201" s="45"/>
      <c r="GO201" s="45"/>
      <c r="GP201" s="45"/>
      <c r="GQ201" s="45"/>
      <c r="GR201" s="45"/>
      <c r="GS201" s="45"/>
      <c r="GT201" s="45"/>
      <c r="GU201" s="45"/>
      <c r="GV201" s="45"/>
      <c r="GW201" s="45"/>
      <c r="GX201" s="45"/>
      <c r="GY201" s="45"/>
      <c r="GZ201" s="45"/>
      <c r="HA201" s="45"/>
      <c r="HB201" s="45"/>
      <c r="HC201" s="45"/>
      <c r="HD201" s="45"/>
      <c r="HE201" s="45"/>
      <c r="HF201" s="45"/>
      <c r="HG201" s="45"/>
      <c r="HH201" s="45"/>
      <c r="HI201" s="45"/>
      <c r="HJ201" s="45"/>
      <c r="HK201" s="45"/>
      <c r="HL201" s="45"/>
      <c r="HM201" s="45"/>
      <c r="HN201" s="45"/>
      <c r="HO201" s="45"/>
      <c r="HP201" s="45"/>
      <c r="HQ201" s="45"/>
      <c r="HR201" s="45"/>
      <c r="HS201" s="45"/>
      <c r="HT201" s="45"/>
      <c r="HU201" s="45"/>
      <c r="HV201" s="45"/>
      <c r="HW201" s="45"/>
      <c r="HX201" s="45"/>
      <c r="HY201" s="45"/>
      <c r="HZ201" s="45"/>
      <c r="IA201" s="45"/>
      <c r="IB201" s="45"/>
      <c r="IC201" s="45"/>
      <c r="ID201" s="45"/>
      <c r="IE201" s="45"/>
      <c r="IF201" s="45"/>
      <c r="IG201" s="45"/>
      <c r="IH201" s="45"/>
      <c r="II201" s="45"/>
      <c r="IJ201" s="45"/>
      <c r="IK201" s="45"/>
      <c r="IL201" s="45"/>
      <c r="IM201" s="45"/>
      <c r="IN201" s="45"/>
      <c r="IO201" s="45"/>
      <c r="IP201" s="45"/>
      <c r="IQ201" s="45"/>
      <c r="IR201" s="45"/>
      <c r="IS201" s="45"/>
      <c r="IT201" s="45"/>
      <c r="IU201" s="45"/>
      <c r="IV201" s="45"/>
      <c r="IW201" s="45"/>
      <c r="IX201" s="45"/>
      <c r="IY201" s="45"/>
      <c r="IZ201" s="45"/>
      <c r="JA201" s="45"/>
      <c r="JB201" s="45"/>
      <c r="JC201" s="45"/>
      <c r="JD201" s="45"/>
      <c r="JE201" s="45"/>
      <c r="JF201" s="45"/>
      <c r="JG201" s="45"/>
      <c r="JH201" s="45"/>
      <c r="JI201" s="45"/>
      <c r="JJ201" s="45"/>
      <c r="JK201" s="45"/>
      <c r="JL201" s="45"/>
      <c r="JM201" s="45"/>
    </row>
    <row r="202" spans="1:273" s="259" customFormat="1" ht="55.5" customHeight="1" x14ac:dyDescent="0.25">
      <c r="A202" s="832">
        <v>181</v>
      </c>
      <c r="B202" s="833" t="s">
        <v>996</v>
      </c>
      <c r="C202" s="836">
        <v>80101706</v>
      </c>
      <c r="D202" s="174" t="s">
        <v>1396</v>
      </c>
      <c r="E202" s="836" t="s">
        <v>125</v>
      </c>
      <c r="F202" s="836">
        <v>1</v>
      </c>
      <c r="G202" s="834" t="s">
        <v>167</v>
      </c>
      <c r="H202" s="485">
        <v>4</v>
      </c>
      <c r="I202" s="836" t="s">
        <v>96</v>
      </c>
      <c r="J202" s="836" t="s">
        <v>847</v>
      </c>
      <c r="K202" s="836" t="s">
        <v>108</v>
      </c>
      <c r="L202" s="56">
        <v>69615000</v>
      </c>
      <c r="M202" s="56">
        <v>69615000</v>
      </c>
      <c r="N202" s="838" t="s">
        <v>81</v>
      </c>
      <c r="O202" s="838" t="s">
        <v>56</v>
      </c>
      <c r="P202" s="24" t="s">
        <v>126</v>
      </c>
      <c r="Q202" s="45"/>
      <c r="R202" s="138"/>
      <c r="S202" s="1234"/>
      <c r="T202" s="138"/>
      <c r="U202" s="138"/>
      <c r="V202" s="138"/>
      <c r="W202" s="138"/>
      <c r="X202" s="138"/>
      <c r="Y202" s="134">
        <f t="shared" si="3"/>
        <v>0</v>
      </c>
      <c r="Z202" s="138"/>
      <c r="AA202" s="138"/>
      <c r="AB202" s="138"/>
      <c r="AC202" s="138"/>
      <c r="AD202" s="138"/>
      <c r="AE202" s="138"/>
      <c r="AF202" s="138"/>
      <c r="AG202" s="138"/>
      <c r="AH202" s="138"/>
      <c r="AI202" s="138"/>
      <c r="AJ202" s="138"/>
      <c r="AK202" s="635"/>
      <c r="AL202" s="592"/>
      <c r="AM202" s="138"/>
      <c r="AN202" s="138"/>
      <c r="AO202" s="138"/>
      <c r="AP202" s="138"/>
      <c r="AQ202" s="138"/>
      <c r="AR202" s="138"/>
      <c r="AS202" s="138"/>
      <c r="AT202" s="138"/>
      <c r="AU202" s="138"/>
      <c r="AV202" s="138"/>
      <c r="AW202" s="138"/>
      <c r="AX202" s="138"/>
      <c r="AY202" s="138"/>
      <c r="AZ202" s="138"/>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c r="DY202" s="45"/>
      <c r="DZ202" s="45"/>
      <c r="EA202" s="45"/>
      <c r="EB202" s="45"/>
      <c r="EC202" s="45"/>
      <c r="ED202" s="45"/>
      <c r="EE202" s="45"/>
      <c r="EF202" s="45"/>
      <c r="EG202" s="45"/>
      <c r="EH202" s="45"/>
      <c r="EI202" s="45"/>
      <c r="EJ202" s="45"/>
      <c r="EK202" s="45"/>
      <c r="EL202" s="45"/>
      <c r="EM202" s="45"/>
      <c r="EN202" s="45"/>
      <c r="EO202" s="45"/>
      <c r="EP202" s="45"/>
      <c r="EQ202" s="45"/>
      <c r="ER202" s="45"/>
      <c r="ES202" s="45"/>
      <c r="ET202" s="45"/>
      <c r="EU202" s="45"/>
      <c r="EV202" s="45"/>
      <c r="EW202" s="45"/>
      <c r="EX202" s="45"/>
      <c r="EY202" s="45"/>
      <c r="EZ202" s="45"/>
      <c r="FA202" s="45"/>
      <c r="FB202" s="45"/>
      <c r="FC202" s="45"/>
      <c r="FD202" s="45"/>
      <c r="FE202" s="45"/>
      <c r="FF202" s="45"/>
      <c r="FG202" s="45"/>
      <c r="FH202" s="45"/>
      <c r="FI202" s="45"/>
      <c r="FJ202" s="45"/>
      <c r="FK202" s="45"/>
      <c r="FL202" s="45"/>
      <c r="FM202" s="45"/>
      <c r="FN202" s="45"/>
      <c r="FO202" s="45"/>
      <c r="FP202" s="45"/>
      <c r="FQ202" s="45"/>
      <c r="FR202" s="45"/>
      <c r="FS202" s="45"/>
      <c r="FT202" s="45"/>
      <c r="FU202" s="45"/>
      <c r="FV202" s="45"/>
      <c r="FW202" s="45"/>
      <c r="FX202" s="45"/>
      <c r="FY202" s="45"/>
      <c r="FZ202" s="45"/>
      <c r="GA202" s="45"/>
      <c r="GB202" s="45"/>
      <c r="GC202" s="45"/>
      <c r="GD202" s="45"/>
      <c r="GE202" s="45"/>
      <c r="GF202" s="45"/>
      <c r="GG202" s="45"/>
      <c r="GH202" s="45"/>
      <c r="GI202" s="45"/>
      <c r="GJ202" s="45"/>
      <c r="GK202" s="45"/>
      <c r="GL202" s="45"/>
      <c r="GM202" s="45"/>
      <c r="GN202" s="45"/>
      <c r="GO202" s="45"/>
      <c r="GP202" s="45"/>
      <c r="GQ202" s="45"/>
      <c r="GR202" s="45"/>
      <c r="GS202" s="45"/>
      <c r="GT202" s="45"/>
      <c r="GU202" s="45"/>
      <c r="GV202" s="45"/>
      <c r="GW202" s="45"/>
      <c r="GX202" s="45"/>
      <c r="GY202" s="45"/>
      <c r="GZ202" s="45"/>
      <c r="HA202" s="45"/>
      <c r="HB202" s="45"/>
      <c r="HC202" s="45"/>
      <c r="HD202" s="45"/>
      <c r="HE202" s="45"/>
      <c r="HF202" s="45"/>
      <c r="HG202" s="45"/>
      <c r="HH202" s="45"/>
      <c r="HI202" s="45"/>
      <c r="HJ202" s="45"/>
      <c r="HK202" s="45"/>
      <c r="HL202" s="45"/>
      <c r="HM202" s="45"/>
      <c r="HN202" s="45"/>
      <c r="HO202" s="45"/>
      <c r="HP202" s="45"/>
      <c r="HQ202" s="45"/>
      <c r="HR202" s="45"/>
      <c r="HS202" s="45"/>
      <c r="HT202" s="45"/>
      <c r="HU202" s="45"/>
      <c r="HV202" s="45"/>
      <c r="HW202" s="45"/>
      <c r="HX202" s="45"/>
      <c r="HY202" s="45"/>
      <c r="HZ202" s="45"/>
      <c r="IA202" s="45"/>
      <c r="IB202" s="45"/>
      <c r="IC202" s="45"/>
      <c r="ID202" s="45"/>
      <c r="IE202" s="45"/>
      <c r="IF202" s="45"/>
      <c r="IG202" s="45"/>
      <c r="IH202" s="45"/>
      <c r="II202" s="45"/>
      <c r="IJ202" s="45"/>
      <c r="IK202" s="45"/>
      <c r="IL202" s="45"/>
      <c r="IM202" s="45"/>
      <c r="IN202" s="45"/>
      <c r="IO202" s="45"/>
      <c r="IP202" s="45"/>
      <c r="IQ202" s="45"/>
      <c r="IR202" s="45"/>
      <c r="IS202" s="45"/>
      <c r="IT202" s="45"/>
      <c r="IU202" s="45"/>
      <c r="IV202" s="45"/>
      <c r="IW202" s="45"/>
      <c r="IX202" s="45"/>
      <c r="IY202" s="45"/>
      <c r="IZ202" s="45"/>
      <c r="JA202" s="45"/>
      <c r="JB202" s="45"/>
      <c r="JC202" s="45"/>
      <c r="JD202" s="45"/>
      <c r="JE202" s="45"/>
      <c r="JF202" s="45"/>
      <c r="JG202" s="45"/>
      <c r="JH202" s="45"/>
      <c r="JI202" s="45"/>
      <c r="JJ202" s="45"/>
      <c r="JK202" s="45"/>
      <c r="JL202" s="45"/>
      <c r="JM202" s="45"/>
    </row>
    <row r="203" spans="1:273" s="259" customFormat="1" ht="78.75" customHeight="1" x14ac:dyDescent="0.25">
      <c r="A203" s="832">
        <v>182</v>
      </c>
      <c r="B203" s="838" t="s">
        <v>1000</v>
      </c>
      <c r="C203" s="836">
        <v>80101706</v>
      </c>
      <c r="D203" s="174" t="s">
        <v>1196</v>
      </c>
      <c r="E203" s="836" t="s">
        <v>125</v>
      </c>
      <c r="F203" s="836">
        <v>1</v>
      </c>
      <c r="G203" s="834" t="s">
        <v>164</v>
      </c>
      <c r="H203" s="485">
        <v>8</v>
      </c>
      <c r="I203" s="836" t="s">
        <v>96</v>
      </c>
      <c r="J203" s="836" t="s">
        <v>847</v>
      </c>
      <c r="K203" s="836" t="s">
        <v>108</v>
      </c>
      <c r="L203" s="56">
        <v>9030000</v>
      </c>
      <c r="M203" s="56">
        <v>9030000</v>
      </c>
      <c r="N203" s="838" t="s">
        <v>81</v>
      </c>
      <c r="O203" s="838" t="s">
        <v>56</v>
      </c>
      <c r="P203" s="1213" t="s">
        <v>126</v>
      </c>
      <c r="Q203" s="45"/>
      <c r="R203" s="172" t="s">
        <v>1197</v>
      </c>
      <c r="S203" s="172" t="s">
        <v>605</v>
      </c>
      <c r="T203" s="28">
        <v>42466</v>
      </c>
      <c r="U203" s="1012" t="s">
        <v>1198</v>
      </c>
      <c r="V203" s="181" t="s">
        <v>212</v>
      </c>
      <c r="W203" s="1050">
        <v>9030000</v>
      </c>
      <c r="X203" s="30"/>
      <c r="Y203" s="134">
        <f t="shared" si="3"/>
        <v>9030000</v>
      </c>
      <c r="Z203" s="411" t="s">
        <v>1199</v>
      </c>
      <c r="AA203" s="181" t="s">
        <v>1200</v>
      </c>
      <c r="AB203" s="181" t="s">
        <v>225</v>
      </c>
      <c r="AC203" s="181" t="s">
        <v>1201</v>
      </c>
      <c r="AD203" s="181" t="s">
        <v>56</v>
      </c>
      <c r="AE203" s="181" t="s">
        <v>56</v>
      </c>
      <c r="AF203" s="181" t="s">
        <v>56</v>
      </c>
      <c r="AG203" s="1013" t="s">
        <v>1100</v>
      </c>
      <c r="AH203" s="1014">
        <v>42466</v>
      </c>
      <c r="AI203" s="1014">
        <v>42526</v>
      </c>
      <c r="AJ203" s="181" t="s">
        <v>610</v>
      </c>
      <c r="AK203" s="1189" t="s">
        <v>219</v>
      </c>
      <c r="AL203" s="1152" t="s">
        <v>56</v>
      </c>
      <c r="AM203" s="1152" t="s">
        <v>56</v>
      </c>
      <c r="AN203" s="1152" t="s">
        <v>56</v>
      </c>
      <c r="AO203" s="1152" t="s">
        <v>56</v>
      </c>
      <c r="AP203" s="1152" t="s">
        <v>56</v>
      </c>
      <c r="AQ203" s="1153">
        <v>4515000</v>
      </c>
      <c r="AR203" s="1104">
        <v>4515000</v>
      </c>
      <c r="AS203" s="138"/>
      <c r="AT203" s="138"/>
      <c r="AU203" s="138"/>
      <c r="AV203" s="138"/>
      <c r="AW203" s="138"/>
      <c r="AX203" s="138"/>
      <c r="AY203" s="138"/>
      <c r="AZ203" s="138"/>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c r="IK203" s="45"/>
      <c r="IL203" s="45"/>
      <c r="IM203" s="45"/>
      <c r="IN203" s="45"/>
      <c r="IO203" s="45"/>
      <c r="IP203" s="45"/>
      <c r="IQ203" s="45"/>
      <c r="IR203" s="45"/>
      <c r="IS203" s="45"/>
      <c r="IT203" s="45"/>
      <c r="IU203" s="45"/>
      <c r="IV203" s="45"/>
      <c r="IW203" s="45"/>
      <c r="IX203" s="45"/>
      <c r="IY203" s="45"/>
      <c r="IZ203" s="45"/>
      <c r="JA203" s="45"/>
      <c r="JB203" s="45"/>
      <c r="JC203" s="45"/>
      <c r="JD203" s="45"/>
      <c r="JE203" s="45"/>
      <c r="JF203" s="45"/>
      <c r="JG203" s="45"/>
      <c r="JH203" s="45"/>
      <c r="JI203" s="45"/>
      <c r="JJ203" s="45"/>
      <c r="JK203" s="45"/>
      <c r="JL203" s="45"/>
      <c r="JM203" s="45"/>
    </row>
    <row r="204" spans="1:273" s="259" customFormat="1" ht="100.5" customHeight="1" x14ac:dyDescent="0.25">
      <c r="A204" s="832">
        <v>183</v>
      </c>
      <c r="B204" s="838" t="s">
        <v>1000</v>
      </c>
      <c r="C204" s="836">
        <v>80101706</v>
      </c>
      <c r="D204" s="174" t="s">
        <v>1397</v>
      </c>
      <c r="E204" s="836" t="s">
        <v>125</v>
      </c>
      <c r="F204" s="836">
        <v>1</v>
      </c>
      <c r="G204" s="834" t="s">
        <v>162</v>
      </c>
      <c r="H204" s="485">
        <v>8</v>
      </c>
      <c r="I204" s="836" t="s">
        <v>96</v>
      </c>
      <c r="J204" s="836" t="s">
        <v>847</v>
      </c>
      <c r="K204" s="836" t="s">
        <v>108</v>
      </c>
      <c r="L204" s="56">
        <v>28000000</v>
      </c>
      <c r="M204" s="56">
        <v>28000000</v>
      </c>
      <c r="N204" s="838" t="s">
        <v>81</v>
      </c>
      <c r="O204" s="838" t="s">
        <v>56</v>
      </c>
      <c r="P204" s="795" t="s">
        <v>126</v>
      </c>
      <c r="Q204" s="45"/>
      <c r="R204" s="172" t="s">
        <v>1499</v>
      </c>
      <c r="S204" s="172" t="s">
        <v>781</v>
      </c>
      <c r="T204" s="28">
        <v>42496</v>
      </c>
      <c r="U204" s="1012" t="s">
        <v>1500</v>
      </c>
      <c r="V204" s="181" t="s">
        <v>212</v>
      </c>
      <c r="W204" s="1005">
        <v>28000000</v>
      </c>
      <c r="X204" s="138"/>
      <c r="Y204" s="134">
        <f t="shared" si="3"/>
        <v>28000000</v>
      </c>
      <c r="Z204" s="994" t="s">
        <v>1501</v>
      </c>
      <c r="AA204" s="411" t="s">
        <v>1502</v>
      </c>
      <c r="AB204" s="411" t="s">
        <v>225</v>
      </c>
      <c r="AC204" s="181"/>
      <c r="AD204" s="411" t="s">
        <v>56</v>
      </c>
      <c r="AE204" s="411" t="s">
        <v>56</v>
      </c>
      <c r="AF204" s="411" t="s">
        <v>56</v>
      </c>
      <c r="AG204" s="168" t="s">
        <v>1503</v>
      </c>
      <c r="AH204" s="169">
        <v>42493</v>
      </c>
      <c r="AI204" s="169">
        <v>42734</v>
      </c>
      <c r="AJ204" s="411" t="s">
        <v>1504</v>
      </c>
      <c r="AK204" s="134" t="s">
        <v>219</v>
      </c>
      <c r="AL204" s="1152" t="s">
        <v>56</v>
      </c>
      <c r="AM204" s="1152" t="s">
        <v>56</v>
      </c>
      <c r="AN204" s="1152" t="s">
        <v>56</v>
      </c>
      <c r="AO204" s="1152" t="s">
        <v>56</v>
      </c>
      <c r="AP204" s="1152" t="s">
        <v>56</v>
      </c>
      <c r="AQ204" s="1152" t="s">
        <v>56</v>
      </c>
      <c r="AR204" s="1153">
        <v>3500000</v>
      </c>
      <c r="AS204" s="138"/>
      <c r="AT204" s="1153">
        <v>3500000</v>
      </c>
      <c r="AU204" s="1153">
        <v>3500000</v>
      </c>
      <c r="AV204" s="138"/>
      <c r="AW204" s="138"/>
      <c r="AX204" s="138"/>
      <c r="AY204" s="138"/>
      <c r="AZ204" s="138"/>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c r="DY204" s="45"/>
      <c r="DZ204" s="45"/>
      <c r="EA204" s="45"/>
      <c r="EB204" s="45"/>
      <c r="EC204" s="45"/>
      <c r="ED204" s="45"/>
      <c r="EE204" s="45"/>
      <c r="EF204" s="45"/>
      <c r="EG204" s="45"/>
      <c r="EH204" s="45"/>
      <c r="EI204" s="45"/>
      <c r="EJ204" s="45"/>
      <c r="EK204" s="45"/>
      <c r="EL204" s="45"/>
      <c r="EM204" s="45"/>
      <c r="EN204" s="45"/>
      <c r="EO204" s="45"/>
      <c r="EP204" s="45"/>
      <c r="EQ204" s="45"/>
      <c r="ER204" s="45"/>
      <c r="ES204" s="45"/>
      <c r="ET204" s="45"/>
      <c r="EU204" s="45"/>
      <c r="EV204" s="45"/>
      <c r="EW204" s="45"/>
      <c r="EX204" s="45"/>
      <c r="EY204" s="45"/>
      <c r="EZ204" s="45"/>
      <c r="FA204" s="45"/>
      <c r="FB204" s="45"/>
      <c r="FC204" s="45"/>
      <c r="FD204" s="45"/>
      <c r="FE204" s="45"/>
      <c r="FF204" s="45"/>
      <c r="FG204" s="45"/>
      <c r="FH204" s="45"/>
      <c r="FI204" s="45"/>
      <c r="FJ204" s="45"/>
      <c r="FK204" s="45"/>
      <c r="FL204" s="45"/>
      <c r="FM204" s="45"/>
      <c r="FN204" s="45"/>
      <c r="FO204" s="45"/>
      <c r="FP204" s="45"/>
      <c r="FQ204" s="45"/>
      <c r="FR204" s="45"/>
      <c r="FS204" s="45"/>
      <c r="FT204" s="45"/>
      <c r="FU204" s="45"/>
      <c r="FV204" s="45"/>
      <c r="FW204" s="45"/>
      <c r="FX204" s="45"/>
      <c r="FY204" s="45"/>
      <c r="FZ204" s="45"/>
      <c r="GA204" s="45"/>
      <c r="GB204" s="45"/>
      <c r="GC204" s="45"/>
      <c r="GD204" s="45"/>
      <c r="GE204" s="45"/>
      <c r="GF204" s="45"/>
      <c r="GG204" s="45"/>
      <c r="GH204" s="45"/>
      <c r="GI204" s="45"/>
      <c r="GJ204" s="45"/>
      <c r="GK204" s="45"/>
      <c r="GL204" s="45"/>
      <c r="GM204" s="45"/>
      <c r="GN204" s="45"/>
      <c r="GO204" s="45"/>
      <c r="GP204" s="45"/>
      <c r="GQ204" s="45"/>
      <c r="GR204" s="45"/>
      <c r="GS204" s="45"/>
      <c r="GT204" s="45"/>
      <c r="GU204" s="45"/>
      <c r="GV204" s="45"/>
      <c r="GW204" s="45"/>
      <c r="GX204" s="45"/>
      <c r="GY204" s="45"/>
      <c r="GZ204" s="45"/>
      <c r="HA204" s="45"/>
      <c r="HB204" s="45"/>
      <c r="HC204" s="45"/>
      <c r="HD204" s="45"/>
      <c r="HE204" s="45"/>
      <c r="HF204" s="45"/>
      <c r="HG204" s="45"/>
      <c r="HH204" s="45"/>
      <c r="HI204" s="45"/>
      <c r="HJ204" s="45"/>
      <c r="HK204" s="45"/>
      <c r="HL204" s="45"/>
      <c r="HM204" s="45"/>
      <c r="HN204" s="45"/>
      <c r="HO204" s="45"/>
      <c r="HP204" s="45"/>
      <c r="HQ204" s="45"/>
      <c r="HR204" s="45"/>
      <c r="HS204" s="45"/>
      <c r="HT204" s="45"/>
      <c r="HU204" s="45"/>
      <c r="HV204" s="45"/>
      <c r="HW204" s="45"/>
      <c r="HX204" s="45"/>
      <c r="HY204" s="45"/>
      <c r="HZ204" s="45"/>
      <c r="IA204" s="45"/>
      <c r="IB204" s="45"/>
      <c r="IC204" s="45"/>
      <c r="ID204" s="45"/>
      <c r="IE204" s="45"/>
      <c r="IF204" s="45"/>
      <c r="IG204" s="45"/>
      <c r="IH204" s="45"/>
      <c r="II204" s="45"/>
      <c r="IJ204" s="45"/>
      <c r="IK204" s="45"/>
      <c r="IL204" s="45"/>
      <c r="IM204" s="45"/>
      <c r="IN204" s="45"/>
      <c r="IO204" s="45"/>
      <c r="IP204" s="45"/>
      <c r="IQ204" s="45"/>
      <c r="IR204" s="45"/>
      <c r="IS204" s="45"/>
      <c r="IT204" s="45"/>
      <c r="IU204" s="45"/>
      <c r="IV204" s="45"/>
      <c r="IW204" s="45"/>
      <c r="IX204" s="45"/>
      <c r="IY204" s="45"/>
      <c r="IZ204" s="45"/>
      <c r="JA204" s="45"/>
      <c r="JB204" s="45"/>
      <c r="JC204" s="45"/>
      <c r="JD204" s="45"/>
      <c r="JE204" s="45"/>
      <c r="JF204" s="45"/>
      <c r="JG204" s="45"/>
      <c r="JH204" s="45"/>
      <c r="JI204" s="45"/>
      <c r="JJ204" s="45"/>
      <c r="JK204" s="45"/>
      <c r="JL204" s="45"/>
      <c r="JM204" s="45"/>
    </row>
    <row r="205" spans="1:273" s="259" customFormat="1" ht="72" customHeight="1" x14ac:dyDescent="0.25">
      <c r="A205" s="965">
        <v>184</v>
      </c>
      <c r="B205" s="940" t="s">
        <v>1000</v>
      </c>
      <c r="C205" s="940">
        <v>80101706</v>
      </c>
      <c r="D205" s="1240" t="s">
        <v>959</v>
      </c>
      <c r="E205" s="969" t="s">
        <v>125</v>
      </c>
      <c r="F205" s="969">
        <v>1</v>
      </c>
      <c r="G205" s="969" t="s">
        <v>164</v>
      </c>
      <c r="H205" s="1241">
        <v>8</v>
      </c>
      <c r="I205" s="969" t="s">
        <v>96</v>
      </c>
      <c r="J205" s="836" t="s">
        <v>983</v>
      </c>
      <c r="K205" s="836" t="s">
        <v>108</v>
      </c>
      <c r="L205" s="56">
        <v>21263000</v>
      </c>
      <c r="M205" s="56">
        <v>21263000</v>
      </c>
      <c r="N205" s="836" t="s">
        <v>81</v>
      </c>
      <c r="O205" s="836" t="s">
        <v>56</v>
      </c>
      <c r="P205" s="24" t="s">
        <v>126</v>
      </c>
      <c r="Q205" s="45"/>
      <c r="R205" s="1019" t="s">
        <v>1242</v>
      </c>
      <c r="S205" s="1019" t="s">
        <v>318</v>
      </c>
      <c r="T205" s="1020">
        <v>42471</v>
      </c>
      <c r="U205" s="1021" t="s">
        <v>1243</v>
      </c>
      <c r="V205" s="1021" t="s">
        <v>212</v>
      </c>
      <c r="W205" s="1050">
        <v>21263000</v>
      </c>
      <c r="X205" s="138"/>
      <c r="Y205" s="134">
        <f t="shared" si="3"/>
        <v>21263000</v>
      </c>
      <c r="Z205" s="988" t="s">
        <v>1244</v>
      </c>
      <c r="AA205" s="1021" t="s">
        <v>1245</v>
      </c>
      <c r="AB205" s="1021" t="s">
        <v>748</v>
      </c>
      <c r="AC205" s="1021"/>
      <c r="AD205" s="1021" t="s">
        <v>56</v>
      </c>
      <c r="AE205" s="1021" t="s">
        <v>56</v>
      </c>
      <c r="AF205" s="1021" t="s">
        <v>56</v>
      </c>
      <c r="AG205" s="1155" t="s">
        <v>1246</v>
      </c>
      <c r="AH205" s="1024">
        <v>42471</v>
      </c>
      <c r="AI205" s="1024">
        <v>42734</v>
      </c>
      <c r="AJ205" s="1021" t="s">
        <v>218</v>
      </c>
      <c r="AK205" s="1242" t="s">
        <v>219</v>
      </c>
      <c r="AL205" s="1152" t="s">
        <v>56</v>
      </c>
      <c r="AM205" s="1152" t="s">
        <v>56</v>
      </c>
      <c r="AN205" s="1152" t="s">
        <v>56</v>
      </c>
      <c r="AO205" s="1152" t="s">
        <v>56</v>
      </c>
      <c r="AP205" s="1152" t="s">
        <v>56</v>
      </c>
      <c r="AQ205" s="1153">
        <v>4725000</v>
      </c>
      <c r="AR205" s="1104">
        <v>4725000</v>
      </c>
      <c r="AS205" s="138"/>
      <c r="AT205" s="1104">
        <v>4725000</v>
      </c>
      <c r="AU205" s="138"/>
      <c r="AV205" s="138"/>
      <c r="AW205" s="138"/>
      <c r="AX205" s="138"/>
      <c r="AY205" s="138"/>
      <c r="AZ205" s="138"/>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c r="EK205" s="45"/>
      <c r="EL205" s="45"/>
      <c r="EM205" s="45"/>
      <c r="EN205" s="45"/>
      <c r="EO205" s="45"/>
      <c r="EP205" s="45"/>
      <c r="EQ205" s="45"/>
      <c r="ER205" s="45"/>
      <c r="ES205" s="45"/>
      <c r="ET205" s="45"/>
      <c r="EU205" s="45"/>
      <c r="EV205" s="45"/>
      <c r="EW205" s="45"/>
      <c r="EX205" s="45"/>
      <c r="EY205" s="45"/>
      <c r="EZ205" s="45"/>
      <c r="FA205" s="45"/>
      <c r="FB205" s="45"/>
      <c r="FC205" s="45"/>
      <c r="FD205" s="45"/>
      <c r="FE205" s="45"/>
      <c r="FF205" s="45"/>
      <c r="FG205" s="45"/>
      <c r="FH205" s="45"/>
      <c r="FI205" s="45"/>
      <c r="FJ205" s="45"/>
      <c r="FK205" s="45"/>
      <c r="FL205" s="45"/>
      <c r="FM205" s="45"/>
      <c r="FN205" s="45"/>
      <c r="FO205" s="45"/>
      <c r="FP205" s="45"/>
      <c r="FQ205" s="45"/>
      <c r="FR205" s="45"/>
      <c r="FS205" s="45"/>
      <c r="FT205" s="45"/>
      <c r="FU205" s="45"/>
      <c r="FV205" s="45"/>
      <c r="FW205" s="45"/>
      <c r="FX205" s="45"/>
      <c r="FY205" s="45"/>
      <c r="FZ205" s="45"/>
      <c r="GA205" s="45"/>
      <c r="GB205" s="45"/>
      <c r="GC205" s="45"/>
      <c r="GD205" s="45"/>
      <c r="GE205" s="45"/>
      <c r="GF205" s="45"/>
      <c r="GG205" s="45"/>
      <c r="GH205" s="45"/>
      <c r="GI205" s="45"/>
      <c r="GJ205" s="45"/>
      <c r="GK205" s="45"/>
      <c r="GL205" s="45"/>
      <c r="GM205" s="45"/>
      <c r="GN205" s="45"/>
      <c r="GO205" s="45"/>
      <c r="GP205" s="45"/>
      <c r="GQ205" s="45"/>
      <c r="GR205" s="45"/>
      <c r="GS205" s="45"/>
      <c r="GT205" s="45"/>
      <c r="GU205" s="45"/>
      <c r="GV205" s="45"/>
      <c r="GW205" s="45"/>
      <c r="GX205" s="45"/>
      <c r="GY205" s="45"/>
      <c r="GZ205" s="45"/>
      <c r="HA205" s="45"/>
      <c r="HB205" s="45"/>
      <c r="HC205" s="45"/>
      <c r="HD205" s="45"/>
      <c r="HE205" s="45"/>
      <c r="HF205" s="45"/>
      <c r="HG205" s="45"/>
      <c r="HH205" s="45"/>
      <c r="HI205" s="45"/>
      <c r="HJ205" s="45"/>
      <c r="HK205" s="45"/>
      <c r="HL205" s="45"/>
      <c r="HM205" s="45"/>
      <c r="HN205" s="45"/>
      <c r="HO205" s="45"/>
      <c r="HP205" s="45"/>
      <c r="HQ205" s="45"/>
      <c r="HR205" s="45"/>
      <c r="HS205" s="45"/>
      <c r="HT205" s="45"/>
      <c r="HU205" s="45"/>
      <c r="HV205" s="45"/>
      <c r="HW205" s="45"/>
      <c r="HX205" s="45"/>
      <c r="HY205" s="45"/>
      <c r="HZ205" s="45"/>
      <c r="IA205" s="45"/>
      <c r="IB205" s="45"/>
      <c r="IC205" s="45"/>
      <c r="ID205" s="45"/>
      <c r="IE205" s="45"/>
      <c r="IF205" s="45"/>
      <c r="IG205" s="45"/>
      <c r="IH205" s="45"/>
      <c r="II205" s="45"/>
      <c r="IJ205" s="45"/>
      <c r="IK205" s="45"/>
      <c r="IL205" s="45"/>
      <c r="IM205" s="45"/>
      <c r="IN205" s="45"/>
      <c r="IO205" s="45"/>
      <c r="IP205" s="45"/>
      <c r="IQ205" s="45"/>
      <c r="IR205" s="45"/>
      <c r="IS205" s="45"/>
      <c r="IT205" s="45"/>
      <c r="IU205" s="45"/>
      <c r="IV205" s="45"/>
      <c r="IW205" s="45"/>
      <c r="IX205" s="45"/>
      <c r="IY205" s="45"/>
      <c r="IZ205" s="45"/>
      <c r="JA205" s="45"/>
      <c r="JB205" s="45"/>
      <c r="JC205" s="45"/>
      <c r="JD205" s="45"/>
      <c r="JE205" s="45"/>
      <c r="JF205" s="45"/>
      <c r="JG205" s="45"/>
      <c r="JH205" s="45"/>
      <c r="JI205" s="45"/>
      <c r="JJ205" s="45"/>
      <c r="JK205" s="45"/>
      <c r="JL205" s="45"/>
      <c r="JM205" s="45"/>
    </row>
    <row r="206" spans="1:273" s="259" customFormat="1" ht="74.25" customHeight="1" x14ac:dyDescent="0.25">
      <c r="A206" s="939"/>
      <c r="B206" s="958"/>
      <c r="C206" s="941"/>
      <c r="D206" s="959"/>
      <c r="E206" s="941"/>
      <c r="F206" s="941"/>
      <c r="G206" s="941"/>
      <c r="H206" s="941"/>
      <c r="I206" s="941"/>
      <c r="J206" s="836" t="s">
        <v>982</v>
      </c>
      <c r="K206" s="836" t="s">
        <v>108</v>
      </c>
      <c r="L206" s="56">
        <v>21263000</v>
      </c>
      <c r="M206" s="56">
        <v>21263000</v>
      </c>
      <c r="N206" s="836" t="s">
        <v>81</v>
      </c>
      <c r="O206" s="836" t="s">
        <v>56</v>
      </c>
      <c r="P206" s="16" t="s">
        <v>126</v>
      </c>
      <c r="Q206" s="45"/>
      <c r="R206" s="1027"/>
      <c r="S206" s="1027"/>
      <c r="T206" s="1028"/>
      <c r="U206" s="959"/>
      <c r="V206" s="959"/>
      <c r="W206" s="1050">
        <v>21262000</v>
      </c>
      <c r="X206" s="138"/>
      <c r="Y206" s="134">
        <f t="shared" si="3"/>
        <v>21262000</v>
      </c>
      <c r="Z206" s="1006"/>
      <c r="AA206" s="959"/>
      <c r="AB206" s="959"/>
      <c r="AC206" s="959"/>
      <c r="AD206" s="959"/>
      <c r="AE206" s="959"/>
      <c r="AF206" s="959"/>
      <c r="AG206" s="1161"/>
      <c r="AH206" s="1030"/>
      <c r="AI206" s="1030"/>
      <c r="AJ206" s="959"/>
      <c r="AK206" s="1243"/>
      <c r="AL206" s="1152" t="s">
        <v>56</v>
      </c>
      <c r="AM206" s="1152" t="s">
        <v>56</v>
      </c>
      <c r="AN206" s="1152" t="s">
        <v>56</v>
      </c>
      <c r="AO206" s="1152" t="s">
        <v>56</v>
      </c>
      <c r="AP206" s="1152" t="s">
        <v>56</v>
      </c>
      <c r="AQ206" s="138"/>
      <c r="AR206" s="138"/>
      <c r="AS206" s="138"/>
      <c r="AT206" s="138"/>
      <c r="AU206" s="138"/>
      <c r="AV206" s="138"/>
      <c r="AW206" s="138"/>
      <c r="AX206" s="138"/>
      <c r="AY206" s="138"/>
      <c r="AZ206" s="138"/>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c r="IK206" s="45"/>
      <c r="IL206" s="45"/>
      <c r="IM206" s="45"/>
      <c r="IN206" s="45"/>
      <c r="IO206" s="45"/>
      <c r="IP206" s="45"/>
      <c r="IQ206" s="45"/>
      <c r="IR206" s="45"/>
      <c r="IS206" s="45"/>
      <c r="IT206" s="45"/>
      <c r="IU206" s="45"/>
      <c r="IV206" s="45"/>
      <c r="IW206" s="45"/>
      <c r="IX206" s="45"/>
      <c r="IY206" s="45"/>
      <c r="IZ206" s="45"/>
      <c r="JA206" s="45"/>
      <c r="JB206" s="45"/>
      <c r="JC206" s="45"/>
      <c r="JD206" s="45"/>
      <c r="JE206" s="45"/>
      <c r="JF206" s="45"/>
      <c r="JG206" s="45"/>
      <c r="JH206" s="45"/>
      <c r="JI206" s="45"/>
      <c r="JJ206" s="45"/>
      <c r="JK206" s="45"/>
      <c r="JL206" s="45"/>
      <c r="JM206" s="45"/>
    </row>
    <row r="207" spans="1:273" s="259" customFormat="1" ht="130.5" customHeight="1" x14ac:dyDescent="0.25">
      <c r="A207" s="832">
        <v>185</v>
      </c>
      <c r="B207" s="836" t="s">
        <v>999</v>
      </c>
      <c r="C207" s="836">
        <v>80101706</v>
      </c>
      <c r="D207" s="174" t="s">
        <v>960</v>
      </c>
      <c r="E207" s="836" t="s">
        <v>125</v>
      </c>
      <c r="F207" s="836">
        <v>1</v>
      </c>
      <c r="G207" s="834" t="s">
        <v>164</v>
      </c>
      <c r="H207" s="835">
        <v>8.5</v>
      </c>
      <c r="I207" s="836" t="s">
        <v>96</v>
      </c>
      <c r="J207" s="836" t="s">
        <v>847</v>
      </c>
      <c r="K207" s="836" t="s">
        <v>108</v>
      </c>
      <c r="L207" s="56">
        <v>77945000</v>
      </c>
      <c r="M207" s="56">
        <v>77945000</v>
      </c>
      <c r="N207" s="838" t="s">
        <v>81</v>
      </c>
      <c r="O207" s="838" t="s">
        <v>56</v>
      </c>
      <c r="P207" s="795" t="s">
        <v>126</v>
      </c>
      <c r="Q207" s="45"/>
      <c r="R207" s="172" t="s">
        <v>1202</v>
      </c>
      <c r="S207" s="172" t="s">
        <v>702</v>
      </c>
      <c r="T207" s="28">
        <v>42468</v>
      </c>
      <c r="U207" s="1012" t="s">
        <v>1203</v>
      </c>
      <c r="V207" s="181" t="s">
        <v>212</v>
      </c>
      <c r="W207" s="1050">
        <v>77945000</v>
      </c>
      <c r="X207" s="138"/>
      <c r="Y207" s="134">
        <f t="shared" si="3"/>
        <v>77945000</v>
      </c>
      <c r="Z207" s="411" t="s">
        <v>1204</v>
      </c>
      <c r="AA207" s="411" t="s">
        <v>1205</v>
      </c>
      <c r="AB207" s="411" t="s">
        <v>225</v>
      </c>
      <c r="AC207" s="181" t="s">
        <v>1206</v>
      </c>
      <c r="AD207" s="411" t="s">
        <v>56</v>
      </c>
      <c r="AE207" s="411" t="s">
        <v>56</v>
      </c>
      <c r="AF207" s="411" t="s">
        <v>56</v>
      </c>
      <c r="AG207" s="168" t="s">
        <v>1207</v>
      </c>
      <c r="AH207" s="169">
        <v>42468</v>
      </c>
      <c r="AI207" s="169">
        <v>42733</v>
      </c>
      <c r="AJ207" s="411" t="s">
        <v>707</v>
      </c>
      <c r="AK207" s="1089" t="s">
        <v>708</v>
      </c>
      <c r="AL207" s="1152" t="s">
        <v>56</v>
      </c>
      <c r="AM207" s="1152" t="s">
        <v>56</v>
      </c>
      <c r="AN207" s="1152" t="s">
        <v>56</v>
      </c>
      <c r="AO207" s="1152" t="s">
        <v>56</v>
      </c>
      <c r="AP207" s="1152" t="s">
        <v>56</v>
      </c>
      <c r="AQ207" s="1153">
        <v>8925000</v>
      </c>
      <c r="AR207" s="1153">
        <v>8925000</v>
      </c>
      <c r="AS207" s="138"/>
      <c r="AT207" s="1153">
        <v>8925000</v>
      </c>
      <c r="AU207" s="138"/>
      <c r="AV207" s="138"/>
      <c r="AW207" s="138"/>
      <c r="AX207" s="138"/>
      <c r="AY207" s="138"/>
      <c r="AZ207" s="138"/>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c r="HB207" s="45"/>
      <c r="HC207" s="45"/>
      <c r="HD207" s="45"/>
      <c r="HE207" s="45"/>
      <c r="HF207" s="45"/>
      <c r="HG207" s="45"/>
      <c r="HH207" s="45"/>
      <c r="HI207" s="45"/>
      <c r="HJ207" s="45"/>
      <c r="HK207" s="45"/>
      <c r="HL207" s="45"/>
      <c r="HM207" s="45"/>
      <c r="HN207" s="45"/>
      <c r="HO207" s="45"/>
      <c r="HP207" s="45"/>
      <c r="HQ207" s="45"/>
      <c r="HR207" s="45"/>
      <c r="HS207" s="45"/>
      <c r="HT207" s="45"/>
      <c r="HU207" s="45"/>
      <c r="HV207" s="45"/>
      <c r="HW207" s="45"/>
      <c r="HX207" s="45"/>
      <c r="HY207" s="45"/>
      <c r="HZ207" s="45"/>
      <c r="IA207" s="45"/>
      <c r="IB207" s="45"/>
      <c r="IC207" s="45"/>
      <c r="ID207" s="45"/>
      <c r="IE207" s="45"/>
      <c r="IF207" s="45"/>
      <c r="IG207" s="45"/>
      <c r="IH207" s="45"/>
      <c r="II207" s="45"/>
      <c r="IJ207" s="45"/>
      <c r="IK207" s="45"/>
      <c r="IL207" s="45"/>
      <c r="IM207" s="45"/>
      <c r="IN207" s="45"/>
      <c r="IO207" s="45"/>
      <c r="IP207" s="45"/>
      <c r="IQ207" s="45"/>
      <c r="IR207" s="45"/>
      <c r="IS207" s="45"/>
      <c r="IT207" s="45"/>
      <c r="IU207" s="45"/>
      <c r="IV207" s="45"/>
      <c r="IW207" s="45"/>
      <c r="IX207" s="45"/>
      <c r="IY207" s="45"/>
      <c r="IZ207" s="45"/>
      <c r="JA207" s="45"/>
      <c r="JB207" s="45"/>
      <c r="JC207" s="45"/>
      <c r="JD207" s="45"/>
      <c r="JE207" s="45"/>
      <c r="JF207" s="45"/>
      <c r="JG207" s="45"/>
      <c r="JH207" s="45"/>
      <c r="JI207" s="45"/>
      <c r="JJ207" s="45"/>
      <c r="JK207" s="45"/>
      <c r="JL207" s="45"/>
      <c r="JM207" s="45"/>
    </row>
    <row r="208" spans="1:273" s="259" customFormat="1" ht="61.5" customHeight="1" x14ac:dyDescent="0.25">
      <c r="A208" s="832">
        <v>186</v>
      </c>
      <c r="B208" s="836" t="s">
        <v>999</v>
      </c>
      <c r="C208" s="836">
        <v>80101706</v>
      </c>
      <c r="D208" s="174" t="s">
        <v>961</v>
      </c>
      <c r="E208" s="836" t="s">
        <v>125</v>
      </c>
      <c r="F208" s="836">
        <v>1</v>
      </c>
      <c r="G208" s="834" t="s">
        <v>162</v>
      </c>
      <c r="H208" s="835">
        <v>8.5</v>
      </c>
      <c r="I208" s="836" t="s">
        <v>96</v>
      </c>
      <c r="J208" s="836" t="s">
        <v>128</v>
      </c>
      <c r="K208" s="836" t="s">
        <v>108</v>
      </c>
      <c r="L208" s="56">
        <v>19635000</v>
      </c>
      <c r="M208" s="56">
        <v>19635000</v>
      </c>
      <c r="N208" s="838" t="s">
        <v>81</v>
      </c>
      <c r="O208" s="838" t="s">
        <v>56</v>
      </c>
      <c r="P208" s="795" t="s">
        <v>126</v>
      </c>
      <c r="Q208" s="45"/>
      <c r="R208" s="172" t="s">
        <v>2685</v>
      </c>
      <c r="S208" s="982" t="s">
        <v>2686</v>
      </c>
      <c r="T208" s="166">
        <v>42503</v>
      </c>
      <c r="U208" s="164" t="s">
        <v>2687</v>
      </c>
      <c r="V208" s="411" t="s">
        <v>212</v>
      </c>
      <c r="W208" s="1050">
        <v>18000000</v>
      </c>
      <c r="X208" s="138"/>
      <c r="Y208" s="134">
        <f t="shared" si="3"/>
        <v>18000000</v>
      </c>
      <c r="Z208" s="994" t="s">
        <v>2688</v>
      </c>
      <c r="AA208" s="411" t="s">
        <v>2689</v>
      </c>
      <c r="AB208" s="411" t="s">
        <v>215</v>
      </c>
      <c r="AC208" s="181" t="s">
        <v>2690</v>
      </c>
      <c r="AD208" s="411" t="s">
        <v>56</v>
      </c>
      <c r="AE208" s="411" t="s">
        <v>56</v>
      </c>
      <c r="AF208" s="411" t="s">
        <v>56</v>
      </c>
      <c r="AG208" s="168" t="s">
        <v>2691</v>
      </c>
      <c r="AH208" s="169">
        <v>42503</v>
      </c>
      <c r="AI208" s="169">
        <v>42734</v>
      </c>
      <c r="AJ208" s="411" t="s">
        <v>2692</v>
      </c>
      <c r="AK208" s="134" t="s">
        <v>923</v>
      </c>
      <c r="AL208" s="1152" t="s">
        <v>56</v>
      </c>
      <c r="AM208" s="1152" t="s">
        <v>56</v>
      </c>
      <c r="AN208" s="1152" t="s">
        <v>56</v>
      </c>
      <c r="AO208" s="1152" t="s">
        <v>56</v>
      </c>
      <c r="AP208" s="1152" t="s">
        <v>56</v>
      </c>
      <c r="AQ208" s="1148" t="s">
        <v>56</v>
      </c>
      <c r="AR208" s="1237">
        <v>2300000</v>
      </c>
      <c r="AS208" s="138"/>
      <c r="AT208" s="1237">
        <v>2300000</v>
      </c>
      <c r="AU208" s="138"/>
      <c r="AV208" s="138"/>
      <c r="AW208" s="138"/>
      <c r="AX208" s="138"/>
      <c r="AY208" s="138"/>
      <c r="AZ208" s="138"/>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45"/>
      <c r="CR208" s="45"/>
      <c r="CS208" s="45"/>
      <c r="CT208" s="45"/>
      <c r="CU208" s="45"/>
      <c r="CV208" s="45"/>
      <c r="CW208" s="45"/>
      <c r="CX208" s="45"/>
      <c r="CY208" s="45"/>
      <c r="CZ208" s="45"/>
      <c r="DA208" s="45"/>
      <c r="DB208" s="45"/>
      <c r="DC208" s="45"/>
      <c r="DD208" s="45"/>
      <c r="DE208" s="45"/>
      <c r="DF208" s="45"/>
      <c r="DG208" s="45"/>
      <c r="DH208" s="45"/>
      <c r="DI208" s="45"/>
      <c r="DJ208" s="45"/>
      <c r="DK208" s="45"/>
      <c r="DL208" s="45"/>
      <c r="DM208" s="45"/>
      <c r="DN208" s="45"/>
      <c r="DO208" s="45"/>
      <c r="DP208" s="45"/>
      <c r="DQ208" s="45"/>
      <c r="DR208" s="45"/>
      <c r="DS208" s="45"/>
      <c r="DT208" s="45"/>
      <c r="DU208" s="45"/>
      <c r="DV208" s="45"/>
      <c r="DW208" s="45"/>
      <c r="DX208" s="45"/>
      <c r="DY208" s="45"/>
      <c r="DZ208" s="45"/>
      <c r="EA208" s="45"/>
      <c r="EB208" s="45"/>
      <c r="EC208" s="45"/>
      <c r="ED208" s="45"/>
      <c r="EE208" s="45"/>
      <c r="EF208" s="45"/>
      <c r="EG208" s="45"/>
      <c r="EH208" s="45"/>
      <c r="EI208" s="45"/>
      <c r="EJ208" s="45"/>
      <c r="EK208" s="45"/>
      <c r="EL208" s="45"/>
      <c r="EM208" s="45"/>
      <c r="EN208" s="45"/>
      <c r="EO208" s="45"/>
      <c r="EP208" s="45"/>
      <c r="EQ208" s="45"/>
      <c r="ER208" s="45"/>
      <c r="ES208" s="45"/>
      <c r="ET208" s="45"/>
      <c r="EU208" s="45"/>
      <c r="EV208" s="45"/>
      <c r="EW208" s="45"/>
      <c r="EX208" s="45"/>
      <c r="EY208" s="45"/>
      <c r="EZ208" s="45"/>
      <c r="FA208" s="45"/>
      <c r="FB208" s="45"/>
      <c r="FC208" s="45"/>
      <c r="FD208" s="45"/>
      <c r="FE208" s="45"/>
      <c r="FF208" s="45"/>
      <c r="FG208" s="45"/>
      <c r="FH208" s="45"/>
      <c r="FI208" s="45"/>
      <c r="FJ208" s="45"/>
      <c r="FK208" s="45"/>
      <c r="FL208" s="45"/>
      <c r="FM208" s="45"/>
      <c r="FN208" s="45"/>
      <c r="FO208" s="45"/>
      <c r="FP208" s="45"/>
      <c r="FQ208" s="45"/>
      <c r="FR208" s="45"/>
      <c r="FS208" s="45"/>
      <c r="FT208" s="45"/>
      <c r="FU208" s="45"/>
      <c r="FV208" s="45"/>
      <c r="FW208" s="45"/>
      <c r="FX208" s="45"/>
      <c r="FY208" s="45"/>
      <c r="FZ208" s="45"/>
      <c r="GA208" s="45"/>
      <c r="GB208" s="45"/>
      <c r="GC208" s="45"/>
      <c r="GD208" s="45"/>
      <c r="GE208" s="45"/>
      <c r="GF208" s="45"/>
      <c r="GG208" s="45"/>
      <c r="GH208" s="45"/>
      <c r="GI208" s="45"/>
      <c r="GJ208" s="45"/>
      <c r="GK208" s="45"/>
      <c r="GL208" s="45"/>
      <c r="GM208" s="45"/>
      <c r="GN208" s="45"/>
      <c r="GO208" s="45"/>
      <c r="GP208" s="45"/>
      <c r="GQ208" s="45"/>
      <c r="GR208" s="45"/>
      <c r="GS208" s="45"/>
      <c r="GT208" s="45"/>
      <c r="GU208" s="45"/>
      <c r="GV208" s="45"/>
      <c r="GW208" s="45"/>
      <c r="GX208" s="45"/>
      <c r="GY208" s="45"/>
      <c r="GZ208" s="45"/>
      <c r="HA208" s="45"/>
      <c r="HB208" s="45"/>
      <c r="HC208" s="45"/>
      <c r="HD208" s="45"/>
      <c r="HE208" s="45"/>
      <c r="HF208" s="45"/>
      <c r="HG208" s="45"/>
      <c r="HH208" s="45"/>
      <c r="HI208" s="45"/>
      <c r="HJ208" s="45"/>
      <c r="HK208" s="45"/>
      <c r="HL208" s="45"/>
      <c r="HM208" s="45"/>
      <c r="HN208" s="45"/>
      <c r="HO208" s="45"/>
      <c r="HP208" s="45"/>
      <c r="HQ208" s="45"/>
      <c r="HR208" s="45"/>
      <c r="HS208" s="45"/>
      <c r="HT208" s="45"/>
      <c r="HU208" s="45"/>
      <c r="HV208" s="45"/>
      <c r="HW208" s="45"/>
      <c r="HX208" s="45"/>
      <c r="HY208" s="45"/>
      <c r="HZ208" s="45"/>
      <c r="IA208" s="45"/>
      <c r="IB208" s="45"/>
      <c r="IC208" s="45"/>
      <c r="ID208" s="45"/>
      <c r="IE208" s="45"/>
      <c r="IF208" s="45"/>
      <c r="IG208" s="45"/>
      <c r="IH208" s="45"/>
      <c r="II208" s="45"/>
      <c r="IJ208" s="45"/>
      <c r="IK208" s="45"/>
      <c r="IL208" s="45"/>
      <c r="IM208" s="45"/>
      <c r="IN208" s="45"/>
      <c r="IO208" s="45"/>
      <c r="IP208" s="45"/>
      <c r="IQ208" s="45"/>
      <c r="IR208" s="45"/>
      <c r="IS208" s="45"/>
      <c r="IT208" s="45"/>
      <c r="IU208" s="45"/>
      <c r="IV208" s="45"/>
      <c r="IW208" s="45"/>
      <c r="IX208" s="45"/>
      <c r="IY208" s="45"/>
      <c r="IZ208" s="45"/>
      <c r="JA208" s="45"/>
      <c r="JB208" s="45"/>
      <c r="JC208" s="45"/>
      <c r="JD208" s="45"/>
      <c r="JE208" s="45"/>
      <c r="JF208" s="45"/>
      <c r="JG208" s="45"/>
      <c r="JH208" s="45"/>
      <c r="JI208" s="45"/>
      <c r="JJ208" s="45"/>
      <c r="JK208" s="45"/>
      <c r="JL208" s="45"/>
      <c r="JM208" s="45"/>
    </row>
    <row r="209" spans="1:273" s="259" customFormat="1" ht="66" customHeight="1" x14ac:dyDescent="0.25">
      <c r="A209" s="965">
        <v>187</v>
      </c>
      <c r="B209" s="969" t="s">
        <v>999</v>
      </c>
      <c r="C209" s="940">
        <v>80101706</v>
      </c>
      <c r="D209" s="1240" t="s">
        <v>962</v>
      </c>
      <c r="E209" s="969" t="s">
        <v>125</v>
      </c>
      <c r="F209" s="969">
        <v>1</v>
      </c>
      <c r="G209" s="969" t="s">
        <v>161</v>
      </c>
      <c r="H209" s="968">
        <v>8.8000000000000007</v>
      </c>
      <c r="I209" s="969" t="s">
        <v>96</v>
      </c>
      <c r="J209" s="836" t="s">
        <v>983</v>
      </c>
      <c r="K209" s="836" t="s">
        <v>108</v>
      </c>
      <c r="L209" s="56">
        <v>18550000</v>
      </c>
      <c r="M209" s="56">
        <v>18550000</v>
      </c>
      <c r="N209" s="836" t="s">
        <v>81</v>
      </c>
      <c r="O209" s="836" t="s">
        <v>56</v>
      </c>
      <c r="P209" s="24" t="s">
        <v>126</v>
      </c>
      <c r="Q209" s="1244"/>
      <c r="R209" s="1245" t="s">
        <v>1051</v>
      </c>
      <c r="S209" s="1245" t="s">
        <v>1058</v>
      </c>
      <c r="T209" s="1246">
        <v>42459</v>
      </c>
      <c r="U209" s="1240" t="s">
        <v>1059</v>
      </c>
      <c r="V209" s="1240" t="s">
        <v>212</v>
      </c>
      <c r="W209" s="1050">
        <v>18550000</v>
      </c>
      <c r="X209" s="1154"/>
      <c r="Y209" s="1209">
        <f t="shared" si="3"/>
        <v>18550000</v>
      </c>
      <c r="Z209" s="1086" t="s">
        <v>1060</v>
      </c>
      <c r="AA209" s="1086" t="s">
        <v>1061</v>
      </c>
      <c r="AB209" s="1086" t="s">
        <v>748</v>
      </c>
      <c r="AC209" s="1086"/>
      <c r="AD209" s="1086" t="s">
        <v>56</v>
      </c>
      <c r="AE209" s="1086" t="s">
        <v>56</v>
      </c>
      <c r="AF209" s="1086" t="s">
        <v>56</v>
      </c>
      <c r="AG209" s="1086" t="s">
        <v>1062</v>
      </c>
      <c r="AH209" s="1086">
        <v>42459</v>
      </c>
      <c r="AI209" s="1086">
        <v>42726</v>
      </c>
      <c r="AJ209" s="1086" t="s">
        <v>328</v>
      </c>
      <c r="AK209" s="1247" t="s">
        <v>329</v>
      </c>
      <c r="AL209" s="1248" t="s">
        <v>56</v>
      </c>
      <c r="AM209" s="1086" t="s">
        <v>56</v>
      </c>
      <c r="AN209" s="1086" t="s">
        <v>56</v>
      </c>
      <c r="AO209" s="1086" t="s">
        <v>56</v>
      </c>
      <c r="AP209" s="1086" t="s">
        <v>56</v>
      </c>
      <c r="AQ209" s="1249">
        <v>4200000</v>
      </c>
      <c r="AR209" s="1249">
        <v>4200000</v>
      </c>
      <c r="AS209" s="1086"/>
      <c r="AT209" s="1250">
        <v>4200000</v>
      </c>
      <c r="AU209" s="1250">
        <v>4200000</v>
      </c>
      <c r="AV209" s="1086"/>
      <c r="AW209" s="1086"/>
      <c r="AX209" s="1086"/>
      <c r="AY209" s="1086"/>
      <c r="AZ209" s="1086"/>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c r="EK209" s="45"/>
      <c r="EL209" s="45"/>
      <c r="EM209" s="45"/>
      <c r="EN209" s="45"/>
      <c r="EO209" s="45"/>
      <c r="EP209" s="45"/>
      <c r="EQ209" s="45"/>
      <c r="ER209" s="45"/>
      <c r="ES209" s="45"/>
      <c r="ET209" s="45"/>
      <c r="EU209" s="45"/>
      <c r="EV209" s="45"/>
      <c r="EW209" s="45"/>
      <c r="EX209" s="45"/>
      <c r="EY209" s="45"/>
      <c r="EZ209" s="45"/>
      <c r="FA209" s="45"/>
      <c r="FB209" s="45"/>
      <c r="FC209" s="45"/>
      <c r="FD209" s="45"/>
      <c r="FE209" s="45"/>
      <c r="FF209" s="45"/>
      <c r="FG209" s="45"/>
      <c r="FH209" s="45"/>
      <c r="FI209" s="45"/>
      <c r="FJ209" s="45"/>
      <c r="FK209" s="45"/>
      <c r="FL209" s="45"/>
      <c r="FM209" s="45"/>
      <c r="FN209" s="45"/>
      <c r="FO209" s="45"/>
      <c r="FP209" s="45"/>
      <c r="FQ209" s="45"/>
      <c r="FR209" s="45"/>
      <c r="FS209" s="45"/>
      <c r="FT209" s="45"/>
      <c r="FU209" s="45"/>
      <c r="FV209" s="45"/>
      <c r="FW209" s="45"/>
      <c r="FX209" s="45"/>
      <c r="FY209" s="45"/>
      <c r="FZ209" s="45"/>
      <c r="GA209" s="45"/>
      <c r="GB209" s="45"/>
      <c r="GC209" s="45"/>
      <c r="GD209" s="45"/>
      <c r="GE209" s="45"/>
      <c r="GF209" s="45"/>
      <c r="GG209" s="45"/>
      <c r="GH209" s="45"/>
      <c r="GI209" s="45"/>
      <c r="GJ209" s="45"/>
      <c r="GK209" s="45"/>
      <c r="GL209" s="45"/>
      <c r="GM209" s="45"/>
      <c r="GN209" s="45"/>
      <c r="GO209" s="45"/>
      <c r="GP209" s="45"/>
      <c r="GQ209" s="45"/>
      <c r="GR209" s="45"/>
      <c r="GS209" s="45"/>
      <c r="GT209" s="45"/>
      <c r="GU209" s="45"/>
      <c r="GV209" s="45"/>
      <c r="GW209" s="45"/>
      <c r="GX209" s="45"/>
      <c r="GY209" s="45"/>
      <c r="GZ209" s="45"/>
      <c r="HA209" s="45"/>
      <c r="HB209" s="45"/>
      <c r="HC209" s="45"/>
      <c r="HD209" s="45"/>
      <c r="HE209" s="45"/>
      <c r="HF209" s="45"/>
      <c r="HG209" s="45"/>
      <c r="HH209" s="45"/>
      <c r="HI209" s="45"/>
      <c r="HJ209" s="45"/>
      <c r="HK209" s="45"/>
      <c r="HL209" s="45"/>
      <c r="HM209" s="45"/>
      <c r="HN209" s="45"/>
      <c r="HO209" s="45"/>
      <c r="HP209" s="45"/>
      <c r="HQ209" s="45"/>
      <c r="HR209" s="45"/>
      <c r="HS209" s="45"/>
      <c r="HT209" s="45"/>
      <c r="HU209" s="45"/>
      <c r="HV209" s="45"/>
      <c r="HW209" s="45"/>
      <c r="HX209" s="45"/>
      <c r="HY209" s="45"/>
      <c r="HZ209" s="45"/>
      <c r="IA209" s="45"/>
      <c r="IB209" s="45"/>
      <c r="IC209" s="45"/>
      <c r="ID209" s="45"/>
      <c r="IE209" s="45"/>
      <c r="IF209" s="45"/>
      <c r="IG209" s="45"/>
      <c r="IH209" s="45"/>
      <c r="II209" s="45"/>
      <c r="IJ209" s="45"/>
      <c r="IK209" s="45"/>
      <c r="IL209" s="45"/>
      <c r="IM209" s="45"/>
      <c r="IN209" s="45"/>
      <c r="IO209" s="45"/>
      <c r="IP209" s="45"/>
      <c r="IQ209" s="45"/>
      <c r="IR209" s="45"/>
      <c r="IS209" s="45"/>
      <c r="IT209" s="45"/>
      <c r="IU209" s="45"/>
      <c r="IV209" s="45"/>
      <c r="IW209" s="45"/>
      <c r="IX209" s="45"/>
      <c r="IY209" s="45"/>
      <c r="IZ209" s="45"/>
      <c r="JA209" s="45"/>
      <c r="JB209" s="45"/>
      <c r="JC209" s="45"/>
      <c r="JD209" s="45"/>
      <c r="JE209" s="45"/>
      <c r="JF209" s="45"/>
      <c r="JG209" s="45"/>
      <c r="JH209" s="45"/>
      <c r="JI209" s="45"/>
      <c r="JJ209" s="45"/>
      <c r="JK209" s="45"/>
      <c r="JL209" s="45"/>
      <c r="JM209" s="45"/>
    </row>
    <row r="210" spans="1:273" s="259" customFormat="1" ht="38.25" customHeight="1" x14ac:dyDescent="0.25">
      <c r="A210" s="939"/>
      <c r="B210" s="941"/>
      <c r="C210" s="941"/>
      <c r="D210" s="959"/>
      <c r="E210" s="941"/>
      <c r="F210" s="941"/>
      <c r="G210" s="941"/>
      <c r="H210" s="960"/>
      <c r="I210" s="941"/>
      <c r="J210" s="836" t="s">
        <v>982</v>
      </c>
      <c r="K210" s="836" t="s">
        <v>108</v>
      </c>
      <c r="L210" s="56">
        <v>18550000</v>
      </c>
      <c r="M210" s="56">
        <v>18550000</v>
      </c>
      <c r="N210" s="836" t="s">
        <v>81</v>
      </c>
      <c r="O210" s="836" t="s">
        <v>56</v>
      </c>
      <c r="P210" s="24" t="s">
        <v>126</v>
      </c>
      <c r="Q210" s="1244"/>
      <c r="R210" s="1245"/>
      <c r="S210" s="1245"/>
      <c r="T210" s="1246"/>
      <c r="U210" s="1240"/>
      <c r="V210" s="1240"/>
      <c r="W210" s="1050">
        <v>18550000</v>
      </c>
      <c r="X210" s="1154"/>
      <c r="Y210" s="1209">
        <v>18550000</v>
      </c>
      <c r="Z210" s="1086"/>
      <c r="AA210" s="1086"/>
      <c r="AB210" s="1086"/>
      <c r="AC210" s="1086"/>
      <c r="AD210" s="1086"/>
      <c r="AE210" s="1086"/>
      <c r="AF210" s="1086"/>
      <c r="AG210" s="1086"/>
      <c r="AH210" s="1086"/>
      <c r="AI210" s="1086"/>
      <c r="AJ210" s="1086"/>
      <c r="AK210" s="1247"/>
      <c r="AL210" s="1248"/>
      <c r="AM210" s="1086"/>
      <c r="AN210" s="1086"/>
      <c r="AO210" s="1086"/>
      <c r="AP210" s="1086"/>
      <c r="AQ210" s="1006"/>
      <c r="AR210" s="1006"/>
      <c r="AS210" s="1086"/>
      <c r="AT210" s="1086"/>
      <c r="AU210" s="1086"/>
      <c r="AV210" s="1086"/>
      <c r="AW210" s="1086"/>
      <c r="AX210" s="1086"/>
      <c r="AY210" s="1086"/>
      <c r="AZ210" s="1086"/>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c r="BZ210" s="45"/>
      <c r="CA210" s="45"/>
      <c r="CB210" s="45"/>
      <c r="CC210" s="45"/>
      <c r="CD210" s="45"/>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45"/>
      <c r="DI210" s="45"/>
      <c r="DJ210" s="45"/>
      <c r="DK210" s="45"/>
      <c r="DL210" s="45"/>
      <c r="DM210" s="45"/>
      <c r="DN210" s="45"/>
      <c r="DO210" s="45"/>
      <c r="DP210" s="45"/>
      <c r="DQ210" s="45"/>
      <c r="DR210" s="45"/>
      <c r="DS210" s="45"/>
      <c r="DT210" s="45"/>
      <c r="DU210" s="45"/>
      <c r="DV210" s="45"/>
      <c r="DW210" s="45"/>
      <c r="DX210" s="45"/>
      <c r="DY210" s="45"/>
      <c r="DZ210" s="45"/>
      <c r="EA210" s="45"/>
      <c r="EB210" s="45"/>
      <c r="EC210" s="45"/>
      <c r="ED210" s="45"/>
      <c r="EE210" s="45"/>
      <c r="EF210" s="45"/>
      <c r="EG210" s="45"/>
      <c r="EH210" s="45"/>
      <c r="EI210" s="45"/>
      <c r="EJ210" s="45"/>
      <c r="EK210" s="45"/>
      <c r="EL210" s="45"/>
      <c r="EM210" s="45"/>
      <c r="EN210" s="45"/>
      <c r="EO210" s="45"/>
      <c r="EP210" s="45"/>
      <c r="EQ210" s="45"/>
      <c r="ER210" s="45"/>
      <c r="ES210" s="45"/>
      <c r="ET210" s="45"/>
      <c r="EU210" s="45"/>
      <c r="EV210" s="45"/>
      <c r="EW210" s="45"/>
      <c r="EX210" s="45"/>
      <c r="EY210" s="45"/>
      <c r="EZ210" s="45"/>
      <c r="FA210" s="45"/>
      <c r="FB210" s="45"/>
      <c r="FC210" s="45"/>
      <c r="FD210" s="45"/>
      <c r="FE210" s="45"/>
      <c r="FF210" s="45"/>
      <c r="FG210" s="45"/>
      <c r="FH210" s="45"/>
      <c r="FI210" s="45"/>
      <c r="FJ210" s="45"/>
      <c r="FK210" s="45"/>
      <c r="FL210" s="45"/>
      <c r="FM210" s="45"/>
      <c r="FN210" s="45"/>
      <c r="FO210" s="45"/>
      <c r="FP210" s="45"/>
      <c r="FQ210" s="45"/>
      <c r="FR210" s="45"/>
      <c r="FS210" s="45"/>
      <c r="FT210" s="45"/>
      <c r="FU210" s="45"/>
      <c r="FV210" s="45"/>
      <c r="FW210" s="45"/>
      <c r="FX210" s="45"/>
      <c r="FY210" s="45"/>
      <c r="FZ210" s="45"/>
      <c r="GA210" s="45"/>
      <c r="GB210" s="45"/>
      <c r="GC210" s="45"/>
      <c r="GD210" s="45"/>
      <c r="GE210" s="45"/>
      <c r="GF210" s="45"/>
      <c r="GG210" s="45"/>
      <c r="GH210" s="45"/>
      <c r="GI210" s="45"/>
      <c r="GJ210" s="45"/>
      <c r="GK210" s="45"/>
      <c r="GL210" s="45"/>
      <c r="GM210" s="45"/>
      <c r="GN210" s="45"/>
      <c r="GO210" s="45"/>
      <c r="GP210" s="45"/>
      <c r="GQ210" s="45"/>
      <c r="GR210" s="45"/>
      <c r="GS210" s="45"/>
      <c r="GT210" s="45"/>
      <c r="GU210" s="45"/>
      <c r="GV210" s="45"/>
      <c r="GW210" s="45"/>
      <c r="GX210" s="45"/>
      <c r="GY210" s="45"/>
      <c r="GZ210" s="45"/>
      <c r="HA210" s="45"/>
      <c r="HB210" s="45"/>
      <c r="HC210" s="45"/>
      <c r="HD210" s="45"/>
      <c r="HE210" s="45"/>
      <c r="HF210" s="45"/>
      <c r="HG210" s="45"/>
      <c r="HH210" s="45"/>
      <c r="HI210" s="45"/>
      <c r="HJ210" s="45"/>
      <c r="HK210" s="45"/>
      <c r="HL210" s="45"/>
      <c r="HM210" s="45"/>
      <c r="HN210" s="45"/>
      <c r="HO210" s="45"/>
      <c r="HP210" s="45"/>
      <c r="HQ210" s="45"/>
      <c r="HR210" s="45"/>
      <c r="HS210" s="45"/>
      <c r="HT210" s="45"/>
      <c r="HU210" s="45"/>
      <c r="HV210" s="45"/>
      <c r="HW210" s="45"/>
      <c r="HX210" s="45"/>
      <c r="HY210" s="45"/>
      <c r="HZ210" s="45"/>
      <c r="IA210" s="45"/>
      <c r="IB210" s="45"/>
      <c r="IC210" s="45"/>
      <c r="ID210" s="45"/>
      <c r="IE210" s="45"/>
      <c r="IF210" s="45"/>
      <c r="IG210" s="45"/>
      <c r="IH210" s="45"/>
      <c r="II210" s="45"/>
      <c r="IJ210" s="45"/>
      <c r="IK210" s="45"/>
      <c r="IL210" s="45"/>
      <c r="IM210" s="45"/>
      <c r="IN210" s="45"/>
      <c r="IO210" s="45"/>
      <c r="IP210" s="45"/>
      <c r="IQ210" s="45"/>
      <c r="IR210" s="45"/>
      <c r="IS210" s="45"/>
      <c r="IT210" s="45"/>
      <c r="IU210" s="45"/>
      <c r="IV210" s="45"/>
      <c r="IW210" s="45"/>
      <c r="IX210" s="45"/>
      <c r="IY210" s="45"/>
      <c r="IZ210" s="45"/>
      <c r="JA210" s="45"/>
      <c r="JB210" s="45"/>
      <c r="JC210" s="45"/>
      <c r="JD210" s="45"/>
      <c r="JE210" s="45"/>
      <c r="JF210" s="45"/>
      <c r="JG210" s="45"/>
      <c r="JH210" s="45"/>
      <c r="JI210" s="45"/>
      <c r="JJ210" s="45"/>
      <c r="JK210" s="45"/>
      <c r="JL210" s="45"/>
      <c r="JM210" s="45"/>
    </row>
    <row r="211" spans="1:273" s="259" customFormat="1" ht="48" customHeight="1" x14ac:dyDescent="0.25">
      <c r="A211" s="965">
        <v>188</v>
      </c>
      <c r="B211" s="969" t="s">
        <v>999</v>
      </c>
      <c r="C211" s="940">
        <v>80101706</v>
      </c>
      <c r="D211" s="1240" t="s">
        <v>962</v>
      </c>
      <c r="E211" s="969" t="s">
        <v>125</v>
      </c>
      <c r="F211" s="969">
        <v>1</v>
      </c>
      <c r="G211" s="969" t="s">
        <v>161</v>
      </c>
      <c r="H211" s="968">
        <v>8.8333333333333339</v>
      </c>
      <c r="I211" s="969" t="s">
        <v>96</v>
      </c>
      <c r="J211" s="836" t="s">
        <v>983</v>
      </c>
      <c r="K211" s="836" t="s">
        <v>108</v>
      </c>
      <c r="L211" s="56">
        <v>18550000</v>
      </c>
      <c r="M211" s="56">
        <v>18550000</v>
      </c>
      <c r="N211" s="836" t="s">
        <v>81</v>
      </c>
      <c r="O211" s="836" t="s">
        <v>56</v>
      </c>
      <c r="P211" s="24" t="s">
        <v>126</v>
      </c>
      <c r="Q211" s="1251"/>
      <c r="R211" s="1245" t="s">
        <v>1052</v>
      </c>
      <c r="S211" s="1245" t="s">
        <v>331</v>
      </c>
      <c r="T211" s="1240">
        <v>42459</v>
      </c>
      <c r="U211" s="1240" t="s">
        <v>1059</v>
      </c>
      <c r="V211" s="1240" t="s">
        <v>212</v>
      </c>
      <c r="W211" s="1050">
        <v>18550000</v>
      </c>
      <c r="X211" s="1012"/>
      <c r="Y211" s="30">
        <f>SUM(W211+X211)</f>
        <v>18550000</v>
      </c>
      <c r="Z211" s="1240" t="s">
        <v>1060</v>
      </c>
      <c r="AA211" s="1240" t="s">
        <v>2693</v>
      </c>
      <c r="AB211" s="1240" t="s">
        <v>748</v>
      </c>
      <c r="AC211" s="1240"/>
      <c r="AD211" s="1240" t="s">
        <v>56</v>
      </c>
      <c r="AE211" s="1240" t="s">
        <v>56</v>
      </c>
      <c r="AF211" s="1240" t="s">
        <v>56</v>
      </c>
      <c r="AG211" s="1240" t="s">
        <v>1062</v>
      </c>
      <c r="AH211" s="1240">
        <v>42459</v>
      </c>
      <c r="AI211" s="1240">
        <v>42726</v>
      </c>
      <c r="AJ211" s="1240" t="s">
        <v>328</v>
      </c>
      <c r="AK211" s="1252" t="s">
        <v>329</v>
      </c>
      <c r="AL211" s="1253" t="s">
        <v>56</v>
      </c>
      <c r="AM211" s="1240" t="s">
        <v>56</v>
      </c>
      <c r="AN211" s="1240" t="s">
        <v>56</v>
      </c>
      <c r="AO211" s="1240" t="s">
        <v>56</v>
      </c>
      <c r="AP211" s="1240" t="s">
        <v>56</v>
      </c>
      <c r="AQ211" s="1254">
        <v>4200000</v>
      </c>
      <c r="AR211" s="1254">
        <v>4200000</v>
      </c>
      <c r="AS211" s="1255"/>
      <c r="AT211" s="1254">
        <v>4200000</v>
      </c>
      <c r="AU211" s="1254">
        <v>4200000</v>
      </c>
      <c r="AV211" s="1255"/>
      <c r="AW211" s="1255"/>
      <c r="AX211" s="1255"/>
      <c r="AY211" s="1255"/>
      <c r="AZ211" s="125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c r="EK211" s="45"/>
      <c r="EL211" s="45"/>
      <c r="EM211" s="45"/>
      <c r="EN211" s="45"/>
      <c r="EO211" s="45"/>
      <c r="EP211" s="45"/>
      <c r="EQ211" s="45"/>
      <c r="ER211" s="45"/>
      <c r="ES211" s="45"/>
      <c r="ET211" s="45"/>
      <c r="EU211" s="45"/>
      <c r="EV211" s="45"/>
      <c r="EW211" s="45"/>
      <c r="EX211" s="45"/>
      <c r="EY211" s="45"/>
      <c r="EZ211" s="45"/>
      <c r="FA211" s="45"/>
      <c r="FB211" s="45"/>
      <c r="FC211" s="45"/>
      <c r="FD211" s="45"/>
      <c r="FE211" s="45"/>
      <c r="FF211" s="45"/>
      <c r="FG211" s="45"/>
      <c r="FH211" s="45"/>
      <c r="FI211" s="45"/>
      <c r="FJ211" s="45"/>
      <c r="FK211" s="45"/>
      <c r="FL211" s="45"/>
      <c r="FM211" s="45"/>
      <c r="FN211" s="45"/>
      <c r="FO211" s="45"/>
      <c r="FP211" s="45"/>
      <c r="FQ211" s="45"/>
      <c r="FR211" s="45"/>
      <c r="FS211" s="45"/>
      <c r="FT211" s="45"/>
      <c r="FU211" s="45"/>
      <c r="FV211" s="45"/>
      <c r="FW211" s="45"/>
      <c r="FX211" s="45"/>
      <c r="FY211" s="45"/>
      <c r="FZ211" s="45"/>
      <c r="GA211" s="45"/>
      <c r="GB211" s="45"/>
      <c r="GC211" s="45"/>
      <c r="GD211" s="45"/>
      <c r="GE211" s="45"/>
      <c r="GF211" s="45"/>
      <c r="GG211" s="45"/>
      <c r="GH211" s="45"/>
      <c r="GI211" s="45"/>
      <c r="GJ211" s="45"/>
      <c r="GK211" s="45"/>
      <c r="GL211" s="45"/>
      <c r="GM211" s="45"/>
      <c r="GN211" s="45"/>
      <c r="GO211" s="45"/>
      <c r="GP211" s="45"/>
      <c r="GQ211" s="45"/>
      <c r="GR211" s="45"/>
      <c r="GS211" s="45"/>
      <c r="GT211" s="45"/>
      <c r="GU211" s="45"/>
      <c r="GV211" s="45"/>
      <c r="GW211" s="45"/>
      <c r="GX211" s="45"/>
      <c r="GY211" s="45"/>
      <c r="GZ211" s="45"/>
      <c r="HA211" s="45"/>
      <c r="HB211" s="45"/>
      <c r="HC211" s="45"/>
      <c r="HD211" s="45"/>
      <c r="HE211" s="45"/>
      <c r="HF211" s="45"/>
      <c r="HG211" s="45"/>
      <c r="HH211" s="45"/>
      <c r="HI211" s="45"/>
      <c r="HJ211" s="45"/>
      <c r="HK211" s="45"/>
      <c r="HL211" s="45"/>
      <c r="HM211" s="45"/>
      <c r="HN211" s="45"/>
      <c r="HO211" s="45"/>
      <c r="HP211" s="45"/>
      <c r="HQ211" s="45"/>
      <c r="HR211" s="45"/>
      <c r="HS211" s="45"/>
      <c r="HT211" s="45"/>
      <c r="HU211" s="45"/>
      <c r="HV211" s="45"/>
      <c r="HW211" s="45"/>
      <c r="HX211" s="45"/>
      <c r="HY211" s="45"/>
      <c r="HZ211" s="45"/>
      <c r="IA211" s="45"/>
      <c r="IB211" s="45"/>
      <c r="IC211" s="45"/>
      <c r="ID211" s="45"/>
      <c r="IE211" s="45"/>
      <c r="IF211" s="45"/>
      <c r="IG211" s="45"/>
      <c r="IH211" s="45"/>
      <c r="II211" s="45"/>
      <c r="IJ211" s="45"/>
      <c r="IK211" s="45"/>
      <c r="IL211" s="45"/>
      <c r="IM211" s="45"/>
      <c r="IN211" s="45"/>
      <c r="IO211" s="45"/>
      <c r="IP211" s="45"/>
      <c r="IQ211" s="45"/>
      <c r="IR211" s="45"/>
      <c r="IS211" s="45"/>
      <c r="IT211" s="45"/>
      <c r="IU211" s="45"/>
      <c r="IV211" s="45"/>
      <c r="IW211" s="45"/>
      <c r="IX211" s="45"/>
      <c r="IY211" s="45"/>
      <c r="IZ211" s="45"/>
      <c r="JA211" s="45"/>
      <c r="JB211" s="45"/>
      <c r="JC211" s="45"/>
      <c r="JD211" s="45"/>
      <c r="JE211" s="45"/>
      <c r="JF211" s="45"/>
      <c r="JG211" s="45"/>
      <c r="JH211" s="45"/>
      <c r="JI211" s="45"/>
      <c r="JJ211" s="45"/>
      <c r="JK211" s="45"/>
      <c r="JL211" s="45"/>
      <c r="JM211" s="45"/>
    </row>
    <row r="212" spans="1:273" s="259" customFormat="1" ht="54.75" customHeight="1" x14ac:dyDescent="0.25">
      <c r="A212" s="939"/>
      <c r="B212" s="941"/>
      <c r="C212" s="941"/>
      <c r="D212" s="959"/>
      <c r="E212" s="941"/>
      <c r="F212" s="941"/>
      <c r="G212" s="941"/>
      <c r="H212" s="960"/>
      <c r="I212" s="941"/>
      <c r="J212" s="836" t="s">
        <v>982</v>
      </c>
      <c r="K212" s="836" t="s">
        <v>108</v>
      </c>
      <c r="L212" s="56">
        <v>18550000</v>
      </c>
      <c r="M212" s="56">
        <v>18550000</v>
      </c>
      <c r="N212" s="836" t="s">
        <v>81</v>
      </c>
      <c r="O212" s="836" t="s">
        <v>56</v>
      </c>
      <c r="P212" s="24" t="s">
        <v>126</v>
      </c>
      <c r="Q212" s="1251"/>
      <c r="R212" s="1245"/>
      <c r="S212" s="1245"/>
      <c r="T212" s="1255"/>
      <c r="U212" s="1255"/>
      <c r="V212" s="1255"/>
      <c r="W212" s="1050">
        <v>18550000</v>
      </c>
      <c r="X212" s="94"/>
      <c r="Y212" s="134">
        <v>18550000</v>
      </c>
      <c r="Z212" s="1255"/>
      <c r="AA212" s="1255"/>
      <c r="AB212" s="1255"/>
      <c r="AC212" s="1255"/>
      <c r="AD212" s="1255"/>
      <c r="AE212" s="1255"/>
      <c r="AF212" s="1255"/>
      <c r="AG212" s="1255"/>
      <c r="AH212" s="1255"/>
      <c r="AI212" s="1255"/>
      <c r="AJ212" s="1255"/>
      <c r="AK212" s="1256"/>
      <c r="AL212" s="1257"/>
      <c r="AM212" s="1255"/>
      <c r="AN212" s="1255"/>
      <c r="AO212" s="1255"/>
      <c r="AP212" s="1255"/>
      <c r="AQ212" s="1255"/>
      <c r="AR212" s="1255"/>
      <c r="AS212" s="1255"/>
      <c r="AT212" s="1255"/>
      <c r="AU212" s="1255"/>
      <c r="AV212" s="1255"/>
      <c r="AW212" s="1255"/>
      <c r="AX212" s="1255"/>
      <c r="AY212" s="1255"/>
      <c r="AZ212" s="125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45"/>
      <c r="DI212" s="45"/>
      <c r="DJ212" s="45"/>
      <c r="DK212" s="45"/>
      <c r="DL212" s="45"/>
      <c r="DM212" s="45"/>
      <c r="DN212" s="45"/>
      <c r="DO212" s="45"/>
      <c r="DP212" s="45"/>
      <c r="DQ212" s="45"/>
      <c r="DR212" s="45"/>
      <c r="DS212" s="45"/>
      <c r="DT212" s="45"/>
      <c r="DU212" s="45"/>
      <c r="DV212" s="45"/>
      <c r="DW212" s="45"/>
      <c r="DX212" s="45"/>
      <c r="DY212" s="45"/>
      <c r="DZ212" s="45"/>
      <c r="EA212" s="45"/>
      <c r="EB212" s="45"/>
      <c r="EC212" s="45"/>
      <c r="ED212" s="45"/>
      <c r="EE212" s="45"/>
      <c r="EF212" s="45"/>
      <c r="EG212" s="45"/>
      <c r="EH212" s="45"/>
      <c r="EI212" s="45"/>
      <c r="EJ212" s="45"/>
      <c r="EK212" s="45"/>
      <c r="EL212" s="45"/>
      <c r="EM212" s="45"/>
      <c r="EN212" s="45"/>
      <c r="EO212" s="45"/>
      <c r="EP212" s="45"/>
      <c r="EQ212" s="45"/>
      <c r="ER212" s="45"/>
      <c r="ES212" s="45"/>
      <c r="ET212" s="45"/>
      <c r="EU212" s="45"/>
      <c r="EV212" s="45"/>
      <c r="EW212" s="45"/>
      <c r="EX212" s="45"/>
      <c r="EY212" s="45"/>
      <c r="EZ212" s="45"/>
      <c r="FA212" s="45"/>
      <c r="FB212" s="45"/>
      <c r="FC212" s="45"/>
      <c r="FD212" s="45"/>
      <c r="FE212" s="45"/>
      <c r="FF212" s="45"/>
      <c r="FG212" s="45"/>
      <c r="FH212" s="45"/>
      <c r="FI212" s="45"/>
      <c r="FJ212" s="45"/>
      <c r="FK212" s="45"/>
      <c r="FL212" s="45"/>
      <c r="FM212" s="45"/>
      <c r="FN212" s="45"/>
      <c r="FO212" s="45"/>
      <c r="FP212" s="45"/>
      <c r="FQ212" s="45"/>
      <c r="FR212" s="45"/>
      <c r="FS212" s="45"/>
      <c r="FT212" s="45"/>
      <c r="FU212" s="45"/>
      <c r="FV212" s="45"/>
      <c r="FW212" s="45"/>
      <c r="FX212" s="45"/>
      <c r="FY212" s="45"/>
      <c r="FZ212" s="45"/>
      <c r="GA212" s="45"/>
      <c r="GB212" s="45"/>
      <c r="GC212" s="45"/>
      <c r="GD212" s="45"/>
      <c r="GE212" s="45"/>
      <c r="GF212" s="45"/>
      <c r="GG212" s="45"/>
      <c r="GH212" s="45"/>
      <c r="GI212" s="45"/>
      <c r="GJ212" s="45"/>
      <c r="GK212" s="45"/>
      <c r="GL212" s="45"/>
      <c r="GM212" s="45"/>
      <c r="GN212" s="45"/>
      <c r="GO212" s="45"/>
      <c r="GP212" s="45"/>
      <c r="GQ212" s="45"/>
      <c r="GR212" s="45"/>
      <c r="GS212" s="45"/>
      <c r="GT212" s="45"/>
      <c r="GU212" s="45"/>
      <c r="GV212" s="45"/>
      <c r="GW212" s="45"/>
      <c r="GX212" s="45"/>
      <c r="GY212" s="45"/>
      <c r="GZ212" s="45"/>
      <c r="HA212" s="45"/>
      <c r="HB212" s="45"/>
      <c r="HC212" s="45"/>
      <c r="HD212" s="45"/>
      <c r="HE212" s="45"/>
      <c r="HF212" s="45"/>
      <c r="HG212" s="45"/>
      <c r="HH212" s="45"/>
      <c r="HI212" s="45"/>
      <c r="HJ212" s="45"/>
      <c r="HK212" s="45"/>
      <c r="HL212" s="45"/>
      <c r="HM212" s="45"/>
      <c r="HN212" s="45"/>
      <c r="HO212" s="45"/>
      <c r="HP212" s="45"/>
      <c r="HQ212" s="45"/>
      <c r="HR212" s="45"/>
      <c r="HS212" s="45"/>
      <c r="HT212" s="45"/>
      <c r="HU212" s="45"/>
      <c r="HV212" s="45"/>
      <c r="HW212" s="45"/>
      <c r="HX212" s="45"/>
      <c r="HY212" s="45"/>
      <c r="HZ212" s="45"/>
      <c r="IA212" s="45"/>
      <c r="IB212" s="45"/>
      <c r="IC212" s="45"/>
      <c r="ID212" s="45"/>
      <c r="IE212" s="45"/>
      <c r="IF212" s="45"/>
      <c r="IG212" s="45"/>
      <c r="IH212" s="45"/>
      <c r="II212" s="45"/>
      <c r="IJ212" s="45"/>
      <c r="IK212" s="45"/>
      <c r="IL212" s="45"/>
      <c r="IM212" s="45"/>
      <c r="IN212" s="45"/>
      <c r="IO212" s="45"/>
      <c r="IP212" s="45"/>
      <c r="IQ212" s="45"/>
      <c r="IR212" s="45"/>
      <c r="IS212" s="45"/>
      <c r="IT212" s="45"/>
      <c r="IU212" s="45"/>
      <c r="IV212" s="45"/>
      <c r="IW212" s="45"/>
      <c r="IX212" s="45"/>
      <c r="IY212" s="45"/>
      <c r="IZ212" s="45"/>
      <c r="JA212" s="45"/>
      <c r="JB212" s="45"/>
      <c r="JC212" s="45"/>
      <c r="JD212" s="45"/>
      <c r="JE212" s="45"/>
      <c r="JF212" s="45"/>
      <c r="JG212" s="45"/>
      <c r="JH212" s="45"/>
      <c r="JI212" s="45"/>
      <c r="JJ212" s="45"/>
      <c r="JK212" s="45"/>
      <c r="JL212" s="45"/>
      <c r="JM212" s="45"/>
    </row>
    <row r="213" spans="1:273" s="259" customFormat="1" ht="59.25" customHeight="1" x14ac:dyDescent="0.25">
      <c r="A213" s="1258">
        <v>189</v>
      </c>
      <c r="B213" s="940" t="s">
        <v>708</v>
      </c>
      <c r="C213" s="940">
        <v>80101706</v>
      </c>
      <c r="D213" s="1021" t="s">
        <v>1208</v>
      </c>
      <c r="E213" s="940" t="s">
        <v>125</v>
      </c>
      <c r="F213" s="940">
        <v>1</v>
      </c>
      <c r="G213" s="940" t="s">
        <v>164</v>
      </c>
      <c r="H213" s="1259">
        <v>8.5</v>
      </c>
      <c r="I213" s="940" t="s">
        <v>96</v>
      </c>
      <c r="J213" s="836" t="s">
        <v>983</v>
      </c>
      <c r="K213" s="836" t="s">
        <v>108</v>
      </c>
      <c r="L213" s="56">
        <v>7586500</v>
      </c>
      <c r="M213" s="56">
        <v>7586500</v>
      </c>
      <c r="N213" s="838" t="s">
        <v>81</v>
      </c>
      <c r="O213" s="838" t="s">
        <v>56</v>
      </c>
      <c r="P213" s="24" t="s">
        <v>126</v>
      </c>
      <c r="Q213" s="45"/>
      <c r="R213" s="1019" t="s">
        <v>1247</v>
      </c>
      <c r="S213" s="1019" t="s">
        <v>745</v>
      </c>
      <c r="T213" s="1020">
        <v>42472</v>
      </c>
      <c r="U213" s="1021" t="s">
        <v>1248</v>
      </c>
      <c r="V213" s="1021" t="s">
        <v>212</v>
      </c>
      <c r="W213" s="1050">
        <v>7586500</v>
      </c>
      <c r="X213" s="138"/>
      <c r="Y213" s="134">
        <v>7586500</v>
      </c>
      <c r="Z213" s="988" t="s">
        <v>1249</v>
      </c>
      <c r="AA213" s="1021" t="s">
        <v>1250</v>
      </c>
      <c r="AB213" s="1021" t="s">
        <v>748</v>
      </c>
      <c r="AC213" s="1021"/>
      <c r="AD213" s="1021" t="s">
        <v>56</v>
      </c>
      <c r="AE213" s="1021" t="s">
        <v>56</v>
      </c>
      <c r="AF213" s="1021" t="s">
        <v>56</v>
      </c>
      <c r="AG213" s="1155" t="s">
        <v>1251</v>
      </c>
      <c r="AH213" s="1024">
        <v>42472</v>
      </c>
      <c r="AI213" s="1024">
        <v>42729</v>
      </c>
      <c r="AJ213" s="1021" t="s">
        <v>328</v>
      </c>
      <c r="AK213" s="1260" t="s">
        <v>329</v>
      </c>
      <c r="AL213" s="1148" t="s">
        <v>56</v>
      </c>
      <c r="AM213" s="1148" t="s">
        <v>56</v>
      </c>
      <c r="AN213" s="1148" t="s">
        <v>56</v>
      </c>
      <c r="AO213" s="1148" t="s">
        <v>56</v>
      </c>
      <c r="AP213" s="1148" t="s">
        <v>56</v>
      </c>
      <c r="AQ213" s="1153">
        <v>1785000</v>
      </c>
      <c r="AR213" s="1104">
        <v>1785000</v>
      </c>
      <c r="AS213" s="138"/>
      <c r="AT213" s="1104">
        <v>1785000</v>
      </c>
      <c r="AU213" s="138"/>
      <c r="AV213" s="138"/>
      <c r="AW213" s="138"/>
      <c r="AX213" s="138"/>
      <c r="AY213" s="138"/>
      <c r="AZ213" s="138"/>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c r="DY213" s="45"/>
      <c r="DZ213" s="45"/>
      <c r="EA213" s="45"/>
      <c r="EB213" s="45"/>
      <c r="EC213" s="45"/>
      <c r="ED213" s="45"/>
      <c r="EE213" s="45"/>
      <c r="EF213" s="45"/>
      <c r="EG213" s="45"/>
      <c r="EH213" s="45"/>
      <c r="EI213" s="45"/>
      <c r="EJ213" s="45"/>
      <c r="EK213" s="45"/>
      <c r="EL213" s="45"/>
      <c r="EM213" s="45"/>
      <c r="EN213" s="45"/>
      <c r="EO213" s="45"/>
      <c r="EP213" s="45"/>
      <c r="EQ213" s="45"/>
      <c r="ER213" s="45"/>
      <c r="ES213" s="45"/>
      <c r="ET213" s="45"/>
      <c r="EU213" s="45"/>
      <c r="EV213" s="45"/>
      <c r="EW213" s="45"/>
      <c r="EX213" s="45"/>
      <c r="EY213" s="45"/>
      <c r="EZ213" s="45"/>
      <c r="FA213" s="45"/>
      <c r="FB213" s="45"/>
      <c r="FC213" s="45"/>
      <c r="FD213" s="45"/>
      <c r="FE213" s="45"/>
      <c r="FF213" s="45"/>
      <c r="FG213" s="45"/>
      <c r="FH213" s="45"/>
      <c r="FI213" s="45"/>
      <c r="FJ213" s="45"/>
      <c r="FK213" s="45"/>
      <c r="FL213" s="45"/>
      <c r="FM213" s="45"/>
      <c r="FN213" s="45"/>
      <c r="FO213" s="45"/>
      <c r="FP213" s="45"/>
      <c r="FQ213" s="45"/>
      <c r="FR213" s="45"/>
      <c r="FS213" s="45"/>
      <c r="FT213" s="45"/>
      <c r="FU213" s="45"/>
      <c r="FV213" s="45"/>
      <c r="FW213" s="45"/>
      <c r="FX213" s="45"/>
      <c r="FY213" s="45"/>
      <c r="FZ213" s="45"/>
      <c r="GA213" s="45"/>
      <c r="GB213" s="45"/>
      <c r="GC213" s="45"/>
      <c r="GD213" s="45"/>
      <c r="GE213" s="45"/>
      <c r="GF213" s="45"/>
      <c r="GG213" s="45"/>
      <c r="GH213" s="45"/>
      <c r="GI213" s="45"/>
      <c r="GJ213" s="45"/>
      <c r="GK213" s="45"/>
      <c r="GL213" s="45"/>
      <c r="GM213" s="45"/>
      <c r="GN213" s="45"/>
      <c r="GO213" s="45"/>
      <c r="GP213" s="45"/>
      <c r="GQ213" s="45"/>
      <c r="GR213" s="45"/>
      <c r="GS213" s="45"/>
      <c r="GT213" s="45"/>
      <c r="GU213" s="45"/>
      <c r="GV213" s="45"/>
      <c r="GW213" s="45"/>
      <c r="GX213" s="45"/>
      <c r="GY213" s="45"/>
      <c r="GZ213" s="45"/>
      <c r="HA213" s="45"/>
      <c r="HB213" s="45"/>
      <c r="HC213" s="45"/>
      <c r="HD213" s="45"/>
      <c r="HE213" s="45"/>
      <c r="HF213" s="45"/>
      <c r="HG213" s="45"/>
      <c r="HH213" s="45"/>
      <c r="HI213" s="45"/>
      <c r="HJ213" s="45"/>
      <c r="HK213" s="45"/>
      <c r="HL213" s="45"/>
      <c r="HM213" s="45"/>
      <c r="HN213" s="45"/>
      <c r="HO213" s="45"/>
      <c r="HP213" s="45"/>
      <c r="HQ213" s="45"/>
      <c r="HR213" s="45"/>
      <c r="HS213" s="45"/>
      <c r="HT213" s="45"/>
      <c r="HU213" s="45"/>
      <c r="HV213" s="45"/>
      <c r="HW213" s="45"/>
      <c r="HX213" s="45"/>
      <c r="HY213" s="45"/>
      <c r="HZ213" s="45"/>
      <c r="IA213" s="45"/>
      <c r="IB213" s="45"/>
      <c r="IC213" s="45"/>
      <c r="ID213" s="45"/>
      <c r="IE213" s="45"/>
      <c r="IF213" s="45"/>
      <c r="IG213" s="45"/>
      <c r="IH213" s="45"/>
      <c r="II213" s="45"/>
      <c r="IJ213" s="45"/>
      <c r="IK213" s="45"/>
      <c r="IL213" s="45"/>
      <c r="IM213" s="45"/>
      <c r="IN213" s="45"/>
      <c r="IO213" s="45"/>
      <c r="IP213" s="45"/>
      <c r="IQ213" s="45"/>
      <c r="IR213" s="45"/>
      <c r="IS213" s="45"/>
      <c r="IT213" s="45"/>
      <c r="IU213" s="45"/>
      <c r="IV213" s="45"/>
      <c r="IW213" s="45"/>
      <c r="IX213" s="45"/>
      <c r="IY213" s="45"/>
      <c r="IZ213" s="45"/>
      <c r="JA213" s="45"/>
      <c r="JB213" s="45"/>
      <c r="JC213" s="45"/>
      <c r="JD213" s="45"/>
      <c r="JE213" s="45"/>
      <c r="JF213" s="45"/>
      <c r="JG213" s="45"/>
      <c r="JH213" s="45"/>
      <c r="JI213" s="45"/>
      <c r="JJ213" s="45"/>
      <c r="JK213" s="45"/>
      <c r="JL213" s="45"/>
      <c r="JM213" s="45"/>
    </row>
    <row r="214" spans="1:273" s="259" customFormat="1" ht="51.75" customHeight="1" x14ac:dyDescent="0.25">
      <c r="A214" s="1261"/>
      <c r="B214" s="941"/>
      <c r="C214" s="941"/>
      <c r="D214" s="959"/>
      <c r="E214" s="941"/>
      <c r="F214" s="941"/>
      <c r="G214" s="941"/>
      <c r="H214" s="960"/>
      <c r="I214" s="941"/>
      <c r="J214" s="836" t="s">
        <v>982</v>
      </c>
      <c r="K214" s="836" t="s">
        <v>108</v>
      </c>
      <c r="L214" s="56">
        <v>7586500</v>
      </c>
      <c r="M214" s="56">
        <v>7586500</v>
      </c>
      <c r="N214" s="836" t="s">
        <v>81</v>
      </c>
      <c r="O214" s="836" t="s">
        <v>56</v>
      </c>
      <c r="P214" s="24" t="s">
        <v>126</v>
      </c>
      <c r="Q214" s="45"/>
      <c r="R214" s="1027"/>
      <c r="S214" s="1027"/>
      <c r="T214" s="1028"/>
      <c r="U214" s="959"/>
      <c r="V214" s="959"/>
      <c r="W214" s="1050">
        <v>7586500</v>
      </c>
      <c r="X214" s="138"/>
      <c r="Y214" s="134">
        <v>7586500</v>
      </c>
      <c r="Z214" s="1006"/>
      <c r="AA214" s="959"/>
      <c r="AB214" s="959"/>
      <c r="AC214" s="959"/>
      <c r="AD214" s="959"/>
      <c r="AE214" s="959"/>
      <c r="AF214" s="959"/>
      <c r="AG214" s="1161"/>
      <c r="AH214" s="1030"/>
      <c r="AI214" s="1030"/>
      <c r="AJ214" s="959"/>
      <c r="AK214" s="1243"/>
      <c r="AL214" s="592"/>
      <c r="AM214" s="138"/>
      <c r="AN214" s="138"/>
      <c r="AO214" s="138"/>
      <c r="AP214" s="138"/>
      <c r="AQ214" s="138"/>
      <c r="AR214" s="138"/>
      <c r="AS214" s="138"/>
      <c r="AT214" s="138"/>
      <c r="AU214" s="138"/>
      <c r="AV214" s="138"/>
      <c r="AW214" s="138"/>
      <c r="AX214" s="138"/>
      <c r="AY214" s="138"/>
      <c r="AZ214" s="138"/>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c r="BZ214" s="45"/>
      <c r="CA214" s="45"/>
      <c r="CB214" s="45"/>
      <c r="CC214" s="45"/>
      <c r="CD214" s="45"/>
      <c r="CE214" s="45"/>
      <c r="CF214" s="45"/>
      <c r="CG214" s="45"/>
      <c r="CH214" s="45"/>
      <c r="CI214" s="45"/>
      <c r="CJ214" s="45"/>
      <c r="CK214" s="45"/>
      <c r="CL214" s="45"/>
      <c r="CM214" s="45"/>
      <c r="CN214" s="45"/>
      <c r="CO214" s="45"/>
      <c r="CP214" s="45"/>
      <c r="CQ214" s="45"/>
      <c r="CR214" s="45"/>
      <c r="CS214" s="45"/>
      <c r="CT214" s="45"/>
      <c r="CU214" s="45"/>
      <c r="CV214" s="45"/>
      <c r="CW214" s="45"/>
      <c r="CX214" s="45"/>
      <c r="CY214" s="45"/>
      <c r="CZ214" s="45"/>
      <c r="DA214" s="45"/>
      <c r="DB214" s="45"/>
      <c r="DC214" s="45"/>
      <c r="DD214" s="45"/>
      <c r="DE214" s="45"/>
      <c r="DF214" s="45"/>
      <c r="DG214" s="45"/>
      <c r="DH214" s="45"/>
      <c r="DI214" s="45"/>
      <c r="DJ214" s="45"/>
      <c r="DK214" s="45"/>
      <c r="DL214" s="45"/>
      <c r="DM214" s="45"/>
      <c r="DN214" s="45"/>
      <c r="DO214" s="45"/>
      <c r="DP214" s="45"/>
      <c r="DQ214" s="45"/>
      <c r="DR214" s="45"/>
      <c r="DS214" s="45"/>
      <c r="DT214" s="45"/>
      <c r="DU214" s="45"/>
      <c r="DV214" s="45"/>
      <c r="DW214" s="45"/>
      <c r="DX214" s="45"/>
      <c r="DY214" s="45"/>
      <c r="DZ214" s="45"/>
      <c r="EA214" s="45"/>
      <c r="EB214" s="45"/>
      <c r="EC214" s="45"/>
      <c r="ED214" s="45"/>
      <c r="EE214" s="45"/>
      <c r="EF214" s="45"/>
      <c r="EG214" s="45"/>
      <c r="EH214" s="45"/>
      <c r="EI214" s="45"/>
      <c r="EJ214" s="45"/>
      <c r="EK214" s="45"/>
      <c r="EL214" s="45"/>
      <c r="EM214" s="45"/>
      <c r="EN214" s="45"/>
      <c r="EO214" s="45"/>
      <c r="EP214" s="45"/>
      <c r="EQ214" s="45"/>
      <c r="ER214" s="45"/>
      <c r="ES214" s="45"/>
      <c r="ET214" s="45"/>
      <c r="EU214" s="45"/>
      <c r="EV214" s="45"/>
      <c r="EW214" s="45"/>
      <c r="EX214" s="45"/>
      <c r="EY214" s="45"/>
      <c r="EZ214" s="45"/>
      <c r="FA214" s="45"/>
      <c r="FB214" s="45"/>
      <c r="FC214" s="45"/>
      <c r="FD214" s="45"/>
      <c r="FE214" s="45"/>
      <c r="FF214" s="45"/>
      <c r="FG214" s="45"/>
      <c r="FH214" s="45"/>
      <c r="FI214" s="45"/>
      <c r="FJ214" s="45"/>
      <c r="FK214" s="45"/>
      <c r="FL214" s="45"/>
      <c r="FM214" s="45"/>
      <c r="FN214" s="45"/>
      <c r="FO214" s="45"/>
      <c r="FP214" s="45"/>
      <c r="FQ214" s="45"/>
      <c r="FR214" s="45"/>
      <c r="FS214" s="45"/>
      <c r="FT214" s="45"/>
      <c r="FU214" s="45"/>
      <c r="FV214" s="45"/>
      <c r="FW214" s="45"/>
      <c r="FX214" s="45"/>
      <c r="FY214" s="45"/>
      <c r="FZ214" s="45"/>
      <c r="GA214" s="45"/>
      <c r="GB214" s="45"/>
      <c r="GC214" s="45"/>
      <c r="GD214" s="45"/>
      <c r="GE214" s="45"/>
      <c r="GF214" s="45"/>
      <c r="GG214" s="45"/>
      <c r="GH214" s="45"/>
      <c r="GI214" s="45"/>
      <c r="GJ214" s="45"/>
      <c r="GK214" s="45"/>
      <c r="GL214" s="45"/>
      <c r="GM214" s="45"/>
      <c r="GN214" s="45"/>
      <c r="GO214" s="45"/>
      <c r="GP214" s="45"/>
      <c r="GQ214" s="45"/>
      <c r="GR214" s="45"/>
      <c r="GS214" s="45"/>
      <c r="GT214" s="45"/>
      <c r="GU214" s="45"/>
      <c r="GV214" s="45"/>
      <c r="GW214" s="45"/>
      <c r="GX214" s="45"/>
      <c r="GY214" s="45"/>
      <c r="GZ214" s="45"/>
      <c r="HA214" s="45"/>
      <c r="HB214" s="45"/>
      <c r="HC214" s="45"/>
      <c r="HD214" s="45"/>
      <c r="HE214" s="45"/>
      <c r="HF214" s="45"/>
      <c r="HG214" s="45"/>
      <c r="HH214" s="45"/>
      <c r="HI214" s="45"/>
      <c r="HJ214" s="45"/>
      <c r="HK214" s="45"/>
      <c r="HL214" s="45"/>
      <c r="HM214" s="45"/>
      <c r="HN214" s="45"/>
      <c r="HO214" s="45"/>
      <c r="HP214" s="45"/>
      <c r="HQ214" s="45"/>
      <c r="HR214" s="45"/>
      <c r="HS214" s="45"/>
      <c r="HT214" s="45"/>
      <c r="HU214" s="45"/>
      <c r="HV214" s="45"/>
      <c r="HW214" s="45"/>
      <c r="HX214" s="45"/>
      <c r="HY214" s="45"/>
      <c r="HZ214" s="45"/>
      <c r="IA214" s="45"/>
      <c r="IB214" s="45"/>
      <c r="IC214" s="45"/>
      <c r="ID214" s="45"/>
      <c r="IE214" s="45"/>
      <c r="IF214" s="45"/>
      <c r="IG214" s="45"/>
      <c r="IH214" s="45"/>
      <c r="II214" s="45"/>
      <c r="IJ214" s="45"/>
      <c r="IK214" s="45"/>
      <c r="IL214" s="45"/>
      <c r="IM214" s="45"/>
      <c r="IN214" s="45"/>
      <c r="IO214" s="45"/>
      <c r="IP214" s="45"/>
      <c r="IQ214" s="45"/>
      <c r="IR214" s="45"/>
      <c r="IS214" s="45"/>
      <c r="IT214" s="45"/>
      <c r="IU214" s="45"/>
      <c r="IV214" s="45"/>
      <c r="IW214" s="45"/>
      <c r="IX214" s="45"/>
      <c r="IY214" s="45"/>
      <c r="IZ214" s="45"/>
      <c r="JA214" s="45"/>
      <c r="JB214" s="45"/>
      <c r="JC214" s="45"/>
      <c r="JD214" s="45"/>
      <c r="JE214" s="45"/>
      <c r="JF214" s="45"/>
      <c r="JG214" s="45"/>
      <c r="JH214" s="45"/>
      <c r="JI214" s="45"/>
      <c r="JJ214" s="45"/>
      <c r="JK214" s="45"/>
      <c r="JL214" s="45"/>
      <c r="JM214" s="45"/>
    </row>
    <row r="215" spans="1:273" s="259" customFormat="1" ht="54.75" customHeight="1" x14ac:dyDescent="0.4">
      <c r="A215" s="832">
        <v>190</v>
      </c>
      <c r="B215" s="836" t="s">
        <v>998</v>
      </c>
      <c r="C215" s="833">
        <v>81111812</v>
      </c>
      <c r="D215" s="175" t="s">
        <v>967</v>
      </c>
      <c r="E215" s="836" t="s">
        <v>125</v>
      </c>
      <c r="F215" s="833">
        <v>1</v>
      </c>
      <c r="G215" s="834" t="s">
        <v>163</v>
      </c>
      <c r="H215" s="485">
        <v>12</v>
      </c>
      <c r="I215" s="73" t="s">
        <v>140</v>
      </c>
      <c r="J215" s="836" t="s">
        <v>2846</v>
      </c>
      <c r="K215" s="833" t="s">
        <v>108</v>
      </c>
      <c r="L215" s="69">
        <v>19205000</v>
      </c>
      <c r="M215" s="69">
        <v>19205000</v>
      </c>
      <c r="N215" s="836" t="s">
        <v>81</v>
      </c>
      <c r="O215" s="836" t="s">
        <v>56</v>
      </c>
      <c r="P215" s="58" t="s">
        <v>61</v>
      </c>
      <c r="Q215" s="45"/>
      <c r="R215" s="1233"/>
      <c r="S215" s="637"/>
      <c r="T215" s="138"/>
      <c r="U215" s="138"/>
      <c r="V215" s="138"/>
      <c r="W215" s="138"/>
      <c r="X215" s="138"/>
      <c r="Y215" s="134">
        <f t="shared" ref="Y215:Y272" si="4">SUM(W215+X215)</f>
        <v>0</v>
      </c>
      <c r="Z215" s="138"/>
      <c r="AA215" s="138"/>
      <c r="AB215" s="138"/>
      <c r="AC215" s="138"/>
      <c r="AD215" s="138"/>
      <c r="AE215" s="138"/>
      <c r="AF215" s="138"/>
      <c r="AG215" s="138"/>
      <c r="AH215" s="138"/>
      <c r="AI215" s="138"/>
      <c r="AJ215" s="138"/>
      <c r="AK215" s="635"/>
      <c r="AL215" s="592"/>
      <c r="AM215" s="138"/>
      <c r="AN215" s="138"/>
      <c r="AO215" s="138"/>
      <c r="AP215" s="138"/>
      <c r="AQ215" s="138"/>
      <c r="AR215" s="138"/>
      <c r="AS215" s="138"/>
      <c r="AT215" s="138"/>
      <c r="AU215" s="138"/>
      <c r="AV215" s="138"/>
      <c r="AW215" s="138"/>
      <c r="AX215" s="138"/>
      <c r="AY215" s="138"/>
      <c r="AZ215" s="138"/>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c r="DY215" s="45"/>
      <c r="DZ215" s="45"/>
      <c r="EA215" s="45"/>
      <c r="EB215" s="45"/>
      <c r="EC215" s="45"/>
      <c r="ED215" s="45"/>
      <c r="EE215" s="45"/>
      <c r="EF215" s="45"/>
      <c r="EG215" s="45"/>
      <c r="EH215" s="45"/>
      <c r="EI215" s="45"/>
      <c r="EJ215" s="45"/>
      <c r="EK215" s="45"/>
      <c r="EL215" s="45"/>
      <c r="EM215" s="45"/>
      <c r="EN215" s="45"/>
      <c r="EO215" s="45"/>
      <c r="EP215" s="45"/>
      <c r="EQ215" s="45"/>
      <c r="ER215" s="45"/>
      <c r="ES215" s="45"/>
      <c r="ET215" s="45"/>
      <c r="EU215" s="45"/>
      <c r="EV215" s="45"/>
      <c r="EW215" s="45"/>
      <c r="EX215" s="45"/>
      <c r="EY215" s="45"/>
      <c r="EZ215" s="45"/>
      <c r="FA215" s="45"/>
      <c r="FB215" s="45"/>
      <c r="FC215" s="45"/>
      <c r="FD215" s="45"/>
      <c r="FE215" s="45"/>
      <c r="FF215" s="45"/>
      <c r="FG215" s="45"/>
      <c r="FH215" s="45"/>
      <c r="FI215" s="45"/>
      <c r="FJ215" s="45"/>
      <c r="FK215" s="45"/>
      <c r="FL215" s="45"/>
      <c r="FM215" s="45"/>
      <c r="FN215" s="45"/>
      <c r="FO215" s="45"/>
      <c r="FP215" s="45"/>
      <c r="FQ215" s="45"/>
      <c r="FR215" s="45"/>
      <c r="FS215" s="45"/>
      <c r="FT215" s="45"/>
      <c r="FU215" s="45"/>
      <c r="FV215" s="45"/>
      <c r="FW215" s="45"/>
      <c r="FX215" s="45"/>
      <c r="FY215" s="45"/>
      <c r="FZ215" s="45"/>
      <c r="GA215" s="45"/>
      <c r="GB215" s="45"/>
      <c r="GC215" s="45"/>
      <c r="GD215" s="45"/>
      <c r="GE215" s="45"/>
      <c r="GF215" s="45"/>
      <c r="GG215" s="45"/>
      <c r="GH215" s="45"/>
      <c r="GI215" s="45"/>
      <c r="GJ215" s="45"/>
      <c r="GK215" s="45"/>
      <c r="GL215" s="45"/>
      <c r="GM215" s="45"/>
      <c r="GN215" s="45"/>
      <c r="GO215" s="45"/>
      <c r="GP215" s="45"/>
      <c r="GQ215" s="45"/>
      <c r="GR215" s="45"/>
      <c r="GS215" s="45"/>
      <c r="GT215" s="45"/>
      <c r="GU215" s="45"/>
      <c r="GV215" s="45"/>
      <c r="GW215" s="45"/>
      <c r="GX215" s="45"/>
      <c r="GY215" s="45"/>
      <c r="GZ215" s="45"/>
      <c r="HA215" s="45"/>
      <c r="HB215" s="45"/>
      <c r="HC215" s="45"/>
      <c r="HD215" s="45"/>
      <c r="HE215" s="45"/>
      <c r="HF215" s="45"/>
      <c r="HG215" s="45"/>
      <c r="HH215" s="45"/>
      <c r="HI215" s="45"/>
      <c r="HJ215" s="45"/>
      <c r="HK215" s="45"/>
      <c r="HL215" s="45"/>
      <c r="HM215" s="45"/>
      <c r="HN215" s="45"/>
      <c r="HO215" s="45"/>
      <c r="HP215" s="45"/>
      <c r="HQ215" s="45"/>
      <c r="HR215" s="45"/>
      <c r="HS215" s="45"/>
      <c r="HT215" s="45"/>
      <c r="HU215" s="45"/>
      <c r="HV215" s="45"/>
      <c r="HW215" s="45"/>
      <c r="HX215" s="45"/>
      <c r="HY215" s="45"/>
      <c r="HZ215" s="45"/>
      <c r="IA215" s="45"/>
      <c r="IB215" s="45"/>
      <c r="IC215" s="45"/>
      <c r="ID215" s="45"/>
      <c r="IE215" s="45"/>
      <c r="IF215" s="45"/>
      <c r="IG215" s="45"/>
      <c r="IH215" s="45"/>
      <c r="II215" s="45"/>
      <c r="IJ215" s="45"/>
      <c r="IK215" s="45"/>
      <c r="IL215" s="45"/>
      <c r="IM215" s="45"/>
      <c r="IN215" s="45"/>
      <c r="IO215" s="45"/>
      <c r="IP215" s="45"/>
      <c r="IQ215" s="45"/>
      <c r="IR215" s="45"/>
      <c r="IS215" s="45"/>
      <c r="IT215" s="45"/>
      <c r="IU215" s="45"/>
      <c r="IV215" s="45"/>
      <c r="IW215" s="45"/>
      <c r="IX215" s="45"/>
      <c r="IY215" s="45"/>
      <c r="IZ215" s="45"/>
      <c r="JA215" s="45"/>
      <c r="JB215" s="45"/>
      <c r="JC215" s="45"/>
      <c r="JD215" s="45"/>
      <c r="JE215" s="45"/>
      <c r="JF215" s="45"/>
      <c r="JG215" s="45"/>
      <c r="JH215" s="45"/>
      <c r="JI215" s="45"/>
      <c r="JJ215" s="45"/>
      <c r="JK215" s="45"/>
      <c r="JL215" s="45"/>
      <c r="JM215" s="45"/>
    </row>
    <row r="216" spans="1:273" s="259" customFormat="1" ht="97.5" customHeight="1" x14ac:dyDescent="0.25">
      <c r="A216" s="832">
        <v>191</v>
      </c>
      <c r="B216" s="836" t="s">
        <v>998</v>
      </c>
      <c r="C216" s="833">
        <v>81112501</v>
      </c>
      <c r="D216" s="175" t="s">
        <v>968</v>
      </c>
      <c r="E216" s="836" t="s">
        <v>125</v>
      </c>
      <c r="F216" s="833">
        <v>1</v>
      </c>
      <c r="G216" s="834" t="s">
        <v>969</v>
      </c>
      <c r="H216" s="485">
        <v>12</v>
      </c>
      <c r="I216" s="836" t="s">
        <v>80</v>
      </c>
      <c r="J216" s="833" t="s">
        <v>60</v>
      </c>
      <c r="K216" s="833" t="s">
        <v>55</v>
      </c>
      <c r="L216" s="69">
        <v>209000000</v>
      </c>
      <c r="M216" s="69">
        <v>209000000</v>
      </c>
      <c r="N216" s="836" t="s">
        <v>81</v>
      </c>
      <c r="O216" s="836" t="s">
        <v>56</v>
      </c>
      <c r="P216" s="58" t="s">
        <v>61</v>
      </c>
      <c r="Q216" s="45"/>
      <c r="R216" s="172" t="s">
        <v>2868</v>
      </c>
      <c r="S216" s="1004" t="s">
        <v>2869</v>
      </c>
      <c r="T216" s="28">
        <v>42559</v>
      </c>
      <c r="U216" s="29" t="s">
        <v>2870</v>
      </c>
      <c r="V216" s="181" t="s">
        <v>594</v>
      </c>
      <c r="W216" s="1005">
        <v>208136287</v>
      </c>
      <c r="X216" s="138"/>
      <c r="Y216" s="134">
        <f t="shared" si="4"/>
        <v>208136287</v>
      </c>
      <c r="Z216" s="831" t="s">
        <v>2871</v>
      </c>
      <c r="AA216" s="411" t="s">
        <v>2872</v>
      </c>
      <c r="AB216" s="411" t="s">
        <v>35</v>
      </c>
      <c r="AC216" s="181" t="s">
        <v>2873</v>
      </c>
      <c r="AD216" s="411" t="s">
        <v>56</v>
      </c>
      <c r="AE216" s="411" t="s">
        <v>56</v>
      </c>
      <c r="AF216" s="411" t="s">
        <v>56</v>
      </c>
      <c r="AG216" s="831" t="s">
        <v>2874</v>
      </c>
      <c r="AH216" s="169">
        <v>42643</v>
      </c>
      <c r="AI216" s="169">
        <v>43007</v>
      </c>
      <c r="AJ216" s="411" t="s">
        <v>2875</v>
      </c>
      <c r="AK216" s="134" t="s">
        <v>1512</v>
      </c>
      <c r="AL216" s="592"/>
      <c r="AM216" s="138"/>
      <c r="AN216" s="138"/>
      <c r="AO216" s="138"/>
      <c r="AP216" s="138"/>
      <c r="AQ216" s="138"/>
      <c r="AR216" s="138"/>
      <c r="AS216" s="138"/>
      <c r="AT216" s="138"/>
      <c r="AU216" s="138"/>
      <c r="AV216" s="138"/>
      <c r="AW216" s="138"/>
      <c r="AX216" s="138"/>
      <c r="AY216" s="138"/>
      <c r="AZ216" s="138"/>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45"/>
      <c r="DI216" s="45"/>
      <c r="DJ216" s="45"/>
      <c r="DK216" s="45"/>
      <c r="DL216" s="45"/>
      <c r="DM216" s="45"/>
      <c r="DN216" s="45"/>
      <c r="DO216" s="45"/>
      <c r="DP216" s="45"/>
      <c r="DQ216" s="45"/>
      <c r="DR216" s="45"/>
      <c r="DS216" s="45"/>
      <c r="DT216" s="45"/>
      <c r="DU216" s="45"/>
      <c r="DV216" s="45"/>
      <c r="DW216" s="45"/>
      <c r="DX216" s="45"/>
      <c r="DY216" s="45"/>
      <c r="DZ216" s="45"/>
      <c r="EA216" s="45"/>
      <c r="EB216" s="45"/>
      <c r="EC216" s="45"/>
      <c r="ED216" s="45"/>
      <c r="EE216" s="45"/>
      <c r="EF216" s="45"/>
      <c r="EG216" s="45"/>
      <c r="EH216" s="45"/>
      <c r="EI216" s="45"/>
      <c r="EJ216" s="45"/>
      <c r="EK216" s="45"/>
      <c r="EL216" s="45"/>
      <c r="EM216" s="45"/>
      <c r="EN216" s="45"/>
      <c r="EO216" s="45"/>
      <c r="EP216" s="45"/>
      <c r="EQ216" s="45"/>
      <c r="ER216" s="45"/>
      <c r="ES216" s="45"/>
      <c r="ET216" s="45"/>
      <c r="EU216" s="45"/>
      <c r="EV216" s="45"/>
      <c r="EW216" s="45"/>
      <c r="EX216" s="45"/>
      <c r="EY216" s="45"/>
      <c r="EZ216" s="45"/>
      <c r="FA216" s="45"/>
      <c r="FB216" s="45"/>
      <c r="FC216" s="45"/>
      <c r="FD216" s="45"/>
      <c r="FE216" s="45"/>
      <c r="FF216" s="45"/>
      <c r="FG216" s="45"/>
      <c r="FH216" s="45"/>
      <c r="FI216" s="45"/>
      <c r="FJ216" s="45"/>
      <c r="FK216" s="45"/>
      <c r="FL216" s="45"/>
      <c r="FM216" s="45"/>
      <c r="FN216" s="45"/>
      <c r="FO216" s="45"/>
      <c r="FP216" s="45"/>
      <c r="FQ216" s="45"/>
      <c r="FR216" s="45"/>
      <c r="FS216" s="45"/>
      <c r="FT216" s="45"/>
      <c r="FU216" s="45"/>
      <c r="FV216" s="45"/>
      <c r="FW216" s="45"/>
      <c r="FX216" s="45"/>
      <c r="FY216" s="45"/>
      <c r="FZ216" s="45"/>
      <c r="GA216" s="45"/>
      <c r="GB216" s="45"/>
      <c r="GC216" s="45"/>
      <c r="GD216" s="45"/>
      <c r="GE216" s="45"/>
      <c r="GF216" s="45"/>
      <c r="GG216" s="45"/>
      <c r="GH216" s="45"/>
      <c r="GI216" s="45"/>
      <c r="GJ216" s="45"/>
      <c r="GK216" s="45"/>
      <c r="GL216" s="45"/>
      <c r="GM216" s="45"/>
      <c r="GN216" s="45"/>
      <c r="GO216" s="45"/>
      <c r="GP216" s="45"/>
      <c r="GQ216" s="45"/>
      <c r="GR216" s="45"/>
      <c r="GS216" s="45"/>
      <c r="GT216" s="45"/>
      <c r="GU216" s="45"/>
      <c r="GV216" s="45"/>
      <c r="GW216" s="45"/>
      <c r="GX216" s="45"/>
      <c r="GY216" s="45"/>
      <c r="GZ216" s="45"/>
      <c r="HA216" s="45"/>
      <c r="HB216" s="45"/>
      <c r="HC216" s="45"/>
      <c r="HD216" s="45"/>
      <c r="HE216" s="45"/>
      <c r="HF216" s="45"/>
      <c r="HG216" s="45"/>
      <c r="HH216" s="45"/>
      <c r="HI216" s="45"/>
      <c r="HJ216" s="45"/>
      <c r="HK216" s="45"/>
      <c r="HL216" s="45"/>
      <c r="HM216" s="45"/>
      <c r="HN216" s="45"/>
      <c r="HO216" s="45"/>
      <c r="HP216" s="45"/>
      <c r="HQ216" s="45"/>
      <c r="HR216" s="45"/>
      <c r="HS216" s="45"/>
      <c r="HT216" s="45"/>
      <c r="HU216" s="45"/>
      <c r="HV216" s="45"/>
      <c r="HW216" s="45"/>
      <c r="HX216" s="45"/>
      <c r="HY216" s="45"/>
      <c r="HZ216" s="45"/>
      <c r="IA216" s="45"/>
      <c r="IB216" s="45"/>
      <c r="IC216" s="45"/>
      <c r="ID216" s="45"/>
      <c r="IE216" s="45"/>
      <c r="IF216" s="45"/>
      <c r="IG216" s="45"/>
      <c r="IH216" s="45"/>
      <c r="II216" s="45"/>
      <c r="IJ216" s="45"/>
      <c r="IK216" s="45"/>
      <c r="IL216" s="45"/>
      <c r="IM216" s="45"/>
      <c r="IN216" s="45"/>
      <c r="IO216" s="45"/>
      <c r="IP216" s="45"/>
      <c r="IQ216" s="45"/>
      <c r="IR216" s="45"/>
      <c r="IS216" s="45"/>
      <c r="IT216" s="45"/>
      <c r="IU216" s="45"/>
      <c r="IV216" s="45"/>
      <c r="IW216" s="45"/>
      <c r="IX216" s="45"/>
      <c r="IY216" s="45"/>
      <c r="IZ216" s="45"/>
      <c r="JA216" s="45"/>
      <c r="JB216" s="45"/>
      <c r="JC216" s="45"/>
      <c r="JD216" s="45"/>
      <c r="JE216" s="45"/>
      <c r="JF216" s="45"/>
      <c r="JG216" s="45"/>
      <c r="JH216" s="45"/>
      <c r="JI216" s="45"/>
      <c r="JJ216" s="45"/>
      <c r="JK216" s="45"/>
      <c r="JL216" s="45"/>
      <c r="JM216" s="45"/>
    </row>
    <row r="217" spans="1:273" s="259" customFormat="1" ht="60" customHeight="1" x14ac:dyDescent="0.4">
      <c r="A217" s="832">
        <v>192</v>
      </c>
      <c r="B217" s="836" t="s">
        <v>998</v>
      </c>
      <c r="C217" s="833">
        <v>81112501</v>
      </c>
      <c r="D217" s="175" t="s">
        <v>2974</v>
      </c>
      <c r="E217" s="836" t="s">
        <v>125</v>
      </c>
      <c r="F217" s="833">
        <v>1</v>
      </c>
      <c r="G217" s="834" t="s">
        <v>969</v>
      </c>
      <c r="H217" s="485">
        <v>1</v>
      </c>
      <c r="I217" s="836" t="s">
        <v>80</v>
      </c>
      <c r="J217" s="836" t="s">
        <v>2846</v>
      </c>
      <c r="K217" s="833" t="s">
        <v>108</v>
      </c>
      <c r="L217" s="69">
        <v>581748245.27999997</v>
      </c>
      <c r="M217" s="69">
        <v>581748245.27999997</v>
      </c>
      <c r="N217" s="836" t="s">
        <v>81</v>
      </c>
      <c r="O217" s="836" t="s">
        <v>56</v>
      </c>
      <c r="P217" s="58" t="s">
        <v>61</v>
      </c>
      <c r="Q217" s="45"/>
      <c r="R217" s="1233"/>
      <c r="S217" s="637"/>
      <c r="T217" s="138"/>
      <c r="U217" s="138"/>
      <c r="V217" s="138"/>
      <c r="W217" s="138"/>
      <c r="X217" s="138"/>
      <c r="Y217" s="134">
        <f t="shared" si="4"/>
        <v>0</v>
      </c>
      <c r="Z217" s="138"/>
      <c r="AA217" s="138"/>
      <c r="AB217" s="138"/>
      <c r="AC217" s="138"/>
      <c r="AD217" s="138"/>
      <c r="AE217" s="138"/>
      <c r="AF217" s="138"/>
      <c r="AG217" s="138"/>
      <c r="AH217" s="138"/>
      <c r="AI217" s="138"/>
      <c r="AJ217" s="138"/>
      <c r="AK217" s="635"/>
      <c r="AL217" s="592"/>
      <c r="AM217" s="138"/>
      <c r="AN217" s="138"/>
      <c r="AO217" s="138"/>
      <c r="AP217" s="138"/>
      <c r="AQ217" s="138"/>
      <c r="AR217" s="138"/>
      <c r="AS217" s="138"/>
      <c r="AT217" s="138"/>
      <c r="AU217" s="138"/>
      <c r="AV217" s="138"/>
      <c r="AW217" s="138"/>
      <c r="AX217" s="138"/>
      <c r="AY217" s="138"/>
      <c r="AZ217" s="138"/>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C217" s="45"/>
      <c r="CD217" s="45"/>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45"/>
      <c r="DI217" s="45"/>
      <c r="DJ217" s="45"/>
      <c r="DK217" s="45"/>
      <c r="DL217" s="45"/>
      <c r="DM217" s="45"/>
      <c r="DN217" s="45"/>
      <c r="DO217" s="45"/>
      <c r="DP217" s="45"/>
      <c r="DQ217" s="45"/>
      <c r="DR217" s="45"/>
      <c r="DS217" s="45"/>
      <c r="DT217" s="45"/>
      <c r="DU217" s="45"/>
      <c r="DV217" s="45"/>
      <c r="DW217" s="45"/>
      <c r="DX217" s="45"/>
      <c r="DY217" s="45"/>
      <c r="DZ217" s="45"/>
      <c r="EA217" s="45"/>
      <c r="EB217" s="45"/>
      <c r="EC217" s="45"/>
      <c r="ED217" s="45"/>
      <c r="EE217" s="45"/>
      <c r="EF217" s="45"/>
      <c r="EG217" s="45"/>
      <c r="EH217" s="45"/>
      <c r="EI217" s="45"/>
      <c r="EJ217" s="45"/>
      <c r="EK217" s="45"/>
      <c r="EL217" s="45"/>
      <c r="EM217" s="45"/>
      <c r="EN217" s="45"/>
      <c r="EO217" s="45"/>
      <c r="EP217" s="45"/>
      <c r="EQ217" s="45"/>
      <c r="ER217" s="45"/>
      <c r="ES217" s="45"/>
      <c r="ET217" s="45"/>
      <c r="EU217" s="45"/>
      <c r="EV217" s="45"/>
      <c r="EW217" s="45"/>
      <c r="EX217" s="45"/>
      <c r="EY217" s="45"/>
      <c r="EZ217" s="45"/>
      <c r="FA217" s="45"/>
      <c r="FB217" s="45"/>
      <c r="FC217" s="45"/>
      <c r="FD217" s="45"/>
      <c r="FE217" s="45"/>
      <c r="FF217" s="45"/>
      <c r="FG217" s="45"/>
      <c r="FH217" s="45"/>
      <c r="FI217" s="45"/>
      <c r="FJ217" s="45"/>
      <c r="FK217" s="45"/>
      <c r="FL217" s="45"/>
      <c r="FM217" s="45"/>
      <c r="FN217" s="45"/>
      <c r="FO217" s="45"/>
      <c r="FP217" s="45"/>
      <c r="FQ217" s="45"/>
      <c r="FR217" s="45"/>
      <c r="FS217" s="45"/>
      <c r="FT217" s="45"/>
      <c r="FU217" s="45"/>
      <c r="FV217" s="45"/>
      <c r="FW217" s="45"/>
      <c r="FX217" s="45"/>
      <c r="FY217" s="45"/>
      <c r="FZ217" s="45"/>
      <c r="GA217" s="45"/>
      <c r="GB217" s="45"/>
      <c r="GC217" s="45"/>
      <c r="GD217" s="45"/>
      <c r="GE217" s="45"/>
      <c r="GF217" s="45"/>
      <c r="GG217" s="45"/>
      <c r="GH217" s="45"/>
      <c r="GI217" s="45"/>
      <c r="GJ217" s="45"/>
      <c r="GK217" s="45"/>
      <c r="GL217" s="45"/>
      <c r="GM217" s="45"/>
      <c r="GN217" s="45"/>
      <c r="GO217" s="45"/>
      <c r="GP217" s="45"/>
      <c r="GQ217" s="45"/>
      <c r="GR217" s="45"/>
      <c r="GS217" s="45"/>
      <c r="GT217" s="45"/>
      <c r="GU217" s="45"/>
      <c r="GV217" s="45"/>
      <c r="GW217" s="45"/>
      <c r="GX217" s="45"/>
      <c r="GY217" s="45"/>
      <c r="GZ217" s="45"/>
      <c r="HA217" s="45"/>
      <c r="HB217" s="45"/>
      <c r="HC217" s="45"/>
      <c r="HD217" s="45"/>
      <c r="HE217" s="45"/>
      <c r="HF217" s="45"/>
      <c r="HG217" s="45"/>
      <c r="HH217" s="45"/>
      <c r="HI217" s="45"/>
      <c r="HJ217" s="45"/>
      <c r="HK217" s="45"/>
      <c r="HL217" s="45"/>
      <c r="HM217" s="45"/>
      <c r="HN217" s="45"/>
      <c r="HO217" s="45"/>
      <c r="HP217" s="45"/>
      <c r="HQ217" s="45"/>
      <c r="HR217" s="45"/>
      <c r="HS217" s="45"/>
      <c r="HT217" s="45"/>
      <c r="HU217" s="45"/>
      <c r="HV217" s="45"/>
      <c r="HW217" s="45"/>
      <c r="HX217" s="45"/>
      <c r="HY217" s="45"/>
      <c r="HZ217" s="45"/>
      <c r="IA217" s="45"/>
      <c r="IB217" s="45"/>
      <c r="IC217" s="45"/>
      <c r="ID217" s="45"/>
      <c r="IE217" s="45"/>
      <c r="IF217" s="45"/>
      <c r="IG217" s="45"/>
      <c r="IH217" s="45"/>
      <c r="II217" s="45"/>
      <c r="IJ217" s="45"/>
      <c r="IK217" s="45"/>
      <c r="IL217" s="45"/>
      <c r="IM217" s="45"/>
      <c r="IN217" s="45"/>
      <c r="IO217" s="45"/>
      <c r="IP217" s="45"/>
      <c r="IQ217" s="45"/>
      <c r="IR217" s="45"/>
      <c r="IS217" s="45"/>
      <c r="IT217" s="45"/>
      <c r="IU217" s="45"/>
      <c r="IV217" s="45"/>
      <c r="IW217" s="45"/>
      <c r="IX217" s="45"/>
      <c r="IY217" s="45"/>
      <c r="IZ217" s="45"/>
      <c r="JA217" s="45"/>
      <c r="JB217" s="45"/>
      <c r="JC217" s="45"/>
      <c r="JD217" s="45"/>
      <c r="JE217" s="45"/>
      <c r="JF217" s="45"/>
      <c r="JG217" s="45"/>
      <c r="JH217" s="45"/>
      <c r="JI217" s="45"/>
      <c r="JJ217" s="45"/>
      <c r="JK217" s="45"/>
      <c r="JL217" s="45"/>
      <c r="JM217" s="45"/>
    </row>
    <row r="218" spans="1:273" s="259" customFormat="1" ht="42.75" x14ac:dyDescent="0.25">
      <c r="A218" s="832">
        <v>193</v>
      </c>
      <c r="B218" s="836" t="s">
        <v>998</v>
      </c>
      <c r="C218" s="833">
        <v>93151502</v>
      </c>
      <c r="D218" s="175" t="s">
        <v>971</v>
      </c>
      <c r="E218" s="836" t="s">
        <v>125</v>
      </c>
      <c r="F218" s="833">
        <v>1</v>
      </c>
      <c r="G218" s="834" t="s">
        <v>167</v>
      </c>
      <c r="H218" s="485">
        <v>6</v>
      </c>
      <c r="I218" s="836" t="s">
        <v>80</v>
      </c>
      <c r="J218" s="833" t="s">
        <v>832</v>
      </c>
      <c r="K218" s="836" t="s">
        <v>55</v>
      </c>
      <c r="L218" s="56">
        <v>277210000</v>
      </c>
      <c r="M218" s="56">
        <v>277210000</v>
      </c>
      <c r="N218" s="836" t="s">
        <v>81</v>
      </c>
      <c r="O218" s="836" t="s">
        <v>56</v>
      </c>
      <c r="P218" s="58" t="s">
        <v>61</v>
      </c>
      <c r="Q218" s="45"/>
      <c r="R218" s="138"/>
      <c r="S218" s="637"/>
      <c r="T218" s="138"/>
      <c r="U218" s="138"/>
      <c r="V218" s="138"/>
      <c r="W218" s="138"/>
      <c r="X218" s="138"/>
      <c r="Y218" s="134">
        <f t="shared" si="4"/>
        <v>0</v>
      </c>
      <c r="Z218" s="138"/>
      <c r="AA218" s="138"/>
      <c r="AB218" s="138"/>
      <c r="AC218" s="138"/>
      <c r="AD218" s="138"/>
      <c r="AE218" s="138"/>
      <c r="AF218" s="138"/>
      <c r="AG218" s="138"/>
      <c r="AH218" s="138"/>
      <c r="AI218" s="138"/>
      <c r="AJ218" s="138"/>
      <c r="AK218" s="635"/>
      <c r="AL218" s="592"/>
      <c r="AM218" s="138"/>
      <c r="AN218" s="138"/>
      <c r="AO218" s="138"/>
      <c r="AP218" s="138"/>
      <c r="AQ218" s="138"/>
      <c r="AR218" s="138"/>
      <c r="AS218" s="138"/>
      <c r="AT218" s="138"/>
      <c r="AU218" s="138"/>
      <c r="AV218" s="138"/>
      <c r="AW218" s="138"/>
      <c r="AX218" s="138"/>
      <c r="AY218" s="138"/>
      <c r="AZ218" s="138"/>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c r="EN218" s="45"/>
      <c r="EO218" s="45"/>
      <c r="EP218" s="45"/>
      <c r="EQ218" s="45"/>
      <c r="ER218" s="4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c r="IK218" s="45"/>
      <c r="IL218" s="45"/>
      <c r="IM218" s="45"/>
      <c r="IN218" s="45"/>
      <c r="IO218" s="45"/>
      <c r="IP218" s="45"/>
      <c r="IQ218" s="45"/>
      <c r="IR218" s="45"/>
      <c r="IS218" s="45"/>
      <c r="IT218" s="45"/>
      <c r="IU218" s="45"/>
      <c r="IV218" s="45"/>
      <c r="IW218" s="45"/>
      <c r="IX218" s="45"/>
      <c r="IY218" s="45"/>
      <c r="IZ218" s="45"/>
      <c r="JA218" s="45"/>
      <c r="JB218" s="45"/>
      <c r="JC218" s="45"/>
      <c r="JD218" s="45"/>
      <c r="JE218" s="45"/>
      <c r="JF218" s="45"/>
      <c r="JG218" s="45"/>
      <c r="JH218" s="45"/>
      <c r="JI218" s="45"/>
      <c r="JJ218" s="45"/>
      <c r="JK218" s="45"/>
      <c r="JL218" s="45"/>
      <c r="JM218" s="45"/>
    </row>
    <row r="219" spans="1:273" s="259" customFormat="1" ht="42.75" customHeight="1" x14ac:dyDescent="0.25">
      <c r="A219" s="832">
        <v>194</v>
      </c>
      <c r="B219" s="836" t="s">
        <v>998</v>
      </c>
      <c r="C219" s="833">
        <v>43201827</v>
      </c>
      <c r="D219" s="175" t="s">
        <v>972</v>
      </c>
      <c r="E219" s="836" t="s">
        <v>125</v>
      </c>
      <c r="F219" s="833">
        <v>1</v>
      </c>
      <c r="G219" s="834" t="s">
        <v>2959</v>
      </c>
      <c r="H219" s="485">
        <v>2.5</v>
      </c>
      <c r="I219" s="73" t="s">
        <v>140</v>
      </c>
      <c r="J219" s="836" t="s">
        <v>2846</v>
      </c>
      <c r="K219" s="833" t="s">
        <v>108</v>
      </c>
      <c r="L219" s="150">
        <v>50000000</v>
      </c>
      <c r="M219" s="69">
        <v>50000000</v>
      </c>
      <c r="N219" s="836" t="s">
        <v>81</v>
      </c>
      <c r="O219" s="836" t="s">
        <v>56</v>
      </c>
      <c r="P219" s="58" t="s">
        <v>61</v>
      </c>
      <c r="Q219" s="45"/>
      <c r="R219" s="138"/>
      <c r="S219" s="637"/>
      <c r="T219" s="138"/>
      <c r="U219" s="138"/>
      <c r="V219" s="138"/>
      <c r="W219" s="138"/>
      <c r="X219" s="138"/>
      <c r="Y219" s="134">
        <f t="shared" si="4"/>
        <v>0</v>
      </c>
      <c r="Z219" s="138"/>
      <c r="AA219" s="138"/>
      <c r="AB219" s="138"/>
      <c r="AC219" s="138"/>
      <c r="AD219" s="138"/>
      <c r="AE219" s="138"/>
      <c r="AF219" s="138"/>
      <c r="AG219" s="138"/>
      <c r="AH219" s="138"/>
      <c r="AI219" s="138"/>
      <c r="AJ219" s="138"/>
      <c r="AK219" s="635"/>
      <c r="AL219" s="592"/>
      <c r="AM219" s="138"/>
      <c r="AN219" s="138"/>
      <c r="AO219" s="138"/>
      <c r="AP219" s="138"/>
      <c r="AQ219" s="138"/>
      <c r="AR219" s="138"/>
      <c r="AS219" s="138"/>
      <c r="AT219" s="138"/>
      <c r="AU219" s="138"/>
      <c r="AV219" s="138"/>
      <c r="AW219" s="138"/>
      <c r="AX219" s="138"/>
      <c r="AY219" s="138"/>
      <c r="AZ219" s="138"/>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c r="IK219" s="45"/>
      <c r="IL219" s="45"/>
      <c r="IM219" s="45"/>
      <c r="IN219" s="45"/>
      <c r="IO219" s="45"/>
      <c r="IP219" s="45"/>
      <c r="IQ219" s="45"/>
      <c r="IR219" s="45"/>
      <c r="IS219" s="45"/>
      <c r="IT219" s="45"/>
      <c r="IU219" s="45"/>
      <c r="IV219" s="45"/>
      <c r="IW219" s="45"/>
      <c r="IX219" s="45"/>
      <c r="IY219" s="45"/>
      <c r="IZ219" s="45"/>
      <c r="JA219" s="45"/>
      <c r="JB219" s="45"/>
      <c r="JC219" s="45"/>
      <c r="JD219" s="45"/>
      <c r="JE219" s="45"/>
      <c r="JF219" s="45"/>
      <c r="JG219" s="45"/>
      <c r="JH219" s="45"/>
      <c r="JI219" s="45"/>
      <c r="JJ219" s="45"/>
      <c r="JK219" s="45"/>
      <c r="JL219" s="45"/>
      <c r="JM219" s="45"/>
    </row>
    <row r="220" spans="1:273" s="259" customFormat="1" ht="18.75" customHeight="1" x14ac:dyDescent="0.25">
      <c r="A220" s="832">
        <v>195</v>
      </c>
      <c r="B220" s="836" t="s">
        <v>998</v>
      </c>
      <c r="C220" s="833">
        <v>43211508</v>
      </c>
      <c r="D220" s="175" t="s">
        <v>973</v>
      </c>
      <c r="E220" s="836" t="s">
        <v>125</v>
      </c>
      <c r="F220" s="833">
        <v>1</v>
      </c>
      <c r="G220" s="834" t="s">
        <v>162</v>
      </c>
      <c r="H220" s="485">
        <v>1</v>
      </c>
      <c r="I220" s="73" t="s">
        <v>970</v>
      </c>
      <c r="J220" s="836" t="s">
        <v>2846</v>
      </c>
      <c r="K220" s="833" t="s">
        <v>108</v>
      </c>
      <c r="L220" s="69">
        <v>16903678</v>
      </c>
      <c r="M220" s="69">
        <v>16903678</v>
      </c>
      <c r="N220" s="836" t="s">
        <v>81</v>
      </c>
      <c r="O220" s="836" t="s">
        <v>56</v>
      </c>
      <c r="P220" s="58" t="s">
        <v>61</v>
      </c>
      <c r="Q220" s="45"/>
      <c r="R220" s="172" t="s">
        <v>1398</v>
      </c>
      <c r="S220" s="172" t="s">
        <v>1399</v>
      </c>
      <c r="T220" s="28">
        <v>42478</v>
      </c>
      <c r="U220" s="1012" t="s">
        <v>1400</v>
      </c>
      <c r="V220" s="181" t="s">
        <v>579</v>
      </c>
      <c r="W220" s="1050">
        <v>16488120</v>
      </c>
      <c r="X220" s="138"/>
      <c r="Y220" s="134">
        <f t="shared" si="4"/>
        <v>16488120</v>
      </c>
      <c r="Z220" s="411" t="s">
        <v>1401</v>
      </c>
      <c r="AA220" s="411" t="s">
        <v>1402</v>
      </c>
      <c r="AB220" s="411" t="s">
        <v>350</v>
      </c>
      <c r="AC220" s="181" t="s">
        <v>1403</v>
      </c>
      <c r="AD220" s="411" t="s">
        <v>56</v>
      </c>
      <c r="AE220" s="411" t="s">
        <v>56</v>
      </c>
      <c r="AF220" s="411" t="s">
        <v>56</v>
      </c>
      <c r="AG220" s="168" t="s">
        <v>1404</v>
      </c>
      <c r="AH220" s="169">
        <v>42481</v>
      </c>
      <c r="AI220" s="169">
        <v>42510</v>
      </c>
      <c r="AJ220" s="411" t="s">
        <v>362</v>
      </c>
      <c r="AK220" s="134" t="s">
        <v>353</v>
      </c>
      <c r="AL220" s="1152" t="s">
        <v>56</v>
      </c>
      <c r="AM220" s="1152" t="s">
        <v>56</v>
      </c>
      <c r="AN220" s="1152" t="s">
        <v>56</v>
      </c>
      <c r="AO220" s="1152" t="s">
        <v>56</v>
      </c>
      <c r="AP220" s="1153">
        <v>16488120</v>
      </c>
      <c r="AQ220" s="1152" t="s">
        <v>56</v>
      </c>
      <c r="AR220" s="1152" t="s">
        <v>56</v>
      </c>
      <c r="AS220" s="1103">
        <v>16488120</v>
      </c>
      <c r="AT220" s="1185">
        <v>464000</v>
      </c>
      <c r="AU220" s="1152" t="s">
        <v>56</v>
      </c>
      <c r="AV220" s="1152" t="s">
        <v>56</v>
      </c>
      <c r="AW220" s="1152" t="s">
        <v>56</v>
      </c>
      <c r="AX220" s="1152" t="s">
        <v>56</v>
      </c>
      <c r="AY220" s="1152" t="s">
        <v>56</v>
      </c>
      <c r="AZ220" s="1152" t="s">
        <v>56</v>
      </c>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c r="EN220" s="45"/>
      <c r="EO220" s="45"/>
      <c r="EP220" s="45"/>
      <c r="EQ220" s="45"/>
      <c r="ER220" s="45"/>
      <c r="ES220" s="45"/>
      <c r="ET220" s="45"/>
      <c r="EU220" s="45"/>
      <c r="EV220" s="45"/>
      <c r="EW220" s="45"/>
      <c r="EX220" s="45"/>
      <c r="EY220" s="45"/>
      <c r="EZ220" s="45"/>
      <c r="FA220" s="45"/>
      <c r="FB220" s="45"/>
      <c r="FC220" s="45"/>
      <c r="FD220" s="45"/>
      <c r="FE220" s="45"/>
      <c r="FF220" s="45"/>
      <c r="FG220" s="45"/>
      <c r="FH220" s="45"/>
      <c r="FI220" s="45"/>
      <c r="FJ220" s="45"/>
      <c r="FK220" s="45"/>
      <c r="FL220" s="45"/>
      <c r="FM220" s="45"/>
      <c r="FN220" s="45"/>
      <c r="FO220" s="45"/>
      <c r="FP220" s="45"/>
      <c r="FQ220" s="45"/>
      <c r="FR220" s="45"/>
      <c r="FS220" s="45"/>
      <c r="FT220" s="45"/>
      <c r="FU220" s="45"/>
      <c r="FV220" s="45"/>
      <c r="FW220" s="45"/>
      <c r="FX220" s="45"/>
      <c r="FY220" s="45"/>
      <c r="FZ220" s="45"/>
      <c r="GA220" s="45"/>
      <c r="GB220" s="45"/>
      <c r="GC220" s="45"/>
      <c r="GD220" s="45"/>
      <c r="GE220" s="45"/>
      <c r="GF220" s="45"/>
      <c r="GG220" s="45"/>
      <c r="GH220" s="45"/>
      <c r="GI220" s="45"/>
      <c r="GJ220" s="45"/>
      <c r="GK220" s="45"/>
      <c r="GL220" s="45"/>
      <c r="GM220" s="45"/>
      <c r="GN220" s="45"/>
      <c r="GO220" s="45"/>
      <c r="GP220" s="45"/>
      <c r="GQ220" s="45"/>
      <c r="GR220" s="45"/>
      <c r="GS220" s="45"/>
      <c r="GT220" s="45"/>
      <c r="GU220" s="45"/>
      <c r="GV220" s="45"/>
      <c r="GW220" s="45"/>
      <c r="GX220" s="45"/>
      <c r="GY220" s="45"/>
      <c r="GZ220" s="45"/>
      <c r="HA220" s="45"/>
      <c r="HB220" s="45"/>
      <c r="HC220" s="45"/>
      <c r="HD220" s="45"/>
      <c r="HE220" s="45"/>
      <c r="HF220" s="45"/>
      <c r="HG220" s="45"/>
      <c r="HH220" s="45"/>
      <c r="HI220" s="45"/>
      <c r="HJ220" s="45"/>
      <c r="HK220" s="45"/>
      <c r="HL220" s="45"/>
      <c r="HM220" s="45"/>
      <c r="HN220" s="45"/>
      <c r="HO220" s="45"/>
      <c r="HP220" s="45"/>
      <c r="HQ220" s="45"/>
      <c r="HR220" s="45"/>
      <c r="HS220" s="45"/>
      <c r="HT220" s="45"/>
      <c r="HU220" s="45"/>
      <c r="HV220" s="45"/>
      <c r="HW220" s="45"/>
      <c r="HX220" s="45"/>
      <c r="HY220" s="45"/>
      <c r="HZ220" s="45"/>
      <c r="IA220" s="45"/>
      <c r="IB220" s="45"/>
      <c r="IC220" s="45"/>
      <c r="ID220" s="45"/>
      <c r="IE220" s="45"/>
      <c r="IF220" s="45"/>
      <c r="IG220" s="45"/>
      <c r="IH220" s="45"/>
      <c r="II220" s="45"/>
      <c r="IJ220" s="45"/>
      <c r="IK220" s="45"/>
      <c r="IL220" s="45"/>
      <c r="IM220" s="45"/>
      <c r="IN220" s="45"/>
      <c r="IO220" s="45"/>
      <c r="IP220" s="45"/>
      <c r="IQ220" s="45"/>
      <c r="IR220" s="45"/>
      <c r="IS220" s="45"/>
      <c r="IT220" s="45"/>
      <c r="IU220" s="45"/>
      <c r="IV220" s="45"/>
      <c r="IW220" s="45"/>
      <c r="IX220" s="45"/>
      <c r="IY220" s="45"/>
      <c r="IZ220" s="45"/>
      <c r="JA220" s="45"/>
      <c r="JB220" s="45"/>
      <c r="JC220" s="45"/>
      <c r="JD220" s="45"/>
      <c r="JE220" s="45"/>
      <c r="JF220" s="45"/>
      <c r="JG220" s="45"/>
      <c r="JH220" s="45"/>
      <c r="JI220" s="45"/>
      <c r="JJ220" s="45"/>
      <c r="JK220" s="45"/>
      <c r="JL220" s="45"/>
      <c r="JM220" s="45"/>
    </row>
    <row r="221" spans="1:273" s="259" customFormat="1" ht="90" customHeight="1" x14ac:dyDescent="0.4">
      <c r="A221" s="832">
        <v>196</v>
      </c>
      <c r="B221" s="836" t="s">
        <v>998</v>
      </c>
      <c r="C221" s="833">
        <v>43232309</v>
      </c>
      <c r="D221" s="175" t="s">
        <v>974</v>
      </c>
      <c r="E221" s="836" t="s">
        <v>125</v>
      </c>
      <c r="F221" s="833">
        <v>1</v>
      </c>
      <c r="G221" s="834" t="s">
        <v>167</v>
      </c>
      <c r="H221" s="485">
        <v>24</v>
      </c>
      <c r="I221" s="73" t="s">
        <v>140</v>
      </c>
      <c r="J221" s="836" t="s">
        <v>2846</v>
      </c>
      <c r="K221" s="833" t="s">
        <v>108</v>
      </c>
      <c r="L221" s="69">
        <v>709000000</v>
      </c>
      <c r="M221" s="69">
        <v>709000000</v>
      </c>
      <c r="N221" s="836" t="s">
        <v>81</v>
      </c>
      <c r="O221" s="836" t="s">
        <v>56</v>
      </c>
      <c r="P221" s="58" t="s">
        <v>61</v>
      </c>
      <c r="Q221" s="45"/>
      <c r="R221" s="1233"/>
      <c r="S221" s="637"/>
      <c r="T221" s="138"/>
      <c r="U221" s="138"/>
      <c r="V221" s="138"/>
      <c r="W221" s="138"/>
      <c r="X221" s="138"/>
      <c r="Y221" s="134">
        <f t="shared" si="4"/>
        <v>0</v>
      </c>
      <c r="Z221" s="138"/>
      <c r="AA221" s="138"/>
      <c r="AB221" s="138"/>
      <c r="AC221" s="138"/>
      <c r="AD221" s="138"/>
      <c r="AE221" s="138"/>
      <c r="AF221" s="138"/>
      <c r="AG221" s="138"/>
      <c r="AH221" s="138"/>
      <c r="AI221" s="138"/>
      <c r="AJ221" s="138"/>
      <c r="AK221" s="635"/>
      <c r="AL221" s="592"/>
      <c r="AM221" s="138"/>
      <c r="AN221" s="138"/>
      <c r="AO221" s="138"/>
      <c r="AP221" s="138"/>
      <c r="AQ221" s="138"/>
      <c r="AR221" s="138"/>
      <c r="AS221" s="138"/>
      <c r="AT221" s="138"/>
      <c r="AU221" s="138"/>
      <c r="AV221" s="138"/>
      <c r="AW221" s="138"/>
      <c r="AX221" s="138"/>
      <c r="AY221" s="138"/>
      <c r="AZ221" s="138"/>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c r="IK221" s="45"/>
      <c r="IL221" s="45"/>
      <c r="IM221" s="45"/>
      <c r="IN221" s="45"/>
      <c r="IO221" s="45"/>
      <c r="IP221" s="45"/>
      <c r="IQ221" s="45"/>
      <c r="IR221" s="45"/>
      <c r="IS221" s="45"/>
      <c r="IT221" s="45"/>
      <c r="IU221" s="45"/>
      <c r="IV221" s="45"/>
      <c r="IW221" s="45"/>
      <c r="IX221" s="45"/>
      <c r="IY221" s="45"/>
      <c r="IZ221" s="45"/>
      <c r="JA221" s="45"/>
      <c r="JB221" s="45"/>
      <c r="JC221" s="45"/>
      <c r="JD221" s="45"/>
      <c r="JE221" s="45"/>
      <c r="JF221" s="45"/>
      <c r="JG221" s="45"/>
      <c r="JH221" s="45"/>
      <c r="JI221" s="45"/>
      <c r="JJ221" s="45"/>
      <c r="JK221" s="45"/>
      <c r="JL221" s="45"/>
      <c r="JM221" s="45"/>
    </row>
    <row r="222" spans="1:273" s="259" customFormat="1" ht="119.25" customHeight="1" x14ac:dyDescent="0.25">
      <c r="A222" s="832">
        <v>197</v>
      </c>
      <c r="B222" s="836" t="s">
        <v>998</v>
      </c>
      <c r="C222" s="833">
        <v>81112501</v>
      </c>
      <c r="D222" s="175" t="s">
        <v>1405</v>
      </c>
      <c r="E222" s="836" t="s">
        <v>125</v>
      </c>
      <c r="F222" s="833">
        <v>1</v>
      </c>
      <c r="G222" s="834" t="s">
        <v>165</v>
      </c>
      <c r="H222" s="485">
        <v>12</v>
      </c>
      <c r="I222" s="73" t="s">
        <v>975</v>
      </c>
      <c r="J222" s="836" t="s">
        <v>2846</v>
      </c>
      <c r="K222" s="833" t="s">
        <v>108</v>
      </c>
      <c r="L222" s="69">
        <v>58966920</v>
      </c>
      <c r="M222" s="69">
        <v>58966920</v>
      </c>
      <c r="N222" s="836" t="s">
        <v>81</v>
      </c>
      <c r="O222" s="836" t="s">
        <v>56</v>
      </c>
      <c r="P222" s="58" t="s">
        <v>61</v>
      </c>
      <c r="Q222" s="45"/>
      <c r="R222" s="172" t="s">
        <v>2694</v>
      </c>
      <c r="S222" s="172" t="s">
        <v>2695</v>
      </c>
      <c r="T222" s="28">
        <v>42528</v>
      </c>
      <c r="U222" s="1012" t="s">
        <v>2696</v>
      </c>
      <c r="V222" s="181" t="s">
        <v>579</v>
      </c>
      <c r="W222" s="1050">
        <v>51770403.140000001</v>
      </c>
      <c r="X222" s="1102"/>
      <c r="Y222" s="30">
        <f t="shared" si="4"/>
        <v>51770403.140000001</v>
      </c>
      <c r="Z222" s="1262" t="s">
        <v>2697</v>
      </c>
      <c r="AA222" s="181" t="s">
        <v>2698</v>
      </c>
      <c r="AB222" s="181" t="s">
        <v>350</v>
      </c>
      <c r="AC222" s="181" t="s">
        <v>2699</v>
      </c>
      <c r="AD222" s="181" t="s">
        <v>56</v>
      </c>
      <c r="AE222" s="181" t="s">
        <v>56</v>
      </c>
      <c r="AF222" s="181" t="s">
        <v>56</v>
      </c>
      <c r="AG222" s="1013" t="s">
        <v>2700</v>
      </c>
      <c r="AH222" s="1014">
        <v>42528</v>
      </c>
      <c r="AI222" s="1014">
        <v>42732</v>
      </c>
      <c r="AJ222" s="181" t="s">
        <v>2701</v>
      </c>
      <c r="AK222" s="30" t="s">
        <v>1512</v>
      </c>
      <c r="AL222" s="1152" t="s">
        <v>56</v>
      </c>
      <c r="AM222" s="1152" t="s">
        <v>56</v>
      </c>
      <c r="AN222" s="1152" t="s">
        <v>56</v>
      </c>
      <c r="AO222" s="1152" t="s">
        <v>56</v>
      </c>
      <c r="AP222" s="1152" t="s">
        <v>56</v>
      </c>
      <c r="AQ222" s="1152" t="s">
        <v>56</v>
      </c>
      <c r="AR222" s="1153">
        <v>51770403.140000001</v>
      </c>
      <c r="AS222" s="138"/>
      <c r="AT222" s="138"/>
      <c r="AU222" s="138"/>
      <c r="AV222" s="138"/>
      <c r="AW222" s="138"/>
      <c r="AX222" s="138"/>
      <c r="AY222" s="138"/>
      <c r="AZ222" s="138"/>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c r="EN222" s="45"/>
      <c r="EO222" s="45"/>
      <c r="EP222" s="45"/>
      <c r="EQ222" s="45"/>
      <c r="ER222" s="45"/>
      <c r="ES222" s="45"/>
      <c r="ET222" s="45"/>
      <c r="EU222" s="45"/>
      <c r="EV222" s="45"/>
      <c r="EW222" s="45"/>
      <c r="EX222" s="45"/>
      <c r="EY222" s="45"/>
      <c r="EZ222" s="45"/>
      <c r="FA222" s="45"/>
      <c r="FB222" s="45"/>
      <c r="FC222" s="45"/>
      <c r="FD222" s="45"/>
      <c r="FE222" s="45"/>
      <c r="FF222" s="45"/>
      <c r="FG222" s="45"/>
      <c r="FH222" s="45"/>
      <c r="FI222" s="45"/>
      <c r="FJ222" s="45"/>
      <c r="FK222" s="45"/>
      <c r="FL222" s="45"/>
      <c r="FM222" s="45"/>
      <c r="FN222" s="45"/>
      <c r="FO222" s="45"/>
      <c r="FP222" s="45"/>
      <c r="FQ222" s="45"/>
      <c r="FR222" s="45"/>
      <c r="FS222" s="45"/>
      <c r="FT222" s="45"/>
      <c r="FU222" s="45"/>
      <c r="FV222" s="45"/>
      <c r="FW222" s="45"/>
      <c r="FX222" s="45"/>
      <c r="FY222" s="45"/>
      <c r="FZ222" s="45"/>
      <c r="GA222" s="45"/>
      <c r="GB222" s="45"/>
      <c r="GC222" s="45"/>
      <c r="GD222" s="45"/>
      <c r="GE222" s="45"/>
      <c r="GF222" s="45"/>
      <c r="GG222" s="45"/>
      <c r="GH222" s="45"/>
      <c r="GI222" s="45"/>
      <c r="GJ222" s="45"/>
      <c r="GK222" s="45"/>
      <c r="GL222" s="45"/>
      <c r="GM222" s="45"/>
      <c r="GN222" s="45"/>
      <c r="GO222" s="45"/>
      <c r="GP222" s="45"/>
      <c r="GQ222" s="45"/>
      <c r="GR222" s="45"/>
      <c r="GS222" s="45"/>
      <c r="GT222" s="45"/>
      <c r="GU222" s="45"/>
      <c r="GV222" s="45"/>
      <c r="GW222" s="45"/>
      <c r="GX222" s="45"/>
      <c r="GY222" s="45"/>
      <c r="GZ222" s="45"/>
      <c r="HA222" s="45"/>
      <c r="HB222" s="45"/>
      <c r="HC222" s="45"/>
      <c r="HD222" s="45"/>
      <c r="HE222" s="45"/>
      <c r="HF222" s="45"/>
      <c r="HG222" s="45"/>
      <c r="HH222" s="45"/>
      <c r="HI222" s="45"/>
      <c r="HJ222" s="45"/>
      <c r="HK222" s="45"/>
      <c r="HL222" s="45"/>
      <c r="HM222" s="45"/>
      <c r="HN222" s="45"/>
      <c r="HO222" s="45"/>
      <c r="HP222" s="45"/>
      <c r="HQ222" s="45"/>
      <c r="HR222" s="45"/>
      <c r="HS222" s="45"/>
      <c r="HT222" s="45"/>
      <c r="HU222" s="45"/>
      <c r="HV222" s="45"/>
      <c r="HW222" s="45"/>
      <c r="HX222" s="45"/>
      <c r="HY222" s="45"/>
      <c r="HZ222" s="45"/>
      <c r="IA222" s="45"/>
      <c r="IB222" s="45"/>
      <c r="IC222" s="45"/>
      <c r="ID222" s="45"/>
      <c r="IE222" s="45"/>
      <c r="IF222" s="45"/>
      <c r="IG222" s="45"/>
      <c r="IH222" s="45"/>
      <c r="II222" s="45"/>
      <c r="IJ222" s="45"/>
      <c r="IK222" s="45"/>
      <c r="IL222" s="45"/>
      <c r="IM222" s="45"/>
      <c r="IN222" s="45"/>
      <c r="IO222" s="45"/>
      <c r="IP222" s="45"/>
      <c r="IQ222" s="45"/>
      <c r="IR222" s="45"/>
      <c r="IS222" s="45"/>
      <c r="IT222" s="45"/>
      <c r="IU222" s="45"/>
      <c r="IV222" s="45"/>
      <c r="IW222" s="45"/>
      <c r="IX222" s="45"/>
      <c r="IY222" s="45"/>
      <c r="IZ222" s="45"/>
      <c r="JA222" s="45"/>
      <c r="JB222" s="45"/>
      <c r="JC222" s="45"/>
      <c r="JD222" s="45"/>
      <c r="JE222" s="45"/>
      <c r="JF222" s="45"/>
      <c r="JG222" s="45"/>
      <c r="JH222" s="45"/>
      <c r="JI222" s="45"/>
      <c r="JJ222" s="45"/>
      <c r="JK222" s="45"/>
      <c r="JL222" s="45"/>
      <c r="JM222" s="45"/>
    </row>
    <row r="223" spans="1:273" s="259" customFormat="1" ht="42.75" customHeight="1" x14ac:dyDescent="0.4">
      <c r="A223" s="832">
        <v>199</v>
      </c>
      <c r="B223" s="836" t="s">
        <v>998</v>
      </c>
      <c r="C223" s="833">
        <v>81161712</v>
      </c>
      <c r="D223" s="175" t="s">
        <v>976</v>
      </c>
      <c r="E223" s="836" t="s">
        <v>125</v>
      </c>
      <c r="F223" s="833">
        <v>1</v>
      </c>
      <c r="G223" s="834" t="s">
        <v>969</v>
      </c>
      <c r="H223" s="485">
        <v>9</v>
      </c>
      <c r="I223" s="73" t="s">
        <v>140</v>
      </c>
      <c r="J223" s="836" t="s">
        <v>2846</v>
      </c>
      <c r="K223" s="833" t="s">
        <v>108</v>
      </c>
      <c r="L223" s="69">
        <v>350000000</v>
      </c>
      <c r="M223" s="69">
        <v>350000000</v>
      </c>
      <c r="N223" s="836" t="s">
        <v>81</v>
      </c>
      <c r="O223" s="836" t="s">
        <v>56</v>
      </c>
      <c r="P223" s="58" t="s">
        <v>61</v>
      </c>
      <c r="Q223" s="45"/>
      <c r="R223" s="1233"/>
      <c r="S223" s="637"/>
      <c r="T223" s="138"/>
      <c r="U223" s="138"/>
      <c r="V223" s="138"/>
      <c r="W223" s="138"/>
      <c r="X223" s="138"/>
      <c r="Y223" s="134">
        <f t="shared" si="4"/>
        <v>0</v>
      </c>
      <c r="Z223" s="138"/>
      <c r="AA223" s="138"/>
      <c r="AB223" s="138"/>
      <c r="AC223" s="138"/>
      <c r="AD223" s="138"/>
      <c r="AE223" s="138"/>
      <c r="AF223" s="138"/>
      <c r="AG223" s="138"/>
      <c r="AH223" s="138"/>
      <c r="AI223" s="138"/>
      <c r="AJ223" s="138"/>
      <c r="AK223" s="635"/>
      <c r="AL223" s="592"/>
      <c r="AM223" s="138"/>
      <c r="AN223" s="138"/>
      <c r="AO223" s="138"/>
      <c r="AP223" s="138"/>
      <c r="AQ223" s="138"/>
      <c r="AR223" s="138"/>
      <c r="AS223" s="138"/>
      <c r="AT223" s="138"/>
      <c r="AU223" s="138"/>
      <c r="AV223" s="138"/>
      <c r="AW223" s="138"/>
      <c r="AX223" s="138"/>
      <c r="AY223" s="138"/>
      <c r="AZ223" s="138"/>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c r="EN223" s="45"/>
      <c r="EO223" s="45"/>
      <c r="EP223" s="45"/>
      <c r="EQ223" s="45"/>
      <c r="ER223" s="45"/>
      <c r="ES223" s="45"/>
      <c r="ET223" s="45"/>
      <c r="EU223" s="45"/>
      <c r="EV223" s="45"/>
      <c r="EW223" s="45"/>
      <c r="EX223" s="45"/>
      <c r="EY223" s="45"/>
      <c r="EZ223" s="45"/>
      <c r="FA223" s="45"/>
      <c r="FB223" s="45"/>
      <c r="FC223" s="45"/>
      <c r="FD223" s="45"/>
      <c r="FE223" s="45"/>
      <c r="FF223" s="45"/>
      <c r="FG223" s="45"/>
      <c r="FH223" s="45"/>
      <c r="FI223" s="45"/>
      <c r="FJ223" s="45"/>
      <c r="FK223" s="45"/>
      <c r="FL223" s="45"/>
      <c r="FM223" s="45"/>
      <c r="FN223" s="45"/>
      <c r="FO223" s="45"/>
      <c r="FP223" s="45"/>
      <c r="FQ223" s="45"/>
      <c r="FR223" s="45"/>
      <c r="FS223" s="45"/>
      <c r="FT223" s="45"/>
      <c r="FU223" s="45"/>
      <c r="FV223" s="45"/>
      <c r="FW223" s="45"/>
      <c r="FX223" s="45"/>
      <c r="FY223" s="45"/>
      <c r="FZ223" s="45"/>
      <c r="GA223" s="45"/>
      <c r="GB223" s="45"/>
      <c r="GC223" s="45"/>
      <c r="GD223" s="45"/>
      <c r="GE223" s="45"/>
      <c r="GF223" s="45"/>
      <c r="GG223" s="45"/>
      <c r="GH223" s="45"/>
      <c r="GI223" s="45"/>
      <c r="GJ223" s="45"/>
      <c r="GK223" s="45"/>
      <c r="GL223" s="45"/>
      <c r="GM223" s="45"/>
      <c r="GN223" s="45"/>
      <c r="GO223" s="45"/>
      <c r="GP223" s="45"/>
      <c r="GQ223" s="45"/>
      <c r="GR223" s="45"/>
      <c r="GS223" s="45"/>
      <c r="GT223" s="45"/>
      <c r="GU223" s="45"/>
      <c r="GV223" s="45"/>
      <c r="GW223" s="45"/>
      <c r="GX223" s="45"/>
      <c r="GY223" s="45"/>
      <c r="GZ223" s="45"/>
      <c r="HA223" s="45"/>
      <c r="HB223" s="45"/>
      <c r="HC223" s="45"/>
      <c r="HD223" s="45"/>
      <c r="HE223" s="45"/>
      <c r="HF223" s="45"/>
      <c r="HG223" s="45"/>
      <c r="HH223" s="45"/>
      <c r="HI223" s="45"/>
      <c r="HJ223" s="45"/>
      <c r="HK223" s="45"/>
      <c r="HL223" s="45"/>
      <c r="HM223" s="45"/>
      <c r="HN223" s="45"/>
      <c r="HO223" s="45"/>
      <c r="HP223" s="45"/>
      <c r="HQ223" s="45"/>
      <c r="HR223" s="45"/>
      <c r="HS223" s="45"/>
      <c r="HT223" s="45"/>
      <c r="HU223" s="45"/>
      <c r="HV223" s="45"/>
      <c r="HW223" s="45"/>
      <c r="HX223" s="45"/>
      <c r="HY223" s="45"/>
      <c r="HZ223" s="45"/>
      <c r="IA223" s="45"/>
      <c r="IB223" s="45"/>
      <c r="IC223" s="45"/>
      <c r="ID223" s="45"/>
      <c r="IE223" s="45"/>
      <c r="IF223" s="45"/>
      <c r="IG223" s="45"/>
      <c r="IH223" s="45"/>
      <c r="II223" s="45"/>
      <c r="IJ223" s="45"/>
      <c r="IK223" s="45"/>
      <c r="IL223" s="45"/>
      <c r="IM223" s="45"/>
      <c r="IN223" s="45"/>
      <c r="IO223" s="45"/>
      <c r="IP223" s="45"/>
      <c r="IQ223" s="45"/>
      <c r="IR223" s="45"/>
      <c r="IS223" s="45"/>
      <c r="IT223" s="45"/>
      <c r="IU223" s="45"/>
      <c r="IV223" s="45"/>
      <c r="IW223" s="45"/>
      <c r="IX223" s="45"/>
      <c r="IY223" s="45"/>
      <c r="IZ223" s="45"/>
      <c r="JA223" s="45"/>
      <c r="JB223" s="45"/>
      <c r="JC223" s="45"/>
      <c r="JD223" s="45"/>
      <c r="JE223" s="45"/>
      <c r="JF223" s="45"/>
      <c r="JG223" s="45"/>
      <c r="JH223" s="45"/>
      <c r="JI223" s="45"/>
      <c r="JJ223" s="45"/>
      <c r="JK223" s="45"/>
      <c r="JL223" s="45"/>
      <c r="JM223" s="45"/>
    </row>
    <row r="224" spans="1:273" s="259" customFormat="1" ht="42.75" customHeight="1" x14ac:dyDescent="0.4">
      <c r="A224" s="832">
        <v>201</v>
      </c>
      <c r="B224" s="836" t="s">
        <v>998</v>
      </c>
      <c r="C224" s="833">
        <v>43222815</v>
      </c>
      <c r="D224" s="175" t="s">
        <v>1780</v>
      </c>
      <c r="E224" s="836" t="s">
        <v>125</v>
      </c>
      <c r="F224" s="833">
        <v>1</v>
      </c>
      <c r="G224" s="834" t="s">
        <v>969</v>
      </c>
      <c r="H224" s="485">
        <v>2</v>
      </c>
      <c r="I224" s="73" t="s">
        <v>140</v>
      </c>
      <c r="J224" s="836" t="s">
        <v>2846</v>
      </c>
      <c r="K224" s="833" t="s">
        <v>108</v>
      </c>
      <c r="L224" s="69">
        <v>347500000</v>
      </c>
      <c r="M224" s="69">
        <v>347500000</v>
      </c>
      <c r="N224" s="836" t="s">
        <v>81</v>
      </c>
      <c r="O224" s="836" t="s">
        <v>56</v>
      </c>
      <c r="P224" s="58" t="s">
        <v>61</v>
      </c>
      <c r="Q224" s="45"/>
      <c r="R224" s="1233"/>
      <c r="S224" s="637"/>
      <c r="T224" s="138"/>
      <c r="U224" s="138"/>
      <c r="V224" s="138"/>
      <c r="W224" s="138"/>
      <c r="X224" s="138"/>
      <c r="Y224" s="134">
        <f t="shared" si="4"/>
        <v>0</v>
      </c>
      <c r="Z224" s="138"/>
      <c r="AA224" s="138"/>
      <c r="AB224" s="138"/>
      <c r="AC224" s="138"/>
      <c r="AD224" s="138"/>
      <c r="AE224" s="138"/>
      <c r="AF224" s="138"/>
      <c r="AG224" s="138"/>
      <c r="AH224" s="138"/>
      <c r="AI224" s="138"/>
      <c r="AJ224" s="138"/>
      <c r="AK224" s="635"/>
      <c r="AL224" s="592"/>
      <c r="AM224" s="138"/>
      <c r="AN224" s="138"/>
      <c r="AO224" s="138"/>
      <c r="AP224" s="138"/>
      <c r="AQ224" s="138"/>
      <c r="AR224" s="138"/>
      <c r="AS224" s="138"/>
      <c r="AT224" s="138"/>
      <c r="AU224" s="138"/>
      <c r="AV224" s="138"/>
      <c r="AW224" s="138"/>
      <c r="AX224" s="138"/>
      <c r="AY224" s="138"/>
      <c r="AZ224" s="138"/>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45"/>
      <c r="DI224" s="45"/>
      <c r="DJ224" s="45"/>
      <c r="DK224" s="45"/>
      <c r="DL224" s="45"/>
      <c r="DM224" s="45"/>
      <c r="DN224" s="45"/>
      <c r="DO224" s="45"/>
      <c r="DP224" s="45"/>
      <c r="DQ224" s="45"/>
      <c r="DR224" s="45"/>
      <c r="DS224" s="45"/>
      <c r="DT224" s="45"/>
      <c r="DU224" s="45"/>
      <c r="DV224" s="45"/>
      <c r="DW224" s="45"/>
      <c r="DX224" s="45"/>
      <c r="DY224" s="45"/>
      <c r="DZ224" s="45"/>
      <c r="EA224" s="45"/>
      <c r="EB224" s="45"/>
      <c r="EC224" s="45"/>
      <c r="ED224" s="45"/>
      <c r="EE224" s="45"/>
      <c r="EF224" s="45"/>
      <c r="EG224" s="45"/>
      <c r="EH224" s="45"/>
      <c r="EI224" s="45"/>
      <c r="EJ224" s="45"/>
      <c r="EK224" s="45"/>
      <c r="EL224" s="45"/>
      <c r="EM224" s="45"/>
      <c r="EN224" s="45"/>
      <c r="EO224" s="45"/>
      <c r="EP224" s="45"/>
      <c r="EQ224" s="45"/>
      <c r="ER224" s="45"/>
      <c r="ES224" s="45"/>
      <c r="ET224" s="45"/>
      <c r="EU224" s="45"/>
      <c r="EV224" s="45"/>
      <c r="EW224" s="45"/>
      <c r="EX224" s="45"/>
      <c r="EY224" s="45"/>
      <c r="EZ224" s="45"/>
      <c r="FA224" s="45"/>
      <c r="FB224" s="45"/>
      <c r="FC224" s="45"/>
      <c r="FD224" s="45"/>
      <c r="FE224" s="45"/>
      <c r="FF224" s="45"/>
      <c r="FG224" s="45"/>
      <c r="FH224" s="45"/>
      <c r="FI224" s="45"/>
      <c r="FJ224" s="45"/>
      <c r="FK224" s="45"/>
      <c r="FL224" s="45"/>
      <c r="FM224" s="45"/>
      <c r="FN224" s="45"/>
      <c r="FO224" s="45"/>
      <c r="FP224" s="45"/>
      <c r="FQ224" s="45"/>
      <c r="FR224" s="45"/>
      <c r="FS224" s="45"/>
      <c r="FT224" s="45"/>
      <c r="FU224" s="45"/>
      <c r="FV224" s="45"/>
      <c r="FW224" s="45"/>
      <c r="FX224" s="45"/>
      <c r="FY224" s="45"/>
      <c r="FZ224" s="45"/>
      <c r="GA224" s="45"/>
      <c r="GB224" s="45"/>
      <c r="GC224" s="45"/>
      <c r="GD224" s="45"/>
      <c r="GE224" s="45"/>
      <c r="GF224" s="45"/>
      <c r="GG224" s="45"/>
      <c r="GH224" s="45"/>
      <c r="GI224" s="45"/>
      <c r="GJ224" s="45"/>
      <c r="GK224" s="45"/>
      <c r="GL224" s="45"/>
      <c r="GM224" s="45"/>
      <c r="GN224" s="45"/>
      <c r="GO224" s="45"/>
      <c r="GP224" s="45"/>
      <c r="GQ224" s="45"/>
      <c r="GR224" s="45"/>
      <c r="GS224" s="45"/>
      <c r="GT224" s="45"/>
      <c r="GU224" s="45"/>
      <c r="GV224" s="45"/>
      <c r="GW224" s="45"/>
      <c r="GX224" s="45"/>
      <c r="GY224" s="45"/>
      <c r="GZ224" s="45"/>
      <c r="HA224" s="45"/>
      <c r="HB224" s="45"/>
      <c r="HC224" s="45"/>
      <c r="HD224" s="45"/>
      <c r="HE224" s="45"/>
      <c r="HF224" s="45"/>
      <c r="HG224" s="45"/>
      <c r="HH224" s="45"/>
      <c r="HI224" s="45"/>
      <c r="HJ224" s="45"/>
      <c r="HK224" s="45"/>
      <c r="HL224" s="45"/>
      <c r="HM224" s="45"/>
      <c r="HN224" s="45"/>
      <c r="HO224" s="45"/>
      <c r="HP224" s="45"/>
      <c r="HQ224" s="45"/>
      <c r="HR224" s="45"/>
      <c r="HS224" s="45"/>
      <c r="HT224" s="45"/>
      <c r="HU224" s="45"/>
      <c r="HV224" s="45"/>
      <c r="HW224" s="45"/>
      <c r="HX224" s="45"/>
      <c r="HY224" s="45"/>
      <c r="HZ224" s="45"/>
      <c r="IA224" s="45"/>
      <c r="IB224" s="45"/>
      <c r="IC224" s="45"/>
      <c r="ID224" s="45"/>
      <c r="IE224" s="45"/>
      <c r="IF224" s="45"/>
      <c r="IG224" s="45"/>
      <c r="IH224" s="45"/>
      <c r="II224" s="45"/>
      <c r="IJ224" s="45"/>
      <c r="IK224" s="45"/>
      <c r="IL224" s="45"/>
      <c r="IM224" s="45"/>
      <c r="IN224" s="45"/>
      <c r="IO224" s="45"/>
      <c r="IP224" s="45"/>
      <c r="IQ224" s="45"/>
      <c r="IR224" s="45"/>
      <c r="IS224" s="45"/>
      <c r="IT224" s="45"/>
      <c r="IU224" s="45"/>
      <c r="IV224" s="45"/>
      <c r="IW224" s="45"/>
      <c r="IX224" s="45"/>
      <c r="IY224" s="45"/>
      <c r="IZ224" s="45"/>
      <c r="JA224" s="45"/>
      <c r="JB224" s="45"/>
      <c r="JC224" s="45"/>
      <c r="JD224" s="45"/>
      <c r="JE224" s="45"/>
      <c r="JF224" s="45"/>
      <c r="JG224" s="45"/>
      <c r="JH224" s="45"/>
      <c r="JI224" s="45"/>
      <c r="JJ224" s="45"/>
      <c r="JK224" s="45"/>
      <c r="JL224" s="45"/>
      <c r="JM224" s="45"/>
    </row>
    <row r="225" spans="1:273" s="259" customFormat="1" ht="45" customHeight="1" x14ac:dyDescent="0.25">
      <c r="A225" s="832">
        <v>202</v>
      </c>
      <c r="B225" s="836" t="s">
        <v>998</v>
      </c>
      <c r="C225" s="833">
        <v>81100000</v>
      </c>
      <c r="D225" s="175" t="s">
        <v>977</v>
      </c>
      <c r="E225" s="836" t="s">
        <v>125</v>
      </c>
      <c r="F225" s="833">
        <v>1</v>
      </c>
      <c r="G225" s="834" t="s">
        <v>167</v>
      </c>
      <c r="H225" s="485">
        <v>1</v>
      </c>
      <c r="I225" s="73" t="s">
        <v>970</v>
      </c>
      <c r="J225" s="836" t="s">
        <v>2846</v>
      </c>
      <c r="K225" s="833" t="s">
        <v>108</v>
      </c>
      <c r="L225" s="69">
        <v>3758641.7510000002</v>
      </c>
      <c r="M225" s="69">
        <v>3758641.7510000002</v>
      </c>
      <c r="N225" s="836" t="s">
        <v>81</v>
      </c>
      <c r="O225" s="836" t="s">
        <v>56</v>
      </c>
      <c r="P225" s="58" t="s">
        <v>61</v>
      </c>
      <c r="Q225" s="45"/>
      <c r="R225" s="138"/>
      <c r="S225" s="637"/>
      <c r="T225" s="138"/>
      <c r="U225" s="138"/>
      <c r="V225" s="138"/>
      <c r="W225" s="138"/>
      <c r="X225" s="138"/>
      <c r="Y225" s="134">
        <f t="shared" si="4"/>
        <v>0</v>
      </c>
      <c r="Z225" s="138"/>
      <c r="AA225" s="138"/>
      <c r="AB225" s="138"/>
      <c r="AC225" s="138"/>
      <c r="AD225" s="138"/>
      <c r="AE225" s="138"/>
      <c r="AF225" s="138"/>
      <c r="AG225" s="138"/>
      <c r="AH225" s="138"/>
      <c r="AI225" s="138"/>
      <c r="AJ225" s="138"/>
      <c r="AK225" s="635"/>
      <c r="AL225" s="592"/>
      <c r="AM225" s="138"/>
      <c r="AN225" s="138"/>
      <c r="AO225" s="138"/>
      <c r="AP225" s="138"/>
      <c r="AQ225" s="138"/>
      <c r="AR225" s="138"/>
      <c r="AS225" s="138"/>
      <c r="AT225" s="138"/>
      <c r="AU225" s="138"/>
      <c r="AV225" s="138"/>
      <c r="AW225" s="138"/>
      <c r="AX225" s="138"/>
      <c r="AY225" s="138"/>
      <c r="AZ225" s="138"/>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45"/>
      <c r="DI225" s="45"/>
      <c r="DJ225" s="45"/>
      <c r="DK225" s="45"/>
      <c r="DL225" s="45"/>
      <c r="DM225" s="45"/>
      <c r="DN225" s="45"/>
      <c r="DO225" s="45"/>
      <c r="DP225" s="45"/>
      <c r="DQ225" s="45"/>
      <c r="DR225" s="45"/>
      <c r="DS225" s="45"/>
      <c r="DT225" s="45"/>
      <c r="DU225" s="45"/>
      <c r="DV225" s="45"/>
      <c r="DW225" s="45"/>
      <c r="DX225" s="45"/>
      <c r="DY225" s="45"/>
      <c r="DZ225" s="45"/>
      <c r="EA225" s="45"/>
      <c r="EB225" s="45"/>
      <c r="EC225" s="45"/>
      <c r="ED225" s="45"/>
      <c r="EE225" s="45"/>
      <c r="EF225" s="45"/>
      <c r="EG225" s="45"/>
      <c r="EH225" s="45"/>
      <c r="EI225" s="45"/>
      <c r="EJ225" s="45"/>
      <c r="EK225" s="45"/>
      <c r="EL225" s="45"/>
      <c r="EM225" s="45"/>
      <c r="EN225" s="45"/>
      <c r="EO225" s="45"/>
      <c r="EP225" s="45"/>
      <c r="EQ225" s="45"/>
      <c r="ER225" s="45"/>
      <c r="ES225" s="45"/>
      <c r="ET225" s="45"/>
      <c r="EU225" s="45"/>
      <c r="EV225" s="45"/>
      <c r="EW225" s="45"/>
      <c r="EX225" s="45"/>
      <c r="EY225" s="45"/>
      <c r="EZ225" s="45"/>
      <c r="FA225" s="45"/>
      <c r="FB225" s="45"/>
      <c r="FC225" s="45"/>
      <c r="FD225" s="45"/>
      <c r="FE225" s="45"/>
      <c r="FF225" s="45"/>
      <c r="FG225" s="45"/>
      <c r="FH225" s="45"/>
      <c r="FI225" s="45"/>
      <c r="FJ225" s="45"/>
      <c r="FK225" s="45"/>
      <c r="FL225" s="45"/>
      <c r="FM225" s="45"/>
      <c r="FN225" s="45"/>
      <c r="FO225" s="45"/>
      <c r="FP225" s="45"/>
      <c r="FQ225" s="45"/>
      <c r="FR225" s="45"/>
      <c r="FS225" s="45"/>
      <c r="FT225" s="45"/>
      <c r="FU225" s="45"/>
      <c r="FV225" s="45"/>
      <c r="FW225" s="45"/>
      <c r="FX225" s="45"/>
      <c r="FY225" s="45"/>
      <c r="FZ225" s="45"/>
      <c r="GA225" s="45"/>
      <c r="GB225" s="45"/>
      <c r="GC225" s="45"/>
      <c r="GD225" s="45"/>
      <c r="GE225" s="45"/>
      <c r="GF225" s="45"/>
      <c r="GG225" s="45"/>
      <c r="GH225" s="45"/>
      <c r="GI225" s="45"/>
      <c r="GJ225" s="45"/>
      <c r="GK225" s="45"/>
      <c r="GL225" s="45"/>
      <c r="GM225" s="45"/>
      <c r="GN225" s="45"/>
      <c r="GO225" s="45"/>
      <c r="GP225" s="45"/>
      <c r="GQ225" s="45"/>
      <c r="GR225" s="45"/>
      <c r="GS225" s="45"/>
      <c r="GT225" s="45"/>
      <c r="GU225" s="45"/>
      <c r="GV225" s="45"/>
      <c r="GW225" s="45"/>
      <c r="GX225" s="45"/>
      <c r="GY225" s="45"/>
      <c r="GZ225" s="45"/>
      <c r="HA225" s="45"/>
      <c r="HB225" s="45"/>
      <c r="HC225" s="45"/>
      <c r="HD225" s="45"/>
      <c r="HE225" s="45"/>
      <c r="HF225" s="45"/>
      <c r="HG225" s="45"/>
      <c r="HH225" s="45"/>
      <c r="HI225" s="45"/>
      <c r="HJ225" s="45"/>
      <c r="HK225" s="45"/>
      <c r="HL225" s="45"/>
      <c r="HM225" s="45"/>
      <c r="HN225" s="45"/>
      <c r="HO225" s="45"/>
      <c r="HP225" s="45"/>
      <c r="HQ225" s="45"/>
      <c r="HR225" s="45"/>
      <c r="HS225" s="45"/>
      <c r="HT225" s="45"/>
      <c r="HU225" s="45"/>
      <c r="HV225" s="45"/>
      <c r="HW225" s="45"/>
      <c r="HX225" s="45"/>
      <c r="HY225" s="45"/>
      <c r="HZ225" s="45"/>
      <c r="IA225" s="45"/>
      <c r="IB225" s="45"/>
      <c r="IC225" s="45"/>
      <c r="ID225" s="45"/>
      <c r="IE225" s="45"/>
      <c r="IF225" s="45"/>
      <c r="IG225" s="45"/>
      <c r="IH225" s="45"/>
      <c r="II225" s="45"/>
      <c r="IJ225" s="45"/>
      <c r="IK225" s="45"/>
      <c r="IL225" s="45"/>
      <c r="IM225" s="45"/>
      <c r="IN225" s="45"/>
      <c r="IO225" s="45"/>
      <c r="IP225" s="45"/>
      <c r="IQ225" s="45"/>
      <c r="IR225" s="45"/>
      <c r="IS225" s="45"/>
      <c r="IT225" s="45"/>
      <c r="IU225" s="45"/>
      <c r="IV225" s="45"/>
      <c r="IW225" s="45"/>
      <c r="IX225" s="45"/>
      <c r="IY225" s="45"/>
      <c r="IZ225" s="45"/>
      <c r="JA225" s="45"/>
      <c r="JB225" s="45"/>
      <c r="JC225" s="45"/>
      <c r="JD225" s="45"/>
      <c r="JE225" s="45"/>
      <c r="JF225" s="45"/>
      <c r="JG225" s="45"/>
      <c r="JH225" s="45"/>
      <c r="JI225" s="45"/>
      <c r="JJ225" s="45"/>
      <c r="JK225" s="45"/>
      <c r="JL225" s="45"/>
      <c r="JM225" s="45"/>
    </row>
    <row r="226" spans="1:273" s="259" customFormat="1" ht="45" customHeight="1" x14ac:dyDescent="0.25">
      <c r="A226" s="832">
        <v>203</v>
      </c>
      <c r="B226" s="836" t="s">
        <v>998</v>
      </c>
      <c r="C226" s="833">
        <v>81112501</v>
      </c>
      <c r="D226" s="175" t="s">
        <v>978</v>
      </c>
      <c r="E226" s="836" t="s">
        <v>125</v>
      </c>
      <c r="F226" s="833">
        <v>1</v>
      </c>
      <c r="G226" s="834" t="s">
        <v>167</v>
      </c>
      <c r="H226" s="485">
        <v>1</v>
      </c>
      <c r="I226" s="73" t="s">
        <v>140</v>
      </c>
      <c r="J226" s="836" t="s">
        <v>2846</v>
      </c>
      <c r="K226" s="833" t="s">
        <v>108</v>
      </c>
      <c r="L226" s="69">
        <v>25885394.849999998</v>
      </c>
      <c r="M226" s="69">
        <v>25885394.849999998</v>
      </c>
      <c r="N226" s="836" t="s">
        <v>81</v>
      </c>
      <c r="O226" s="836" t="s">
        <v>56</v>
      </c>
      <c r="P226" s="58" t="s">
        <v>61</v>
      </c>
      <c r="Q226" s="45"/>
      <c r="R226" s="138"/>
      <c r="S226" s="637"/>
      <c r="T226" s="138"/>
      <c r="U226" s="138"/>
      <c r="V226" s="138"/>
      <c r="W226" s="138"/>
      <c r="X226" s="138"/>
      <c r="Y226" s="134">
        <f t="shared" si="4"/>
        <v>0</v>
      </c>
      <c r="Z226" s="138"/>
      <c r="AA226" s="138"/>
      <c r="AB226" s="138"/>
      <c r="AC226" s="138"/>
      <c r="AD226" s="138"/>
      <c r="AE226" s="138"/>
      <c r="AF226" s="138"/>
      <c r="AG226" s="138"/>
      <c r="AH226" s="138"/>
      <c r="AI226" s="138"/>
      <c r="AJ226" s="138"/>
      <c r="AK226" s="635"/>
      <c r="AL226" s="592"/>
      <c r="AM226" s="138"/>
      <c r="AN226" s="138"/>
      <c r="AO226" s="138"/>
      <c r="AP226" s="138"/>
      <c r="AQ226" s="138"/>
      <c r="AR226" s="138"/>
      <c r="AS226" s="138"/>
      <c r="AT226" s="138"/>
      <c r="AU226" s="138"/>
      <c r="AV226" s="138"/>
      <c r="AW226" s="138"/>
      <c r="AX226" s="138"/>
      <c r="AY226" s="138"/>
      <c r="AZ226" s="138"/>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c r="EN226" s="45"/>
      <c r="EO226" s="45"/>
      <c r="EP226" s="45"/>
      <c r="EQ226" s="45"/>
      <c r="ER226" s="45"/>
      <c r="ES226" s="45"/>
      <c r="ET226" s="45"/>
      <c r="EU226" s="45"/>
      <c r="EV226" s="45"/>
      <c r="EW226" s="45"/>
      <c r="EX226" s="45"/>
      <c r="EY226" s="45"/>
      <c r="EZ226" s="45"/>
      <c r="FA226" s="45"/>
      <c r="FB226" s="45"/>
      <c r="FC226" s="45"/>
      <c r="FD226" s="45"/>
      <c r="FE226" s="45"/>
      <c r="FF226" s="45"/>
      <c r="FG226" s="45"/>
      <c r="FH226" s="45"/>
      <c r="FI226" s="45"/>
      <c r="FJ226" s="45"/>
      <c r="FK226" s="45"/>
      <c r="FL226" s="45"/>
      <c r="FM226" s="45"/>
      <c r="FN226" s="45"/>
      <c r="FO226" s="45"/>
      <c r="FP226" s="45"/>
      <c r="FQ226" s="45"/>
      <c r="FR226" s="45"/>
      <c r="FS226" s="45"/>
      <c r="FT226" s="45"/>
      <c r="FU226" s="45"/>
      <c r="FV226" s="45"/>
      <c r="FW226" s="45"/>
      <c r="FX226" s="45"/>
      <c r="FY226" s="45"/>
      <c r="FZ226" s="45"/>
      <c r="GA226" s="45"/>
      <c r="GB226" s="45"/>
      <c r="GC226" s="45"/>
      <c r="GD226" s="45"/>
      <c r="GE226" s="45"/>
      <c r="GF226" s="45"/>
      <c r="GG226" s="45"/>
      <c r="GH226" s="45"/>
      <c r="GI226" s="45"/>
      <c r="GJ226" s="45"/>
      <c r="GK226" s="45"/>
      <c r="GL226" s="45"/>
      <c r="GM226" s="45"/>
      <c r="GN226" s="45"/>
      <c r="GO226" s="45"/>
      <c r="GP226" s="45"/>
      <c r="GQ226" s="45"/>
      <c r="GR226" s="45"/>
      <c r="GS226" s="45"/>
      <c r="GT226" s="45"/>
      <c r="GU226" s="45"/>
      <c r="GV226" s="45"/>
      <c r="GW226" s="45"/>
      <c r="GX226" s="45"/>
      <c r="GY226" s="45"/>
      <c r="GZ226" s="45"/>
      <c r="HA226" s="45"/>
      <c r="HB226" s="45"/>
      <c r="HC226" s="45"/>
      <c r="HD226" s="45"/>
      <c r="HE226" s="45"/>
      <c r="HF226" s="45"/>
      <c r="HG226" s="45"/>
      <c r="HH226" s="45"/>
      <c r="HI226" s="45"/>
      <c r="HJ226" s="45"/>
      <c r="HK226" s="45"/>
      <c r="HL226" s="45"/>
      <c r="HM226" s="45"/>
      <c r="HN226" s="45"/>
      <c r="HO226" s="45"/>
      <c r="HP226" s="45"/>
      <c r="HQ226" s="45"/>
      <c r="HR226" s="45"/>
      <c r="HS226" s="45"/>
      <c r="HT226" s="45"/>
      <c r="HU226" s="45"/>
      <c r="HV226" s="45"/>
      <c r="HW226" s="45"/>
      <c r="HX226" s="45"/>
      <c r="HY226" s="45"/>
      <c r="HZ226" s="45"/>
      <c r="IA226" s="45"/>
      <c r="IB226" s="45"/>
      <c r="IC226" s="45"/>
      <c r="ID226" s="45"/>
      <c r="IE226" s="45"/>
      <c r="IF226" s="45"/>
      <c r="IG226" s="45"/>
      <c r="IH226" s="45"/>
      <c r="II226" s="45"/>
      <c r="IJ226" s="45"/>
      <c r="IK226" s="45"/>
      <c r="IL226" s="45"/>
      <c r="IM226" s="45"/>
      <c r="IN226" s="45"/>
      <c r="IO226" s="45"/>
      <c r="IP226" s="45"/>
      <c r="IQ226" s="45"/>
      <c r="IR226" s="45"/>
      <c r="IS226" s="45"/>
      <c r="IT226" s="45"/>
      <c r="IU226" s="45"/>
      <c r="IV226" s="45"/>
      <c r="IW226" s="45"/>
      <c r="IX226" s="45"/>
      <c r="IY226" s="45"/>
      <c r="IZ226" s="45"/>
      <c r="JA226" s="45"/>
      <c r="JB226" s="45"/>
      <c r="JC226" s="45"/>
      <c r="JD226" s="45"/>
      <c r="JE226" s="45"/>
      <c r="JF226" s="45"/>
      <c r="JG226" s="45"/>
      <c r="JH226" s="45"/>
      <c r="JI226" s="45"/>
      <c r="JJ226" s="45"/>
      <c r="JK226" s="45"/>
      <c r="JL226" s="45"/>
      <c r="JM226" s="45"/>
    </row>
    <row r="227" spans="1:273" s="259" customFormat="1" ht="78" customHeight="1" x14ac:dyDescent="0.25">
      <c r="A227" s="832">
        <v>204</v>
      </c>
      <c r="B227" s="836" t="s">
        <v>998</v>
      </c>
      <c r="C227" s="833">
        <v>81112501</v>
      </c>
      <c r="D227" s="175" t="s">
        <v>979</v>
      </c>
      <c r="E227" s="836" t="s">
        <v>125</v>
      </c>
      <c r="F227" s="833">
        <v>1</v>
      </c>
      <c r="G227" s="834" t="s">
        <v>165</v>
      </c>
      <c r="H227" s="485">
        <v>12</v>
      </c>
      <c r="I227" s="73" t="s">
        <v>89</v>
      </c>
      <c r="J227" s="836" t="s">
        <v>2846</v>
      </c>
      <c r="K227" s="833" t="s">
        <v>108</v>
      </c>
      <c r="L227" s="69">
        <v>18200000</v>
      </c>
      <c r="M227" s="69">
        <v>18200000</v>
      </c>
      <c r="N227" s="836" t="s">
        <v>81</v>
      </c>
      <c r="O227" s="836" t="s">
        <v>56</v>
      </c>
      <c r="P227" s="58" t="s">
        <v>61</v>
      </c>
      <c r="Q227" s="45"/>
      <c r="R227" s="172" t="s">
        <v>2702</v>
      </c>
      <c r="S227" s="172" t="s">
        <v>2703</v>
      </c>
      <c r="T227" s="28">
        <v>42506</v>
      </c>
      <c r="U227" s="1012" t="s">
        <v>2704</v>
      </c>
      <c r="V227" s="181" t="s">
        <v>594</v>
      </c>
      <c r="W227" s="1050">
        <v>13500000</v>
      </c>
      <c r="X227" s="138"/>
      <c r="Y227" s="134">
        <f t="shared" si="4"/>
        <v>13500000</v>
      </c>
      <c r="Z227" s="994" t="s">
        <v>2705</v>
      </c>
      <c r="AA227" s="411" t="s">
        <v>2674</v>
      </c>
      <c r="AB227" s="411" t="s">
        <v>225</v>
      </c>
      <c r="AC227" s="181" t="s">
        <v>2706</v>
      </c>
      <c r="AD227" s="411" t="s">
        <v>56</v>
      </c>
      <c r="AE227" s="411" t="s">
        <v>56</v>
      </c>
      <c r="AF227" s="411" t="s">
        <v>56</v>
      </c>
      <c r="AG227" s="168" t="s">
        <v>2707</v>
      </c>
      <c r="AH227" s="169">
        <v>42506</v>
      </c>
      <c r="AI227" s="169">
        <v>42870</v>
      </c>
      <c r="AJ227" s="411" t="s">
        <v>1081</v>
      </c>
      <c r="AK227" s="134" t="s">
        <v>1512</v>
      </c>
      <c r="AL227" s="592"/>
      <c r="AM227" s="138"/>
      <c r="AN227" s="138"/>
      <c r="AO227" s="138"/>
      <c r="AP227" s="138"/>
      <c r="AQ227" s="138"/>
      <c r="AR227" s="138"/>
      <c r="AS227" s="138"/>
      <c r="AT227" s="138"/>
      <c r="AU227" s="138"/>
      <c r="AV227" s="138"/>
      <c r="AW227" s="138"/>
      <c r="AX227" s="138"/>
      <c r="AY227" s="138"/>
      <c r="AZ227" s="138"/>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c r="IK227" s="45"/>
      <c r="IL227" s="45"/>
      <c r="IM227" s="45"/>
      <c r="IN227" s="45"/>
      <c r="IO227" s="45"/>
      <c r="IP227" s="45"/>
      <c r="IQ227" s="45"/>
      <c r="IR227" s="45"/>
      <c r="IS227" s="45"/>
      <c r="IT227" s="45"/>
      <c r="IU227" s="45"/>
      <c r="IV227" s="45"/>
      <c r="IW227" s="45"/>
      <c r="IX227" s="45"/>
      <c r="IY227" s="45"/>
      <c r="IZ227" s="45"/>
      <c r="JA227" s="45"/>
      <c r="JB227" s="45"/>
      <c r="JC227" s="45"/>
      <c r="JD227" s="45"/>
      <c r="JE227" s="45"/>
      <c r="JF227" s="45"/>
      <c r="JG227" s="45"/>
      <c r="JH227" s="45"/>
      <c r="JI227" s="45"/>
      <c r="JJ227" s="45"/>
      <c r="JK227" s="45"/>
      <c r="JL227" s="45"/>
      <c r="JM227" s="45"/>
    </row>
    <row r="228" spans="1:273" s="259" customFormat="1" ht="49.5" customHeight="1" x14ac:dyDescent="0.25">
      <c r="A228" s="938">
        <v>205</v>
      </c>
      <c r="B228" s="940" t="s">
        <v>998</v>
      </c>
      <c r="C228" s="944">
        <v>93151502</v>
      </c>
      <c r="D228" s="961" t="s">
        <v>980</v>
      </c>
      <c r="E228" s="940" t="s">
        <v>125</v>
      </c>
      <c r="F228" s="944">
        <v>1</v>
      </c>
      <c r="G228" s="963" t="s">
        <v>167</v>
      </c>
      <c r="H228" s="952">
        <v>6</v>
      </c>
      <c r="I228" s="954" t="s">
        <v>77</v>
      </c>
      <c r="J228" s="795" t="s">
        <v>129</v>
      </c>
      <c r="K228" s="840" t="s">
        <v>108</v>
      </c>
      <c r="L228" s="69">
        <v>100000000</v>
      </c>
      <c r="M228" s="69">
        <v>100000000</v>
      </c>
      <c r="N228" s="940" t="s">
        <v>81</v>
      </c>
      <c r="O228" s="940" t="s">
        <v>56</v>
      </c>
      <c r="P228" s="956" t="s">
        <v>61</v>
      </c>
      <c r="Q228" s="45"/>
      <c r="R228" s="1160"/>
      <c r="S228" s="637"/>
      <c r="T228" s="138"/>
      <c r="U228" s="138"/>
      <c r="V228" s="138"/>
      <c r="W228" s="1160"/>
      <c r="X228" s="1160"/>
      <c r="Y228" s="134">
        <f t="shared" si="4"/>
        <v>0</v>
      </c>
      <c r="Z228" s="1160"/>
      <c r="AA228" s="1160"/>
      <c r="AB228" s="1160"/>
      <c r="AC228" s="1160"/>
      <c r="AD228" s="1160"/>
      <c r="AE228" s="1160"/>
      <c r="AF228" s="1160"/>
      <c r="AG228" s="1160"/>
      <c r="AH228" s="1160"/>
      <c r="AI228" s="1160"/>
      <c r="AJ228" s="1160"/>
      <c r="AK228" s="1160"/>
      <c r="AL228" s="1160"/>
      <c r="AM228" s="1160"/>
      <c r="AN228" s="1160"/>
      <c r="AO228" s="1160"/>
      <c r="AP228" s="1160"/>
      <c r="AQ228" s="1160"/>
      <c r="AR228" s="1160"/>
      <c r="AS228" s="1160"/>
      <c r="AT228" s="1160"/>
      <c r="AU228" s="1160"/>
      <c r="AV228" s="1160"/>
      <c r="AW228" s="1160"/>
      <c r="AX228" s="1160"/>
      <c r="AY228" s="1160"/>
      <c r="AZ228" s="1160"/>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c r="HB228" s="45"/>
      <c r="HC228" s="45"/>
      <c r="HD228" s="45"/>
      <c r="HE228" s="45"/>
      <c r="HF228" s="45"/>
      <c r="HG228" s="45"/>
      <c r="HH228" s="45"/>
      <c r="HI228" s="45"/>
      <c r="HJ228" s="45"/>
      <c r="HK228" s="45"/>
      <c r="HL228" s="45"/>
      <c r="HM228" s="45"/>
      <c r="HN228" s="45"/>
      <c r="HO228" s="45"/>
      <c r="HP228" s="45"/>
      <c r="HQ228" s="45"/>
      <c r="HR228" s="45"/>
      <c r="HS228" s="45"/>
      <c r="HT228" s="45"/>
      <c r="HU228" s="45"/>
      <c r="HV228" s="45"/>
      <c r="HW228" s="45"/>
      <c r="HX228" s="45"/>
      <c r="HY228" s="45"/>
      <c r="HZ228" s="45"/>
      <c r="IA228" s="45"/>
      <c r="IB228" s="45"/>
      <c r="IC228" s="45"/>
      <c r="ID228" s="45"/>
      <c r="IE228" s="45"/>
      <c r="IF228" s="45"/>
      <c r="IG228" s="45"/>
      <c r="IH228" s="45"/>
      <c r="II228" s="45"/>
      <c r="IJ228" s="45"/>
      <c r="IK228" s="45"/>
      <c r="IL228" s="45"/>
      <c r="IM228" s="45"/>
      <c r="IN228" s="45"/>
      <c r="IO228" s="45"/>
      <c r="IP228" s="45"/>
      <c r="IQ228" s="45"/>
      <c r="IR228" s="45"/>
      <c r="IS228" s="45"/>
      <c r="IT228" s="45"/>
      <c r="IU228" s="45"/>
      <c r="IV228" s="45"/>
      <c r="IW228" s="45"/>
      <c r="IX228" s="45"/>
      <c r="IY228" s="45"/>
      <c r="IZ228" s="45"/>
      <c r="JA228" s="45"/>
      <c r="JB228" s="45"/>
      <c r="JC228" s="45"/>
      <c r="JD228" s="45"/>
      <c r="JE228" s="45"/>
      <c r="JF228" s="45"/>
      <c r="JG228" s="45"/>
      <c r="JH228" s="45"/>
      <c r="JI228" s="45"/>
      <c r="JJ228" s="45"/>
      <c r="JK228" s="45"/>
      <c r="JL228" s="45"/>
      <c r="JM228" s="45"/>
    </row>
    <row r="229" spans="1:273" s="259" customFormat="1" ht="42.75" customHeight="1" x14ac:dyDescent="0.25">
      <c r="A229" s="939"/>
      <c r="B229" s="941"/>
      <c r="C229" s="945"/>
      <c r="D229" s="962"/>
      <c r="E229" s="941"/>
      <c r="F229" s="945"/>
      <c r="G229" s="964"/>
      <c r="H229" s="953"/>
      <c r="I229" s="955"/>
      <c r="J229" s="796" t="s">
        <v>2846</v>
      </c>
      <c r="K229" s="833" t="s">
        <v>108</v>
      </c>
      <c r="L229" s="69">
        <f>51437184+209000000+100000000-23945000+3825434.32</f>
        <v>340317618.31999999</v>
      </c>
      <c r="M229" s="69">
        <v>340317618.31999999</v>
      </c>
      <c r="N229" s="941"/>
      <c r="O229" s="941"/>
      <c r="P229" s="957"/>
      <c r="Q229" s="45"/>
      <c r="R229" s="1173"/>
      <c r="S229" s="637"/>
      <c r="T229" s="138"/>
      <c r="U229" s="138"/>
      <c r="V229" s="138"/>
      <c r="W229" s="1173"/>
      <c r="X229" s="1173"/>
      <c r="Y229" s="134"/>
      <c r="Z229" s="1173"/>
      <c r="AA229" s="1173"/>
      <c r="AB229" s="1173"/>
      <c r="AC229" s="1173"/>
      <c r="AD229" s="1173"/>
      <c r="AE229" s="1173"/>
      <c r="AF229" s="1173"/>
      <c r="AG229" s="1173"/>
      <c r="AH229" s="1173"/>
      <c r="AI229" s="1173"/>
      <c r="AJ229" s="1173"/>
      <c r="AK229" s="1173"/>
      <c r="AL229" s="1173"/>
      <c r="AM229" s="1173"/>
      <c r="AN229" s="1173"/>
      <c r="AO229" s="1173"/>
      <c r="AP229" s="1173"/>
      <c r="AQ229" s="1173"/>
      <c r="AR229" s="1173"/>
      <c r="AS229" s="1173"/>
      <c r="AT229" s="1173"/>
      <c r="AU229" s="1173"/>
      <c r="AV229" s="1173"/>
      <c r="AW229" s="1173"/>
      <c r="AX229" s="1173"/>
      <c r="AY229" s="1173"/>
      <c r="AZ229" s="1173"/>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c r="CG229" s="45"/>
      <c r="CH229" s="45"/>
      <c r="CI229" s="45"/>
      <c r="CJ229" s="45"/>
      <c r="CK229" s="45"/>
      <c r="CL229" s="45"/>
      <c r="CM229" s="45"/>
      <c r="CN229" s="45"/>
      <c r="CO229" s="45"/>
      <c r="CP229" s="45"/>
      <c r="CQ229" s="45"/>
      <c r="CR229" s="45"/>
      <c r="CS229" s="45"/>
      <c r="CT229" s="45"/>
      <c r="CU229" s="45"/>
      <c r="CV229" s="45"/>
      <c r="CW229" s="45"/>
      <c r="CX229" s="45"/>
      <c r="CY229" s="45"/>
      <c r="CZ229" s="45"/>
      <c r="DA229" s="45"/>
      <c r="DB229" s="45"/>
      <c r="DC229" s="45"/>
      <c r="DD229" s="45"/>
      <c r="DE229" s="45"/>
      <c r="DF229" s="45"/>
      <c r="DG229" s="45"/>
      <c r="DH229" s="45"/>
      <c r="DI229" s="45"/>
      <c r="DJ229" s="45"/>
      <c r="DK229" s="45"/>
      <c r="DL229" s="45"/>
      <c r="DM229" s="45"/>
      <c r="DN229" s="45"/>
      <c r="DO229" s="45"/>
      <c r="DP229" s="45"/>
      <c r="DQ229" s="45"/>
      <c r="DR229" s="45"/>
      <c r="DS229" s="45"/>
      <c r="DT229" s="45"/>
      <c r="DU229" s="45"/>
      <c r="DV229" s="45"/>
      <c r="DW229" s="45"/>
      <c r="DX229" s="45"/>
      <c r="DY229" s="45"/>
      <c r="DZ229" s="45"/>
      <c r="EA229" s="45"/>
      <c r="EB229" s="45"/>
      <c r="EC229" s="45"/>
      <c r="ED229" s="45"/>
      <c r="EE229" s="45"/>
      <c r="EF229" s="45"/>
      <c r="EG229" s="45"/>
      <c r="EH229" s="45"/>
      <c r="EI229" s="45"/>
      <c r="EJ229" s="45"/>
      <c r="EK229" s="45"/>
      <c r="EL229" s="45"/>
      <c r="EM229" s="45"/>
      <c r="EN229" s="45"/>
      <c r="EO229" s="45"/>
      <c r="EP229" s="45"/>
      <c r="EQ229" s="45"/>
      <c r="ER229" s="45"/>
      <c r="ES229" s="45"/>
      <c r="ET229" s="45"/>
      <c r="EU229" s="45"/>
      <c r="EV229" s="45"/>
      <c r="EW229" s="45"/>
      <c r="EX229" s="45"/>
      <c r="EY229" s="45"/>
      <c r="EZ229" s="45"/>
      <c r="FA229" s="45"/>
      <c r="FB229" s="45"/>
      <c r="FC229" s="45"/>
      <c r="FD229" s="45"/>
      <c r="FE229" s="45"/>
      <c r="FF229" s="45"/>
      <c r="FG229" s="45"/>
      <c r="FH229" s="45"/>
      <c r="FI229" s="45"/>
      <c r="FJ229" s="45"/>
      <c r="FK229" s="45"/>
      <c r="FL229" s="45"/>
      <c r="FM229" s="45"/>
      <c r="FN229" s="45"/>
      <c r="FO229" s="45"/>
      <c r="FP229" s="45"/>
      <c r="FQ229" s="45"/>
      <c r="FR229" s="45"/>
      <c r="FS229" s="45"/>
      <c r="FT229" s="45"/>
      <c r="FU229" s="45"/>
      <c r="FV229" s="45"/>
      <c r="FW229" s="45"/>
      <c r="FX229" s="45"/>
      <c r="FY229" s="45"/>
      <c r="FZ229" s="45"/>
      <c r="GA229" s="45"/>
      <c r="GB229" s="45"/>
      <c r="GC229" s="45"/>
      <c r="GD229" s="45"/>
      <c r="GE229" s="45"/>
      <c r="GF229" s="45"/>
      <c r="GG229" s="45"/>
      <c r="GH229" s="45"/>
      <c r="GI229" s="45"/>
      <c r="GJ229" s="45"/>
      <c r="GK229" s="45"/>
      <c r="GL229" s="45"/>
      <c r="GM229" s="45"/>
      <c r="GN229" s="45"/>
      <c r="GO229" s="45"/>
      <c r="GP229" s="45"/>
      <c r="GQ229" s="45"/>
      <c r="GR229" s="45"/>
      <c r="GS229" s="45"/>
      <c r="GT229" s="45"/>
      <c r="GU229" s="45"/>
      <c r="GV229" s="45"/>
      <c r="GW229" s="45"/>
      <c r="GX229" s="45"/>
      <c r="GY229" s="45"/>
      <c r="GZ229" s="45"/>
      <c r="HA229" s="45"/>
      <c r="HB229" s="45"/>
      <c r="HC229" s="45"/>
      <c r="HD229" s="45"/>
      <c r="HE229" s="45"/>
      <c r="HF229" s="45"/>
      <c r="HG229" s="45"/>
      <c r="HH229" s="45"/>
      <c r="HI229" s="45"/>
      <c r="HJ229" s="45"/>
      <c r="HK229" s="45"/>
      <c r="HL229" s="45"/>
      <c r="HM229" s="45"/>
      <c r="HN229" s="45"/>
      <c r="HO229" s="45"/>
      <c r="HP229" s="45"/>
      <c r="HQ229" s="45"/>
      <c r="HR229" s="45"/>
      <c r="HS229" s="45"/>
      <c r="HT229" s="45"/>
      <c r="HU229" s="45"/>
      <c r="HV229" s="45"/>
      <c r="HW229" s="45"/>
      <c r="HX229" s="45"/>
      <c r="HY229" s="45"/>
      <c r="HZ229" s="45"/>
      <c r="IA229" s="45"/>
      <c r="IB229" s="45"/>
      <c r="IC229" s="45"/>
      <c r="ID229" s="45"/>
      <c r="IE229" s="45"/>
      <c r="IF229" s="45"/>
      <c r="IG229" s="45"/>
      <c r="IH229" s="45"/>
      <c r="II229" s="45"/>
      <c r="IJ229" s="45"/>
      <c r="IK229" s="45"/>
      <c r="IL229" s="45"/>
      <c r="IM229" s="45"/>
      <c r="IN229" s="45"/>
      <c r="IO229" s="45"/>
      <c r="IP229" s="45"/>
      <c r="IQ229" s="45"/>
      <c r="IR229" s="45"/>
      <c r="IS229" s="45"/>
      <c r="IT229" s="45"/>
      <c r="IU229" s="45"/>
      <c r="IV229" s="45"/>
      <c r="IW229" s="45"/>
      <c r="IX229" s="45"/>
      <c r="IY229" s="45"/>
      <c r="IZ229" s="45"/>
      <c r="JA229" s="45"/>
      <c r="JB229" s="45"/>
      <c r="JC229" s="45"/>
      <c r="JD229" s="45"/>
      <c r="JE229" s="45"/>
      <c r="JF229" s="45"/>
      <c r="JG229" s="45"/>
      <c r="JH229" s="45"/>
      <c r="JI229" s="45"/>
      <c r="JJ229" s="45"/>
      <c r="JK229" s="45"/>
      <c r="JL229" s="45"/>
      <c r="JM229" s="45"/>
    </row>
    <row r="230" spans="1:273" s="259" customFormat="1" ht="59.25" customHeight="1" x14ac:dyDescent="0.4">
      <c r="A230" s="832">
        <v>207</v>
      </c>
      <c r="B230" s="836" t="s">
        <v>998</v>
      </c>
      <c r="C230" s="833">
        <v>43211507</v>
      </c>
      <c r="D230" s="175" t="s">
        <v>981</v>
      </c>
      <c r="E230" s="836" t="s">
        <v>125</v>
      </c>
      <c r="F230" s="833">
        <v>1</v>
      </c>
      <c r="G230" s="834" t="s">
        <v>969</v>
      </c>
      <c r="H230" s="485">
        <v>2</v>
      </c>
      <c r="I230" s="73" t="s">
        <v>140</v>
      </c>
      <c r="J230" s="836" t="s">
        <v>2846</v>
      </c>
      <c r="K230" s="833" t="s">
        <v>108</v>
      </c>
      <c r="L230" s="69">
        <v>78000000</v>
      </c>
      <c r="M230" s="69">
        <v>78000000</v>
      </c>
      <c r="N230" s="836" t="s">
        <v>81</v>
      </c>
      <c r="O230" s="836" t="s">
        <v>56</v>
      </c>
      <c r="P230" s="58" t="s">
        <v>61</v>
      </c>
      <c r="Q230" s="45"/>
      <c r="R230" s="1233"/>
      <c r="S230" s="637"/>
      <c r="T230" s="138"/>
      <c r="U230" s="138"/>
      <c r="V230" s="138"/>
      <c r="W230" s="138"/>
      <c r="X230" s="138"/>
      <c r="Y230" s="134">
        <f t="shared" si="4"/>
        <v>0</v>
      </c>
      <c r="Z230" s="138"/>
      <c r="AA230" s="138"/>
      <c r="AB230" s="138"/>
      <c r="AC230" s="138"/>
      <c r="AD230" s="138"/>
      <c r="AE230" s="138"/>
      <c r="AF230" s="138"/>
      <c r="AG230" s="138"/>
      <c r="AH230" s="138"/>
      <c r="AI230" s="138"/>
      <c r="AJ230" s="138"/>
      <c r="AK230" s="635"/>
      <c r="AL230" s="592"/>
      <c r="AM230" s="138"/>
      <c r="AN230" s="138"/>
      <c r="AO230" s="138"/>
      <c r="AP230" s="138"/>
      <c r="AQ230" s="138"/>
      <c r="AR230" s="138"/>
      <c r="AS230" s="138"/>
      <c r="AT230" s="138"/>
      <c r="AU230" s="138"/>
      <c r="AV230" s="138"/>
      <c r="AW230" s="138"/>
      <c r="AX230" s="138"/>
      <c r="AY230" s="138"/>
      <c r="AZ230" s="138"/>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c r="EN230" s="45"/>
      <c r="EO230" s="45"/>
      <c r="EP230" s="45"/>
      <c r="EQ230" s="45"/>
      <c r="ER230" s="45"/>
      <c r="ES230" s="45"/>
      <c r="ET230" s="45"/>
      <c r="EU230" s="45"/>
      <c r="EV230" s="45"/>
      <c r="EW230" s="45"/>
      <c r="EX230" s="45"/>
      <c r="EY230" s="45"/>
      <c r="EZ230" s="45"/>
      <c r="FA230" s="45"/>
      <c r="FB230" s="45"/>
      <c r="FC230" s="45"/>
      <c r="FD230" s="45"/>
      <c r="FE230" s="45"/>
      <c r="FF230" s="45"/>
      <c r="FG230" s="45"/>
      <c r="FH230" s="45"/>
      <c r="FI230" s="45"/>
      <c r="FJ230" s="45"/>
      <c r="FK230" s="45"/>
      <c r="FL230" s="45"/>
      <c r="FM230" s="45"/>
      <c r="FN230" s="45"/>
      <c r="FO230" s="45"/>
      <c r="FP230" s="45"/>
      <c r="FQ230" s="45"/>
      <c r="FR230" s="45"/>
      <c r="FS230" s="45"/>
      <c r="FT230" s="45"/>
      <c r="FU230" s="45"/>
      <c r="FV230" s="45"/>
      <c r="FW230" s="45"/>
      <c r="FX230" s="45"/>
      <c r="FY230" s="45"/>
      <c r="FZ230" s="45"/>
      <c r="GA230" s="45"/>
      <c r="GB230" s="45"/>
      <c r="GC230" s="45"/>
      <c r="GD230" s="45"/>
      <c r="GE230" s="45"/>
      <c r="GF230" s="45"/>
      <c r="GG230" s="45"/>
      <c r="GH230" s="45"/>
      <c r="GI230" s="45"/>
      <c r="GJ230" s="45"/>
      <c r="GK230" s="45"/>
      <c r="GL230" s="45"/>
      <c r="GM230" s="45"/>
      <c r="GN230" s="45"/>
      <c r="GO230" s="45"/>
      <c r="GP230" s="45"/>
      <c r="GQ230" s="45"/>
      <c r="GR230" s="45"/>
      <c r="GS230" s="45"/>
      <c r="GT230" s="45"/>
      <c r="GU230" s="45"/>
      <c r="GV230" s="45"/>
      <c r="GW230" s="45"/>
      <c r="GX230" s="45"/>
      <c r="GY230" s="45"/>
      <c r="GZ230" s="45"/>
      <c r="HA230" s="45"/>
      <c r="HB230" s="45"/>
      <c r="HC230" s="45"/>
      <c r="HD230" s="45"/>
      <c r="HE230" s="45"/>
      <c r="HF230" s="45"/>
      <c r="HG230" s="45"/>
      <c r="HH230" s="45"/>
      <c r="HI230" s="45"/>
      <c r="HJ230" s="45"/>
      <c r="HK230" s="45"/>
      <c r="HL230" s="45"/>
      <c r="HM230" s="45"/>
      <c r="HN230" s="45"/>
      <c r="HO230" s="45"/>
      <c r="HP230" s="45"/>
      <c r="HQ230" s="45"/>
      <c r="HR230" s="45"/>
      <c r="HS230" s="45"/>
      <c r="HT230" s="45"/>
      <c r="HU230" s="45"/>
      <c r="HV230" s="45"/>
      <c r="HW230" s="45"/>
      <c r="HX230" s="45"/>
      <c r="HY230" s="45"/>
      <c r="HZ230" s="45"/>
      <c r="IA230" s="45"/>
      <c r="IB230" s="45"/>
      <c r="IC230" s="45"/>
      <c r="ID230" s="45"/>
      <c r="IE230" s="45"/>
      <c r="IF230" s="45"/>
      <c r="IG230" s="45"/>
      <c r="IH230" s="45"/>
      <c r="II230" s="45"/>
      <c r="IJ230" s="45"/>
      <c r="IK230" s="45"/>
      <c r="IL230" s="45"/>
      <c r="IM230" s="45"/>
      <c r="IN230" s="45"/>
      <c r="IO230" s="45"/>
      <c r="IP230" s="45"/>
      <c r="IQ230" s="45"/>
      <c r="IR230" s="45"/>
      <c r="IS230" s="45"/>
      <c r="IT230" s="45"/>
      <c r="IU230" s="45"/>
      <c r="IV230" s="45"/>
      <c r="IW230" s="45"/>
      <c r="IX230" s="45"/>
      <c r="IY230" s="45"/>
      <c r="IZ230" s="45"/>
      <c r="JA230" s="45"/>
      <c r="JB230" s="45"/>
      <c r="JC230" s="45"/>
      <c r="JD230" s="45"/>
      <c r="JE230" s="45"/>
      <c r="JF230" s="45"/>
      <c r="JG230" s="45"/>
      <c r="JH230" s="45"/>
      <c r="JI230" s="45"/>
      <c r="JJ230" s="45"/>
      <c r="JK230" s="45"/>
      <c r="JL230" s="45"/>
      <c r="JM230" s="45"/>
    </row>
    <row r="231" spans="1:273" s="259" customFormat="1" ht="84.75" customHeight="1" x14ac:dyDescent="0.25">
      <c r="A231" s="832">
        <v>208</v>
      </c>
      <c r="B231" s="836" t="s">
        <v>998</v>
      </c>
      <c r="C231" s="833">
        <v>43211507</v>
      </c>
      <c r="D231" s="175" t="s">
        <v>1406</v>
      </c>
      <c r="E231" s="836" t="s">
        <v>125</v>
      </c>
      <c r="F231" s="833">
        <v>1</v>
      </c>
      <c r="G231" s="834" t="s">
        <v>164</v>
      </c>
      <c r="H231" s="485">
        <v>2</v>
      </c>
      <c r="I231" s="73" t="s">
        <v>89</v>
      </c>
      <c r="J231" s="836" t="s">
        <v>2846</v>
      </c>
      <c r="K231" s="833" t="s">
        <v>108</v>
      </c>
      <c r="L231" s="69">
        <v>6432248</v>
      </c>
      <c r="M231" s="69">
        <v>6432248</v>
      </c>
      <c r="N231" s="836" t="s">
        <v>81</v>
      </c>
      <c r="O231" s="836" t="s">
        <v>56</v>
      </c>
      <c r="P231" s="58" t="s">
        <v>61</v>
      </c>
      <c r="Q231" s="45"/>
      <c r="R231" s="172" t="s">
        <v>1505</v>
      </c>
      <c r="S231" s="172" t="s">
        <v>1506</v>
      </c>
      <c r="T231" s="28">
        <v>42489</v>
      </c>
      <c r="U231" s="164" t="s">
        <v>1507</v>
      </c>
      <c r="V231" s="411" t="s">
        <v>579</v>
      </c>
      <c r="W231" s="1050">
        <v>3036148</v>
      </c>
      <c r="X231" s="138"/>
      <c r="Y231" s="134">
        <f t="shared" si="4"/>
        <v>3036148</v>
      </c>
      <c r="Z231" s="411" t="s">
        <v>1508</v>
      </c>
      <c r="AA231" s="411" t="s">
        <v>1509</v>
      </c>
      <c r="AB231" s="411" t="s">
        <v>350</v>
      </c>
      <c r="AC231" s="181" t="s">
        <v>1458</v>
      </c>
      <c r="AD231" s="411" t="s">
        <v>56</v>
      </c>
      <c r="AE231" s="411" t="s">
        <v>56</v>
      </c>
      <c r="AF231" s="411" t="s">
        <v>56</v>
      </c>
      <c r="AG231" s="168" t="s">
        <v>1510</v>
      </c>
      <c r="AH231" s="169">
        <v>42489</v>
      </c>
      <c r="AI231" s="169">
        <v>42518</v>
      </c>
      <c r="AJ231" s="411" t="s">
        <v>1511</v>
      </c>
      <c r="AK231" s="134" t="s">
        <v>1512</v>
      </c>
      <c r="AL231" s="411"/>
      <c r="AM231" s="134"/>
      <c r="AN231" s="138"/>
      <c r="AO231" s="138"/>
      <c r="AP231" s="138"/>
      <c r="AQ231" s="138"/>
      <c r="AR231" s="138"/>
      <c r="AS231" s="138"/>
      <c r="AT231" s="138"/>
      <c r="AU231" s="138"/>
      <c r="AV231" s="138"/>
      <c r="AW231" s="138"/>
      <c r="AX231" s="138"/>
      <c r="AY231" s="138"/>
      <c r="AZ231" s="138"/>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B231" s="45"/>
      <c r="CC231" s="45"/>
      <c r="CD231" s="45"/>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45"/>
      <c r="DI231" s="45"/>
      <c r="DJ231" s="45"/>
      <c r="DK231" s="45"/>
      <c r="DL231" s="45"/>
      <c r="DM231" s="45"/>
      <c r="DN231" s="45"/>
      <c r="DO231" s="45"/>
      <c r="DP231" s="45"/>
      <c r="DQ231" s="45"/>
      <c r="DR231" s="45"/>
      <c r="DS231" s="45"/>
      <c r="DT231" s="45"/>
      <c r="DU231" s="45"/>
      <c r="DV231" s="45"/>
      <c r="DW231" s="45"/>
      <c r="DX231" s="45"/>
      <c r="DY231" s="45"/>
      <c r="DZ231" s="45"/>
      <c r="EA231" s="45"/>
      <c r="EB231" s="45"/>
      <c r="EC231" s="45"/>
      <c r="ED231" s="45"/>
      <c r="EE231" s="45"/>
      <c r="EF231" s="45"/>
      <c r="EG231" s="45"/>
      <c r="EH231" s="45"/>
      <c r="EI231" s="45"/>
      <c r="EJ231" s="45"/>
      <c r="EK231" s="45"/>
      <c r="EL231" s="45"/>
      <c r="EM231" s="45"/>
      <c r="EN231" s="45"/>
      <c r="EO231" s="45"/>
      <c r="EP231" s="45"/>
      <c r="EQ231" s="45"/>
      <c r="ER231" s="45"/>
      <c r="ES231" s="45"/>
      <c r="ET231" s="45"/>
      <c r="EU231" s="45"/>
      <c r="EV231" s="45"/>
      <c r="EW231" s="45"/>
      <c r="EX231" s="45"/>
      <c r="EY231" s="45"/>
      <c r="EZ231" s="45"/>
      <c r="FA231" s="45"/>
      <c r="FB231" s="45"/>
      <c r="FC231" s="45"/>
      <c r="FD231" s="45"/>
      <c r="FE231" s="45"/>
      <c r="FF231" s="45"/>
      <c r="FG231" s="45"/>
      <c r="FH231" s="45"/>
      <c r="FI231" s="45"/>
      <c r="FJ231" s="45"/>
      <c r="FK231" s="45"/>
      <c r="FL231" s="45"/>
      <c r="FM231" s="45"/>
      <c r="FN231" s="45"/>
      <c r="FO231" s="45"/>
      <c r="FP231" s="45"/>
      <c r="FQ231" s="45"/>
      <c r="FR231" s="45"/>
      <c r="FS231" s="45"/>
      <c r="FT231" s="45"/>
      <c r="FU231" s="45"/>
      <c r="FV231" s="45"/>
      <c r="FW231" s="45"/>
      <c r="FX231" s="45"/>
      <c r="FY231" s="45"/>
      <c r="FZ231" s="45"/>
      <c r="GA231" s="45"/>
      <c r="GB231" s="45"/>
      <c r="GC231" s="45"/>
      <c r="GD231" s="45"/>
      <c r="GE231" s="45"/>
      <c r="GF231" s="45"/>
      <c r="GG231" s="45"/>
      <c r="GH231" s="45"/>
      <c r="GI231" s="45"/>
      <c r="GJ231" s="45"/>
      <c r="GK231" s="45"/>
      <c r="GL231" s="45"/>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c r="IK231" s="45"/>
      <c r="IL231" s="45"/>
      <c r="IM231" s="45"/>
      <c r="IN231" s="45"/>
      <c r="IO231" s="45"/>
      <c r="IP231" s="45"/>
      <c r="IQ231" s="45"/>
      <c r="IR231" s="45"/>
      <c r="IS231" s="45"/>
      <c r="IT231" s="45"/>
      <c r="IU231" s="45"/>
      <c r="IV231" s="45"/>
      <c r="IW231" s="45"/>
      <c r="IX231" s="45"/>
      <c r="IY231" s="45"/>
      <c r="IZ231" s="45"/>
      <c r="JA231" s="45"/>
      <c r="JB231" s="45"/>
      <c r="JC231" s="45"/>
      <c r="JD231" s="45"/>
      <c r="JE231" s="45"/>
      <c r="JF231" s="45"/>
      <c r="JG231" s="45"/>
      <c r="JH231" s="45"/>
      <c r="JI231" s="45"/>
      <c r="JJ231" s="45"/>
      <c r="JK231" s="45"/>
      <c r="JL231" s="45"/>
      <c r="JM231" s="45"/>
    </row>
    <row r="232" spans="1:273" s="259" customFormat="1" ht="96.75" customHeight="1" x14ac:dyDescent="0.25">
      <c r="A232" s="832">
        <v>210</v>
      </c>
      <c r="B232" s="833" t="s">
        <v>408</v>
      </c>
      <c r="C232" s="833">
        <v>80101706</v>
      </c>
      <c r="D232" s="173" t="s">
        <v>1005</v>
      </c>
      <c r="E232" s="833" t="s">
        <v>125</v>
      </c>
      <c r="F232" s="833">
        <v>1</v>
      </c>
      <c r="G232" s="834" t="s">
        <v>161</v>
      </c>
      <c r="H232" s="485">
        <v>9</v>
      </c>
      <c r="I232" s="836" t="s">
        <v>96</v>
      </c>
      <c r="J232" s="42" t="s">
        <v>847</v>
      </c>
      <c r="K232" s="833" t="s">
        <v>108</v>
      </c>
      <c r="L232" s="56">
        <v>47250000</v>
      </c>
      <c r="M232" s="69">
        <v>47250000</v>
      </c>
      <c r="N232" s="833" t="s">
        <v>81</v>
      </c>
      <c r="O232" s="833" t="s">
        <v>56</v>
      </c>
      <c r="P232" s="24" t="s">
        <v>126</v>
      </c>
      <c r="Q232" s="45"/>
      <c r="R232" s="172" t="s">
        <v>1209</v>
      </c>
      <c r="S232" s="172" t="s">
        <v>403</v>
      </c>
      <c r="T232" s="28">
        <v>42465</v>
      </c>
      <c r="U232" s="1012" t="s">
        <v>1210</v>
      </c>
      <c r="V232" s="181" t="s">
        <v>212</v>
      </c>
      <c r="W232" s="1050">
        <v>47250000</v>
      </c>
      <c r="X232" s="1148">
        <f>(-5250000)</f>
        <v>-5250000</v>
      </c>
      <c r="Y232" s="134">
        <f>SUM(W232+X232)</f>
        <v>42000000</v>
      </c>
      <c r="Z232" s="411" t="s">
        <v>1211</v>
      </c>
      <c r="AA232" s="181" t="s">
        <v>1212</v>
      </c>
      <c r="AB232" s="181" t="s">
        <v>225</v>
      </c>
      <c r="AC232" s="181"/>
      <c r="AD232" s="181" t="s">
        <v>56</v>
      </c>
      <c r="AE232" s="181" t="s">
        <v>56</v>
      </c>
      <c r="AF232" s="181" t="s">
        <v>56</v>
      </c>
      <c r="AG232" s="1013" t="s">
        <v>1213</v>
      </c>
      <c r="AH232" s="1014">
        <v>42465</v>
      </c>
      <c r="AI232" s="1014">
        <v>42708</v>
      </c>
      <c r="AJ232" s="181" t="s">
        <v>407</v>
      </c>
      <c r="AK232" s="1189" t="s">
        <v>408</v>
      </c>
      <c r="AL232" s="1152" t="s">
        <v>56</v>
      </c>
      <c r="AM232" s="1152" t="s">
        <v>56</v>
      </c>
      <c r="AN232" s="1152" t="s">
        <v>56</v>
      </c>
      <c r="AO232" s="1152" t="s">
        <v>56</v>
      </c>
      <c r="AP232" s="1152" t="s">
        <v>56</v>
      </c>
      <c r="AQ232" s="1153">
        <v>5250000</v>
      </c>
      <c r="AR232" s="1153">
        <v>5250000</v>
      </c>
      <c r="AS232" s="138"/>
      <c r="AT232" s="1153">
        <v>2975000</v>
      </c>
      <c r="AU232" s="1153">
        <v>1575000</v>
      </c>
      <c r="AV232" s="138"/>
      <c r="AW232" s="138"/>
      <c r="AX232" s="138"/>
      <c r="AY232" s="138"/>
      <c r="AZ232" s="138"/>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c r="BZ232" s="45"/>
      <c r="CA232" s="45"/>
      <c r="CB232" s="45"/>
      <c r="CC232" s="45"/>
      <c r="CD232" s="45"/>
      <c r="CE232" s="45"/>
      <c r="CF232" s="45"/>
      <c r="CG232" s="45"/>
      <c r="CH232" s="45"/>
      <c r="CI232" s="45"/>
      <c r="CJ232" s="45"/>
      <c r="CK232" s="45"/>
      <c r="CL232" s="45"/>
      <c r="CM232" s="45"/>
      <c r="CN232" s="45"/>
      <c r="CO232" s="45"/>
      <c r="CP232" s="45"/>
      <c r="CQ232" s="45"/>
      <c r="CR232" s="45"/>
      <c r="CS232" s="45"/>
      <c r="CT232" s="45"/>
      <c r="CU232" s="45"/>
      <c r="CV232" s="45"/>
      <c r="CW232" s="45"/>
      <c r="CX232" s="45"/>
      <c r="CY232" s="45"/>
      <c r="CZ232" s="45"/>
      <c r="DA232" s="45"/>
      <c r="DB232" s="45"/>
      <c r="DC232" s="45"/>
      <c r="DD232" s="45"/>
      <c r="DE232" s="45"/>
      <c r="DF232" s="45"/>
      <c r="DG232" s="45"/>
      <c r="DH232" s="45"/>
      <c r="DI232" s="45"/>
      <c r="DJ232" s="45"/>
      <c r="DK232" s="45"/>
      <c r="DL232" s="45"/>
      <c r="DM232" s="45"/>
      <c r="DN232" s="45"/>
      <c r="DO232" s="45"/>
      <c r="DP232" s="45"/>
      <c r="DQ232" s="45"/>
      <c r="DR232" s="45"/>
      <c r="DS232" s="45"/>
      <c r="DT232" s="45"/>
      <c r="DU232" s="45"/>
      <c r="DV232" s="45"/>
      <c r="DW232" s="45"/>
      <c r="DX232" s="45"/>
      <c r="DY232" s="45"/>
      <c r="DZ232" s="45"/>
      <c r="EA232" s="45"/>
      <c r="EB232" s="45"/>
      <c r="EC232" s="45"/>
      <c r="ED232" s="45"/>
      <c r="EE232" s="45"/>
      <c r="EF232" s="45"/>
      <c r="EG232" s="45"/>
      <c r="EH232" s="45"/>
      <c r="EI232" s="45"/>
      <c r="EJ232" s="45"/>
      <c r="EK232" s="45"/>
      <c r="EL232" s="45"/>
      <c r="EM232" s="45"/>
      <c r="EN232" s="45"/>
      <c r="EO232" s="45"/>
      <c r="EP232" s="45"/>
      <c r="EQ232" s="45"/>
      <c r="ER232" s="45"/>
      <c r="ES232" s="45"/>
      <c r="ET232" s="45"/>
      <c r="EU232" s="45"/>
      <c r="EV232" s="45"/>
      <c r="EW232" s="45"/>
      <c r="EX232" s="45"/>
      <c r="EY232" s="45"/>
      <c r="EZ232" s="45"/>
      <c r="FA232" s="45"/>
      <c r="FB232" s="45"/>
      <c r="FC232" s="45"/>
      <c r="FD232" s="45"/>
      <c r="FE232" s="45"/>
      <c r="FF232" s="45"/>
      <c r="FG232" s="45"/>
      <c r="FH232" s="45"/>
      <c r="FI232" s="45"/>
      <c r="FJ232" s="45"/>
      <c r="FK232" s="45"/>
      <c r="FL232" s="45"/>
      <c r="FM232" s="45"/>
      <c r="FN232" s="45"/>
      <c r="FO232" s="45"/>
      <c r="FP232" s="45"/>
      <c r="FQ232" s="45"/>
      <c r="FR232" s="45"/>
      <c r="FS232" s="45"/>
      <c r="FT232" s="45"/>
      <c r="FU232" s="45"/>
      <c r="FV232" s="45"/>
      <c r="FW232" s="45"/>
      <c r="FX232" s="45"/>
      <c r="FY232" s="45"/>
      <c r="FZ232" s="45"/>
      <c r="GA232" s="45"/>
      <c r="GB232" s="45"/>
      <c r="GC232" s="45"/>
      <c r="GD232" s="45"/>
      <c r="GE232" s="45"/>
      <c r="GF232" s="45"/>
      <c r="GG232" s="45"/>
      <c r="GH232" s="45"/>
      <c r="GI232" s="45"/>
      <c r="GJ232" s="45"/>
      <c r="GK232" s="45"/>
      <c r="GL232" s="45"/>
      <c r="GM232" s="45"/>
      <c r="GN232" s="45"/>
      <c r="GO232" s="45"/>
      <c r="GP232" s="45"/>
      <c r="GQ232" s="45"/>
      <c r="GR232" s="45"/>
      <c r="GS232" s="45"/>
      <c r="GT232" s="45"/>
      <c r="GU232" s="45"/>
      <c r="GV232" s="45"/>
      <c r="GW232" s="45"/>
      <c r="GX232" s="45"/>
      <c r="GY232" s="45"/>
      <c r="GZ232" s="45"/>
      <c r="HA232" s="45"/>
      <c r="HB232" s="45"/>
      <c r="HC232" s="45"/>
      <c r="HD232" s="45"/>
      <c r="HE232" s="45"/>
      <c r="HF232" s="45"/>
      <c r="HG232" s="45"/>
      <c r="HH232" s="45"/>
      <c r="HI232" s="45"/>
      <c r="HJ232" s="45"/>
      <c r="HK232" s="45"/>
      <c r="HL232" s="45"/>
      <c r="HM232" s="45"/>
      <c r="HN232" s="45"/>
      <c r="HO232" s="45"/>
      <c r="HP232" s="45"/>
      <c r="HQ232" s="45"/>
      <c r="HR232" s="45"/>
      <c r="HS232" s="45"/>
      <c r="HT232" s="45"/>
      <c r="HU232" s="45"/>
      <c r="HV232" s="45"/>
      <c r="HW232" s="45"/>
      <c r="HX232" s="45"/>
      <c r="HY232" s="45"/>
      <c r="HZ232" s="45"/>
      <c r="IA232" s="45"/>
      <c r="IB232" s="45"/>
      <c r="IC232" s="45"/>
      <c r="ID232" s="45"/>
      <c r="IE232" s="45"/>
      <c r="IF232" s="45"/>
      <c r="IG232" s="45"/>
      <c r="IH232" s="45"/>
      <c r="II232" s="45"/>
      <c r="IJ232" s="45"/>
      <c r="IK232" s="45"/>
      <c r="IL232" s="45"/>
      <c r="IM232" s="45"/>
      <c r="IN232" s="45"/>
      <c r="IO232" s="45"/>
      <c r="IP232" s="45"/>
      <c r="IQ232" s="45"/>
      <c r="IR232" s="45"/>
      <c r="IS232" s="45"/>
      <c r="IT232" s="45"/>
      <c r="IU232" s="45"/>
      <c r="IV232" s="45"/>
      <c r="IW232" s="45"/>
      <c r="IX232" s="45"/>
      <c r="IY232" s="45"/>
      <c r="IZ232" s="45"/>
      <c r="JA232" s="45"/>
      <c r="JB232" s="45"/>
      <c r="JC232" s="45"/>
      <c r="JD232" s="45"/>
      <c r="JE232" s="45"/>
      <c r="JF232" s="45"/>
      <c r="JG232" s="45"/>
      <c r="JH232" s="45"/>
      <c r="JI232" s="45"/>
      <c r="JJ232" s="45"/>
      <c r="JK232" s="45"/>
      <c r="JL232" s="45"/>
      <c r="JM232" s="45"/>
    </row>
    <row r="233" spans="1:273" s="259" customFormat="1" ht="65.25" customHeight="1" x14ac:dyDescent="0.25">
      <c r="A233" s="832">
        <v>211</v>
      </c>
      <c r="B233" s="833" t="s">
        <v>991</v>
      </c>
      <c r="C233" s="833" t="s">
        <v>1090</v>
      </c>
      <c r="D233" s="163" t="s">
        <v>1214</v>
      </c>
      <c r="E233" s="833" t="s">
        <v>95</v>
      </c>
      <c r="F233" s="833">
        <v>1</v>
      </c>
      <c r="G233" s="834" t="s">
        <v>165</v>
      </c>
      <c r="H233" s="485" t="s">
        <v>583</v>
      </c>
      <c r="I233" s="833" t="s">
        <v>89</v>
      </c>
      <c r="J233" s="833" t="s">
        <v>74</v>
      </c>
      <c r="K233" s="833" t="s">
        <v>55</v>
      </c>
      <c r="L233" s="68">
        <v>1250000</v>
      </c>
      <c r="M233" s="69">
        <v>1250000</v>
      </c>
      <c r="N233" s="833" t="s">
        <v>81</v>
      </c>
      <c r="O233" s="833" t="s">
        <v>56</v>
      </c>
      <c r="P233" s="25" t="s">
        <v>82</v>
      </c>
      <c r="Q233" s="45"/>
      <c r="R233" s="172" t="s">
        <v>2918</v>
      </c>
      <c r="S233" s="1004" t="s">
        <v>2917</v>
      </c>
      <c r="T233" s="28">
        <v>42566</v>
      </c>
      <c r="U233" s="29" t="s">
        <v>2916</v>
      </c>
      <c r="V233" s="181" t="s">
        <v>594</v>
      </c>
      <c r="W233" s="1005">
        <v>1088924</v>
      </c>
      <c r="X233" s="138"/>
      <c r="Y233" s="134">
        <f t="shared" si="4"/>
        <v>1088924</v>
      </c>
      <c r="Z233" s="831" t="s">
        <v>2915</v>
      </c>
      <c r="AA233" s="411" t="s">
        <v>2914</v>
      </c>
      <c r="AB233" s="411" t="s">
        <v>35</v>
      </c>
      <c r="AC233" s="181" t="s">
        <v>2913</v>
      </c>
      <c r="AD233" s="411" t="s">
        <v>56</v>
      </c>
      <c r="AE233" s="411" t="s">
        <v>56</v>
      </c>
      <c r="AF233" s="411" t="s">
        <v>56</v>
      </c>
      <c r="AG233" s="831" t="s">
        <v>2912</v>
      </c>
      <c r="AH233" s="169">
        <v>42566</v>
      </c>
      <c r="AI233" s="169">
        <v>42580</v>
      </c>
      <c r="AJ233" s="411" t="s">
        <v>207</v>
      </c>
      <c r="AK233" s="134" t="s">
        <v>2639</v>
      </c>
      <c r="AL233" s="592"/>
      <c r="AM233" s="138"/>
      <c r="AN233" s="138"/>
      <c r="AO233" s="138"/>
      <c r="AP233" s="138"/>
      <c r="AQ233" s="138"/>
      <c r="AR233" s="138"/>
      <c r="AS233" s="138"/>
      <c r="AT233" s="138"/>
      <c r="AU233" s="138"/>
      <c r="AV233" s="138"/>
      <c r="AW233" s="138"/>
      <c r="AX233" s="138"/>
      <c r="AY233" s="138"/>
      <c r="AZ233" s="138"/>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c r="BZ233" s="45"/>
      <c r="CA233" s="45"/>
      <c r="CB233" s="45"/>
      <c r="CC233" s="45"/>
      <c r="CD233" s="45"/>
      <c r="CE233" s="45"/>
      <c r="CF233" s="45"/>
      <c r="CG233" s="45"/>
      <c r="CH233" s="45"/>
      <c r="CI233" s="45"/>
      <c r="CJ233" s="45"/>
      <c r="CK233" s="45"/>
      <c r="CL233" s="45"/>
      <c r="CM233" s="45"/>
      <c r="CN233" s="45"/>
      <c r="CO233" s="45"/>
      <c r="CP233" s="45"/>
      <c r="CQ233" s="45"/>
      <c r="CR233" s="45"/>
      <c r="CS233" s="45"/>
      <c r="CT233" s="45"/>
      <c r="CU233" s="45"/>
      <c r="CV233" s="45"/>
      <c r="CW233" s="45"/>
      <c r="CX233" s="45"/>
      <c r="CY233" s="45"/>
      <c r="CZ233" s="45"/>
      <c r="DA233" s="45"/>
      <c r="DB233" s="45"/>
      <c r="DC233" s="45"/>
      <c r="DD233" s="45"/>
      <c r="DE233" s="45"/>
      <c r="DF233" s="45"/>
      <c r="DG233" s="45"/>
      <c r="DH233" s="45"/>
      <c r="DI233" s="45"/>
      <c r="DJ233" s="45"/>
      <c r="DK233" s="45"/>
      <c r="DL233" s="45"/>
      <c r="DM233" s="45"/>
      <c r="DN233" s="45"/>
      <c r="DO233" s="45"/>
      <c r="DP233" s="45"/>
      <c r="DQ233" s="45"/>
      <c r="DR233" s="45"/>
      <c r="DS233" s="45"/>
      <c r="DT233" s="45"/>
      <c r="DU233" s="45"/>
      <c r="DV233" s="45"/>
      <c r="DW233" s="45"/>
      <c r="DX233" s="45"/>
      <c r="DY233" s="45"/>
      <c r="DZ233" s="45"/>
      <c r="EA233" s="45"/>
      <c r="EB233" s="45"/>
      <c r="EC233" s="45"/>
      <c r="ED233" s="45"/>
      <c r="EE233" s="45"/>
      <c r="EF233" s="45"/>
      <c r="EG233" s="45"/>
      <c r="EH233" s="45"/>
      <c r="EI233" s="45"/>
      <c r="EJ233" s="45"/>
      <c r="EK233" s="45"/>
      <c r="EL233" s="45"/>
      <c r="EM233" s="45"/>
      <c r="EN233" s="45"/>
      <c r="EO233" s="45"/>
      <c r="EP233" s="45"/>
      <c r="EQ233" s="45"/>
      <c r="ER233" s="45"/>
      <c r="ES233" s="45"/>
      <c r="ET233" s="45"/>
      <c r="EU233" s="45"/>
      <c r="EV233" s="45"/>
      <c r="EW233" s="45"/>
      <c r="EX233" s="45"/>
      <c r="EY233" s="45"/>
      <c r="EZ233" s="45"/>
      <c r="FA233" s="45"/>
      <c r="FB233" s="45"/>
      <c r="FC233" s="45"/>
      <c r="FD233" s="45"/>
      <c r="FE233" s="45"/>
      <c r="FF233" s="45"/>
      <c r="FG233" s="45"/>
      <c r="FH233" s="45"/>
      <c r="FI233" s="45"/>
      <c r="FJ233" s="45"/>
      <c r="FK233" s="45"/>
      <c r="FL233" s="45"/>
      <c r="FM233" s="45"/>
      <c r="FN233" s="45"/>
      <c r="FO233" s="45"/>
      <c r="FP233" s="45"/>
      <c r="FQ233" s="45"/>
      <c r="FR233" s="45"/>
      <c r="FS233" s="45"/>
      <c r="FT233" s="45"/>
      <c r="FU233" s="45"/>
      <c r="FV233" s="45"/>
      <c r="FW233" s="45"/>
      <c r="FX233" s="45"/>
      <c r="FY233" s="45"/>
      <c r="FZ233" s="45"/>
      <c r="GA233" s="45"/>
      <c r="GB233" s="45"/>
      <c r="GC233" s="45"/>
      <c r="GD233" s="45"/>
      <c r="GE233" s="45"/>
      <c r="GF233" s="45"/>
      <c r="GG233" s="45"/>
      <c r="GH233" s="45"/>
      <c r="GI233" s="45"/>
      <c r="GJ233" s="45"/>
      <c r="GK233" s="45"/>
      <c r="GL233" s="45"/>
      <c r="GM233" s="45"/>
      <c r="GN233" s="45"/>
      <c r="GO233" s="45"/>
      <c r="GP233" s="45"/>
      <c r="GQ233" s="45"/>
      <c r="GR233" s="45"/>
      <c r="GS233" s="45"/>
      <c r="GT233" s="45"/>
      <c r="GU233" s="45"/>
      <c r="GV233" s="45"/>
      <c r="GW233" s="45"/>
      <c r="GX233" s="45"/>
      <c r="GY233" s="45"/>
      <c r="GZ233" s="45"/>
      <c r="HA233" s="45"/>
      <c r="HB233" s="45"/>
      <c r="HC233" s="45"/>
      <c r="HD233" s="45"/>
      <c r="HE233" s="45"/>
      <c r="HF233" s="45"/>
      <c r="HG233" s="45"/>
      <c r="HH233" s="45"/>
      <c r="HI233" s="45"/>
      <c r="HJ233" s="45"/>
      <c r="HK233" s="45"/>
      <c r="HL233" s="45"/>
      <c r="HM233" s="45"/>
      <c r="HN233" s="45"/>
      <c r="HO233" s="45"/>
      <c r="HP233" s="45"/>
      <c r="HQ233" s="45"/>
      <c r="HR233" s="45"/>
      <c r="HS233" s="45"/>
      <c r="HT233" s="45"/>
      <c r="HU233" s="45"/>
      <c r="HV233" s="45"/>
      <c r="HW233" s="45"/>
      <c r="HX233" s="45"/>
      <c r="HY233" s="45"/>
      <c r="HZ233" s="45"/>
      <c r="IA233" s="45"/>
      <c r="IB233" s="45"/>
      <c r="IC233" s="45"/>
      <c r="ID233" s="45"/>
      <c r="IE233" s="45"/>
      <c r="IF233" s="45"/>
      <c r="IG233" s="45"/>
      <c r="IH233" s="45"/>
      <c r="II233" s="45"/>
      <c r="IJ233" s="45"/>
      <c r="IK233" s="45"/>
      <c r="IL233" s="45"/>
      <c r="IM233" s="45"/>
      <c r="IN233" s="45"/>
      <c r="IO233" s="45"/>
      <c r="IP233" s="45"/>
      <c r="IQ233" s="45"/>
      <c r="IR233" s="45"/>
      <c r="IS233" s="45"/>
      <c r="IT233" s="45"/>
      <c r="IU233" s="45"/>
      <c r="IV233" s="45"/>
      <c r="IW233" s="45"/>
      <c r="IX233" s="45"/>
      <c r="IY233" s="45"/>
      <c r="IZ233" s="45"/>
      <c r="JA233" s="45"/>
      <c r="JB233" s="45"/>
      <c r="JC233" s="45"/>
      <c r="JD233" s="45"/>
      <c r="JE233" s="45"/>
      <c r="JF233" s="45"/>
      <c r="JG233" s="45"/>
      <c r="JH233" s="45"/>
      <c r="JI233" s="45"/>
      <c r="JJ233" s="45"/>
      <c r="JK233" s="45"/>
      <c r="JL233" s="45"/>
      <c r="JM233" s="45"/>
    </row>
    <row r="234" spans="1:273" s="259" customFormat="1" ht="135" customHeight="1" x14ac:dyDescent="0.25">
      <c r="A234" s="832">
        <v>212</v>
      </c>
      <c r="B234" s="833" t="s">
        <v>989</v>
      </c>
      <c r="C234" s="833">
        <v>80101706</v>
      </c>
      <c r="D234" s="173" t="s">
        <v>950</v>
      </c>
      <c r="E234" s="833" t="s">
        <v>125</v>
      </c>
      <c r="F234" s="833">
        <v>1</v>
      </c>
      <c r="G234" s="834" t="s">
        <v>164</v>
      </c>
      <c r="H234" s="835">
        <v>8.5</v>
      </c>
      <c r="I234" s="836" t="s">
        <v>96</v>
      </c>
      <c r="J234" s="836" t="s">
        <v>847</v>
      </c>
      <c r="K234" s="833" t="s">
        <v>108</v>
      </c>
      <c r="L234" s="56">
        <v>13387500</v>
      </c>
      <c r="M234" s="69">
        <v>13387500</v>
      </c>
      <c r="N234" s="833" t="s">
        <v>81</v>
      </c>
      <c r="O234" s="833" t="s">
        <v>56</v>
      </c>
      <c r="P234" s="24" t="s">
        <v>126</v>
      </c>
      <c r="Q234" s="45"/>
      <c r="R234" s="172" t="s">
        <v>1252</v>
      </c>
      <c r="S234" s="172" t="s">
        <v>710</v>
      </c>
      <c r="T234" s="28">
        <v>42472</v>
      </c>
      <c r="U234" s="1012" t="s">
        <v>687</v>
      </c>
      <c r="V234" s="181" t="s">
        <v>296</v>
      </c>
      <c r="W234" s="1050">
        <v>13387500</v>
      </c>
      <c r="X234" s="138"/>
      <c r="Y234" s="134">
        <f t="shared" si="4"/>
        <v>13387500</v>
      </c>
      <c r="Z234" s="411" t="s">
        <v>1236</v>
      </c>
      <c r="AA234" s="411" t="s">
        <v>1253</v>
      </c>
      <c r="AB234" s="411" t="s">
        <v>225</v>
      </c>
      <c r="AC234" s="181" t="s">
        <v>1254</v>
      </c>
      <c r="AD234" s="411" t="s">
        <v>56</v>
      </c>
      <c r="AE234" s="411" t="s">
        <v>56</v>
      </c>
      <c r="AF234" s="411" t="s">
        <v>56</v>
      </c>
      <c r="AG234" s="168" t="s">
        <v>1218</v>
      </c>
      <c r="AH234" s="169">
        <v>42472</v>
      </c>
      <c r="AI234" s="169">
        <v>42729</v>
      </c>
      <c r="AJ234" s="411" t="s">
        <v>389</v>
      </c>
      <c r="AK234" s="134" t="s">
        <v>390</v>
      </c>
      <c r="AL234" s="1152" t="s">
        <v>56</v>
      </c>
      <c r="AM234" s="1152" t="s">
        <v>56</v>
      </c>
      <c r="AN234" s="1152" t="s">
        <v>56</v>
      </c>
      <c r="AO234" s="1152" t="s">
        <v>56</v>
      </c>
      <c r="AP234" s="1152" t="s">
        <v>56</v>
      </c>
      <c r="AQ234" s="1153">
        <v>1575000</v>
      </c>
      <c r="AR234" s="1237">
        <v>1575000</v>
      </c>
      <c r="AS234" s="138"/>
      <c r="AT234" s="1237">
        <v>1575000</v>
      </c>
      <c r="AU234" s="138"/>
      <c r="AV234" s="138"/>
      <c r="AW234" s="138"/>
      <c r="AX234" s="138"/>
      <c r="AY234" s="138"/>
      <c r="AZ234" s="138"/>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45"/>
      <c r="DI234" s="45"/>
      <c r="DJ234" s="45"/>
      <c r="DK234" s="45"/>
      <c r="DL234" s="45"/>
      <c r="DM234" s="45"/>
      <c r="DN234" s="45"/>
      <c r="DO234" s="45"/>
      <c r="DP234" s="45"/>
      <c r="DQ234" s="45"/>
      <c r="DR234" s="45"/>
      <c r="DS234" s="45"/>
      <c r="DT234" s="45"/>
      <c r="DU234" s="45"/>
      <c r="DV234" s="45"/>
      <c r="DW234" s="45"/>
      <c r="DX234" s="45"/>
      <c r="DY234" s="45"/>
      <c r="DZ234" s="45"/>
      <c r="EA234" s="45"/>
      <c r="EB234" s="45"/>
      <c r="EC234" s="45"/>
      <c r="ED234" s="45"/>
      <c r="EE234" s="45"/>
      <c r="EF234" s="45"/>
      <c r="EG234" s="45"/>
      <c r="EH234" s="45"/>
      <c r="EI234" s="45"/>
      <c r="EJ234" s="45"/>
      <c r="EK234" s="45"/>
      <c r="EL234" s="45"/>
      <c r="EM234" s="45"/>
      <c r="EN234" s="45"/>
      <c r="EO234" s="45"/>
      <c r="EP234" s="45"/>
      <c r="EQ234" s="45"/>
      <c r="ER234" s="45"/>
      <c r="ES234" s="45"/>
      <c r="ET234" s="45"/>
      <c r="EU234" s="45"/>
      <c r="EV234" s="45"/>
      <c r="EW234" s="45"/>
      <c r="EX234" s="45"/>
      <c r="EY234" s="45"/>
      <c r="EZ234" s="45"/>
      <c r="FA234" s="45"/>
      <c r="FB234" s="45"/>
      <c r="FC234" s="45"/>
      <c r="FD234" s="45"/>
      <c r="FE234" s="45"/>
      <c r="FF234" s="45"/>
      <c r="FG234" s="45"/>
      <c r="FH234" s="45"/>
      <c r="FI234" s="45"/>
      <c r="FJ234" s="45"/>
      <c r="FK234" s="45"/>
      <c r="FL234" s="45"/>
      <c r="FM234" s="45"/>
      <c r="FN234" s="45"/>
      <c r="FO234" s="45"/>
      <c r="FP234" s="45"/>
      <c r="FQ234" s="45"/>
      <c r="FR234" s="45"/>
      <c r="FS234" s="45"/>
      <c r="FT234" s="45"/>
      <c r="FU234" s="45"/>
      <c r="FV234" s="45"/>
      <c r="FW234" s="45"/>
      <c r="FX234" s="45"/>
      <c r="FY234" s="45"/>
      <c r="FZ234" s="45"/>
      <c r="GA234" s="45"/>
      <c r="GB234" s="45"/>
      <c r="GC234" s="45"/>
      <c r="GD234" s="45"/>
      <c r="GE234" s="45"/>
      <c r="GF234" s="45"/>
      <c r="GG234" s="45"/>
      <c r="GH234" s="45"/>
      <c r="GI234" s="45"/>
      <c r="GJ234" s="45"/>
      <c r="GK234" s="45"/>
      <c r="GL234" s="45"/>
      <c r="GM234" s="45"/>
      <c r="GN234" s="45"/>
      <c r="GO234" s="45"/>
      <c r="GP234" s="45"/>
      <c r="GQ234" s="45"/>
      <c r="GR234" s="45"/>
      <c r="GS234" s="45"/>
      <c r="GT234" s="45"/>
      <c r="GU234" s="45"/>
      <c r="GV234" s="45"/>
      <c r="GW234" s="45"/>
      <c r="GX234" s="45"/>
      <c r="GY234" s="45"/>
      <c r="GZ234" s="45"/>
      <c r="HA234" s="45"/>
      <c r="HB234" s="45"/>
      <c r="HC234" s="45"/>
      <c r="HD234" s="45"/>
      <c r="HE234" s="45"/>
      <c r="HF234" s="45"/>
      <c r="HG234" s="45"/>
      <c r="HH234" s="45"/>
      <c r="HI234" s="45"/>
      <c r="HJ234" s="45"/>
      <c r="HK234" s="45"/>
      <c r="HL234" s="45"/>
      <c r="HM234" s="45"/>
      <c r="HN234" s="45"/>
      <c r="HO234" s="45"/>
      <c r="HP234" s="45"/>
      <c r="HQ234" s="45"/>
      <c r="HR234" s="45"/>
      <c r="HS234" s="45"/>
      <c r="HT234" s="45"/>
      <c r="HU234" s="45"/>
      <c r="HV234" s="45"/>
      <c r="HW234" s="45"/>
      <c r="HX234" s="45"/>
      <c r="HY234" s="45"/>
      <c r="HZ234" s="45"/>
      <c r="IA234" s="45"/>
      <c r="IB234" s="45"/>
      <c r="IC234" s="45"/>
      <c r="ID234" s="45"/>
      <c r="IE234" s="45"/>
      <c r="IF234" s="45"/>
      <c r="IG234" s="45"/>
      <c r="IH234" s="45"/>
      <c r="II234" s="45"/>
      <c r="IJ234" s="45"/>
      <c r="IK234" s="45"/>
      <c r="IL234" s="45"/>
      <c r="IM234" s="45"/>
      <c r="IN234" s="45"/>
      <c r="IO234" s="45"/>
      <c r="IP234" s="45"/>
      <c r="IQ234" s="45"/>
      <c r="IR234" s="45"/>
      <c r="IS234" s="45"/>
      <c r="IT234" s="45"/>
      <c r="IU234" s="45"/>
      <c r="IV234" s="45"/>
      <c r="IW234" s="45"/>
      <c r="IX234" s="45"/>
      <c r="IY234" s="45"/>
      <c r="IZ234" s="45"/>
      <c r="JA234" s="45"/>
      <c r="JB234" s="45"/>
      <c r="JC234" s="45"/>
      <c r="JD234" s="45"/>
      <c r="JE234" s="45"/>
      <c r="JF234" s="45"/>
      <c r="JG234" s="45"/>
      <c r="JH234" s="45"/>
      <c r="JI234" s="45"/>
      <c r="JJ234" s="45"/>
      <c r="JK234" s="45"/>
      <c r="JL234" s="45"/>
      <c r="JM234" s="45"/>
    </row>
    <row r="235" spans="1:273" s="259" customFormat="1" ht="87.75" customHeight="1" x14ac:dyDescent="0.25">
      <c r="A235" s="965">
        <v>213</v>
      </c>
      <c r="B235" s="966" t="s">
        <v>985</v>
      </c>
      <c r="C235" s="944">
        <v>80101706</v>
      </c>
      <c r="D235" s="966" t="s">
        <v>1022</v>
      </c>
      <c r="E235" s="966" t="s">
        <v>125</v>
      </c>
      <c r="F235" s="966">
        <v>1</v>
      </c>
      <c r="G235" s="967" t="s">
        <v>164</v>
      </c>
      <c r="H235" s="968">
        <v>8.8000000000000007</v>
      </c>
      <c r="I235" s="969" t="s">
        <v>80</v>
      </c>
      <c r="J235" s="836" t="s">
        <v>1535</v>
      </c>
      <c r="K235" s="833" t="s">
        <v>108</v>
      </c>
      <c r="L235" s="1263">
        <v>25000000</v>
      </c>
      <c r="M235" s="69">
        <v>25000000</v>
      </c>
      <c r="N235" s="833" t="s">
        <v>81</v>
      </c>
      <c r="O235" s="833" t="s">
        <v>56</v>
      </c>
      <c r="P235" s="24" t="s">
        <v>126</v>
      </c>
      <c r="Q235" s="45"/>
      <c r="R235" s="1019" t="s">
        <v>1407</v>
      </c>
      <c r="S235" s="1019" t="s">
        <v>1367</v>
      </c>
      <c r="T235" s="1020">
        <v>42482</v>
      </c>
      <c r="U235" s="1021" t="s">
        <v>1408</v>
      </c>
      <c r="V235" s="1021" t="s">
        <v>202</v>
      </c>
      <c r="W235" s="1050">
        <v>25000000</v>
      </c>
      <c r="X235" s="138"/>
      <c r="Y235" s="134">
        <f t="shared" si="4"/>
        <v>25000000</v>
      </c>
      <c r="Z235" s="988" t="s">
        <v>1409</v>
      </c>
      <c r="AA235" s="988" t="s">
        <v>1410</v>
      </c>
      <c r="AB235" s="988" t="s">
        <v>215</v>
      </c>
      <c r="AC235" s="1021" t="s">
        <v>1411</v>
      </c>
      <c r="AD235" s="988" t="s">
        <v>56</v>
      </c>
      <c r="AE235" s="988" t="s">
        <v>56</v>
      </c>
      <c r="AF235" s="988" t="s">
        <v>56</v>
      </c>
      <c r="AG235" s="1264" t="s">
        <v>1412</v>
      </c>
      <c r="AH235" s="1034">
        <v>42485</v>
      </c>
      <c r="AI235" s="1034">
        <v>42582</v>
      </c>
      <c r="AJ235" s="988" t="s">
        <v>722</v>
      </c>
      <c r="AK235" s="1265" t="s">
        <v>728</v>
      </c>
      <c r="AL235" s="1266" t="s">
        <v>56</v>
      </c>
      <c r="AM235" s="1157" t="s">
        <v>56</v>
      </c>
      <c r="AN235" s="1157" t="s">
        <v>56</v>
      </c>
      <c r="AO235" s="1157" t="s">
        <v>56</v>
      </c>
      <c r="AP235" s="1157" t="s">
        <v>56</v>
      </c>
      <c r="AQ235" s="1153">
        <v>1703062</v>
      </c>
      <c r="AR235" s="1239" t="s">
        <v>2938</v>
      </c>
      <c r="AS235" s="138"/>
      <c r="AT235" s="1153">
        <v>1968890</v>
      </c>
      <c r="AU235" s="138"/>
      <c r="AV235" s="138"/>
      <c r="AW235" s="138"/>
      <c r="AX235" s="138"/>
      <c r="AY235" s="138"/>
      <c r="AZ235" s="138"/>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c r="BZ235" s="45"/>
      <c r="CA235" s="45"/>
      <c r="CB235" s="45"/>
      <c r="CC235" s="45"/>
      <c r="CD235" s="45"/>
      <c r="CE235" s="45"/>
      <c r="CF235" s="45"/>
      <c r="CG235" s="45"/>
      <c r="CH235" s="45"/>
      <c r="CI235" s="45"/>
      <c r="CJ235" s="45"/>
      <c r="CK235" s="45"/>
      <c r="CL235" s="45"/>
      <c r="CM235" s="45"/>
      <c r="CN235" s="45"/>
      <c r="CO235" s="45"/>
      <c r="CP235" s="45"/>
      <c r="CQ235" s="45"/>
      <c r="CR235" s="45"/>
      <c r="CS235" s="45"/>
      <c r="CT235" s="45"/>
      <c r="CU235" s="45"/>
      <c r="CV235" s="45"/>
      <c r="CW235" s="45"/>
      <c r="CX235" s="45"/>
      <c r="CY235" s="45"/>
      <c r="CZ235" s="45"/>
      <c r="DA235" s="45"/>
      <c r="DB235" s="45"/>
      <c r="DC235" s="45"/>
      <c r="DD235" s="45"/>
      <c r="DE235" s="45"/>
      <c r="DF235" s="45"/>
      <c r="DG235" s="45"/>
      <c r="DH235" s="45"/>
      <c r="DI235" s="45"/>
      <c r="DJ235" s="45"/>
      <c r="DK235" s="45"/>
      <c r="DL235" s="45"/>
      <c r="DM235" s="45"/>
      <c r="DN235" s="45"/>
      <c r="DO235" s="45"/>
      <c r="DP235" s="45"/>
      <c r="DQ235" s="45"/>
      <c r="DR235" s="45"/>
      <c r="DS235" s="45"/>
      <c r="DT235" s="45"/>
      <c r="DU235" s="45"/>
      <c r="DV235" s="45"/>
      <c r="DW235" s="45"/>
      <c r="DX235" s="45"/>
      <c r="DY235" s="45"/>
      <c r="DZ235" s="45"/>
      <c r="EA235" s="45"/>
      <c r="EB235" s="45"/>
      <c r="EC235" s="45"/>
      <c r="ED235" s="45"/>
      <c r="EE235" s="45"/>
      <c r="EF235" s="45"/>
      <c r="EG235" s="45"/>
      <c r="EH235" s="45"/>
      <c r="EI235" s="45"/>
      <c r="EJ235" s="45"/>
      <c r="EK235" s="45"/>
      <c r="EL235" s="45"/>
      <c r="EM235" s="45"/>
      <c r="EN235" s="45"/>
      <c r="EO235" s="45"/>
      <c r="EP235" s="45"/>
      <c r="EQ235" s="45"/>
      <c r="ER235" s="45"/>
      <c r="ES235" s="45"/>
      <c r="ET235" s="45"/>
      <c r="EU235" s="45"/>
      <c r="EV235" s="45"/>
      <c r="EW235" s="45"/>
      <c r="EX235" s="45"/>
      <c r="EY235" s="45"/>
      <c r="EZ235" s="45"/>
      <c r="FA235" s="45"/>
      <c r="FB235" s="45"/>
      <c r="FC235" s="45"/>
      <c r="FD235" s="45"/>
      <c r="FE235" s="45"/>
      <c r="FF235" s="45"/>
      <c r="FG235" s="45"/>
      <c r="FH235" s="45"/>
      <c r="FI235" s="45"/>
      <c r="FJ235" s="45"/>
      <c r="FK235" s="45"/>
      <c r="FL235" s="45"/>
      <c r="FM235" s="45"/>
      <c r="FN235" s="45"/>
      <c r="FO235" s="45"/>
      <c r="FP235" s="45"/>
      <c r="FQ235" s="45"/>
      <c r="FR235" s="45"/>
      <c r="FS235" s="45"/>
      <c r="FT235" s="45"/>
      <c r="FU235" s="45"/>
      <c r="FV235" s="45"/>
      <c r="FW235" s="45"/>
      <c r="FX235" s="45"/>
      <c r="FY235" s="45"/>
      <c r="FZ235" s="45"/>
      <c r="GA235" s="45"/>
      <c r="GB235" s="45"/>
      <c r="GC235" s="45"/>
      <c r="GD235" s="45"/>
      <c r="GE235" s="45"/>
      <c r="GF235" s="45"/>
      <c r="GG235" s="45"/>
      <c r="GH235" s="45"/>
      <c r="GI235" s="45"/>
      <c r="GJ235" s="45"/>
      <c r="GK235" s="45"/>
      <c r="GL235" s="45"/>
      <c r="GM235" s="45"/>
      <c r="GN235" s="45"/>
      <c r="GO235" s="45"/>
      <c r="GP235" s="45"/>
      <c r="GQ235" s="45"/>
      <c r="GR235" s="45"/>
      <c r="GS235" s="45"/>
      <c r="GT235" s="45"/>
      <c r="GU235" s="45"/>
      <c r="GV235" s="45"/>
      <c r="GW235" s="45"/>
      <c r="GX235" s="45"/>
      <c r="GY235" s="45"/>
      <c r="GZ235" s="45"/>
      <c r="HA235" s="45"/>
      <c r="HB235" s="45"/>
      <c r="HC235" s="45"/>
      <c r="HD235" s="45"/>
      <c r="HE235" s="45"/>
      <c r="HF235" s="45"/>
      <c r="HG235" s="45"/>
      <c r="HH235" s="45"/>
      <c r="HI235" s="45"/>
      <c r="HJ235" s="45"/>
      <c r="HK235" s="45"/>
      <c r="HL235" s="45"/>
      <c r="HM235" s="45"/>
      <c r="HN235" s="45"/>
      <c r="HO235" s="45"/>
      <c r="HP235" s="45"/>
      <c r="HQ235" s="45"/>
      <c r="HR235" s="45"/>
      <c r="HS235" s="45"/>
      <c r="HT235" s="45"/>
      <c r="HU235" s="45"/>
      <c r="HV235" s="45"/>
      <c r="HW235" s="45"/>
      <c r="HX235" s="45"/>
      <c r="HY235" s="45"/>
      <c r="HZ235" s="45"/>
      <c r="IA235" s="45"/>
      <c r="IB235" s="45"/>
      <c r="IC235" s="45"/>
      <c r="ID235" s="45"/>
      <c r="IE235" s="45"/>
      <c r="IF235" s="45"/>
      <c r="IG235" s="45"/>
      <c r="IH235" s="45"/>
      <c r="II235" s="45"/>
      <c r="IJ235" s="45"/>
      <c r="IK235" s="45"/>
      <c r="IL235" s="45"/>
      <c r="IM235" s="45"/>
      <c r="IN235" s="45"/>
      <c r="IO235" s="45"/>
      <c r="IP235" s="45"/>
      <c r="IQ235" s="45"/>
      <c r="IR235" s="45"/>
      <c r="IS235" s="45"/>
      <c r="IT235" s="45"/>
      <c r="IU235" s="45"/>
      <c r="IV235" s="45"/>
      <c r="IW235" s="45"/>
      <c r="IX235" s="45"/>
      <c r="IY235" s="45"/>
      <c r="IZ235" s="45"/>
      <c r="JA235" s="45"/>
      <c r="JB235" s="45"/>
      <c r="JC235" s="45"/>
      <c r="JD235" s="45"/>
      <c r="JE235" s="45"/>
      <c r="JF235" s="45"/>
      <c r="JG235" s="45"/>
      <c r="JH235" s="45"/>
      <c r="JI235" s="45"/>
      <c r="JJ235" s="45"/>
      <c r="JK235" s="45"/>
      <c r="JL235" s="45"/>
      <c r="JM235" s="45"/>
    </row>
    <row r="236" spans="1:273" s="259" customFormat="1" ht="70.5" customHeight="1" x14ac:dyDescent="0.25">
      <c r="A236" s="965"/>
      <c r="B236" s="966"/>
      <c r="C236" s="945"/>
      <c r="D236" s="966"/>
      <c r="E236" s="966"/>
      <c r="F236" s="966"/>
      <c r="G236" s="967"/>
      <c r="H236" s="968"/>
      <c r="I236" s="969"/>
      <c r="J236" s="836" t="s">
        <v>1536</v>
      </c>
      <c r="K236" s="833" t="s">
        <v>108</v>
      </c>
      <c r="L236" s="1263">
        <v>112700000</v>
      </c>
      <c r="M236" s="69">
        <v>112700000</v>
      </c>
      <c r="N236" s="1148" t="s">
        <v>81</v>
      </c>
      <c r="O236" s="833" t="s">
        <v>56</v>
      </c>
      <c r="P236" s="24" t="s">
        <v>126</v>
      </c>
      <c r="Q236" s="45"/>
      <c r="R236" s="1027"/>
      <c r="S236" s="1027"/>
      <c r="T236" s="1028"/>
      <c r="U236" s="959"/>
      <c r="V236" s="959"/>
      <c r="W236" s="1050">
        <v>112700000</v>
      </c>
      <c r="X236" s="138"/>
      <c r="Y236" s="134">
        <f t="shared" si="4"/>
        <v>112700000</v>
      </c>
      <c r="Z236" s="1006"/>
      <c r="AA236" s="1006"/>
      <c r="AB236" s="1006"/>
      <c r="AC236" s="959"/>
      <c r="AD236" s="1006"/>
      <c r="AE236" s="1006"/>
      <c r="AF236" s="1006"/>
      <c r="AG236" s="1267"/>
      <c r="AH236" s="1039"/>
      <c r="AI236" s="1039"/>
      <c r="AJ236" s="1006"/>
      <c r="AK236" s="1268"/>
      <c r="AL236" s="1269"/>
      <c r="AM236" s="1163"/>
      <c r="AN236" s="1163"/>
      <c r="AO236" s="1163"/>
      <c r="AP236" s="1163"/>
      <c r="AQ236" s="138"/>
      <c r="AR236" s="138"/>
      <c r="AS236" s="138"/>
      <c r="AT236" s="138"/>
      <c r="AU236" s="138"/>
      <c r="AV236" s="138"/>
      <c r="AW236" s="138"/>
      <c r="AX236" s="138"/>
      <c r="AY236" s="138"/>
      <c r="AZ236" s="138"/>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c r="BZ236" s="45"/>
      <c r="CA236" s="45"/>
      <c r="CB236" s="45"/>
      <c r="CC236" s="45"/>
      <c r="CD236" s="45"/>
      <c r="CE236" s="45"/>
      <c r="CF236" s="45"/>
      <c r="CG236" s="45"/>
      <c r="CH236" s="45"/>
      <c r="CI236" s="45"/>
      <c r="CJ236" s="45"/>
      <c r="CK236" s="45"/>
      <c r="CL236" s="45"/>
      <c r="CM236" s="45"/>
      <c r="CN236" s="45"/>
      <c r="CO236" s="45"/>
      <c r="CP236" s="45"/>
      <c r="CQ236" s="45"/>
      <c r="CR236" s="45"/>
      <c r="CS236" s="45"/>
      <c r="CT236" s="45"/>
      <c r="CU236" s="45"/>
      <c r="CV236" s="45"/>
      <c r="CW236" s="45"/>
      <c r="CX236" s="45"/>
      <c r="CY236" s="45"/>
      <c r="CZ236" s="45"/>
      <c r="DA236" s="45"/>
      <c r="DB236" s="45"/>
      <c r="DC236" s="45"/>
      <c r="DD236" s="45"/>
      <c r="DE236" s="45"/>
      <c r="DF236" s="45"/>
      <c r="DG236" s="45"/>
      <c r="DH236" s="45"/>
      <c r="DI236" s="45"/>
      <c r="DJ236" s="45"/>
      <c r="DK236" s="45"/>
      <c r="DL236" s="45"/>
      <c r="DM236" s="45"/>
      <c r="DN236" s="45"/>
      <c r="DO236" s="45"/>
      <c r="DP236" s="45"/>
      <c r="DQ236" s="45"/>
      <c r="DR236" s="45"/>
      <c r="DS236" s="45"/>
      <c r="DT236" s="45"/>
      <c r="DU236" s="45"/>
      <c r="DV236" s="45"/>
      <c r="DW236" s="45"/>
      <c r="DX236" s="45"/>
      <c r="DY236" s="45"/>
      <c r="DZ236" s="45"/>
      <c r="EA236" s="45"/>
      <c r="EB236" s="45"/>
      <c r="EC236" s="45"/>
      <c r="ED236" s="45"/>
      <c r="EE236" s="45"/>
      <c r="EF236" s="45"/>
      <c r="EG236" s="45"/>
      <c r="EH236" s="45"/>
      <c r="EI236" s="45"/>
      <c r="EJ236" s="45"/>
      <c r="EK236" s="45"/>
      <c r="EL236" s="45"/>
      <c r="EM236" s="45"/>
      <c r="EN236" s="45"/>
      <c r="EO236" s="45"/>
      <c r="EP236" s="45"/>
      <c r="EQ236" s="45"/>
      <c r="ER236" s="45"/>
      <c r="ES236" s="45"/>
      <c r="ET236" s="45"/>
      <c r="EU236" s="45"/>
      <c r="EV236" s="45"/>
      <c r="EW236" s="45"/>
      <c r="EX236" s="45"/>
      <c r="EY236" s="45"/>
      <c r="EZ236" s="45"/>
      <c r="FA236" s="45"/>
      <c r="FB236" s="45"/>
      <c r="FC236" s="45"/>
      <c r="FD236" s="45"/>
      <c r="FE236" s="45"/>
      <c r="FF236" s="45"/>
      <c r="FG236" s="45"/>
      <c r="FH236" s="45"/>
      <c r="FI236" s="45"/>
      <c r="FJ236" s="45"/>
      <c r="FK236" s="45"/>
      <c r="FL236" s="45"/>
      <c r="FM236" s="45"/>
      <c r="FN236" s="45"/>
      <c r="FO236" s="45"/>
      <c r="FP236" s="45"/>
      <c r="FQ236" s="45"/>
      <c r="FR236" s="45"/>
      <c r="FS236" s="45"/>
      <c r="FT236" s="45"/>
      <c r="FU236" s="45"/>
      <c r="FV236" s="45"/>
      <c r="FW236" s="45"/>
      <c r="FX236" s="45"/>
      <c r="FY236" s="45"/>
      <c r="FZ236" s="45"/>
      <c r="GA236" s="45"/>
      <c r="GB236" s="45"/>
      <c r="GC236" s="45"/>
      <c r="GD236" s="45"/>
      <c r="GE236" s="45"/>
      <c r="GF236" s="45"/>
      <c r="GG236" s="45"/>
      <c r="GH236" s="45"/>
      <c r="GI236" s="45"/>
      <c r="GJ236" s="45"/>
      <c r="GK236" s="45"/>
      <c r="GL236" s="45"/>
      <c r="GM236" s="45"/>
      <c r="GN236" s="45"/>
      <c r="GO236" s="45"/>
      <c r="GP236" s="45"/>
      <c r="GQ236" s="45"/>
      <c r="GR236" s="45"/>
      <c r="GS236" s="45"/>
      <c r="GT236" s="45"/>
      <c r="GU236" s="45"/>
      <c r="GV236" s="45"/>
      <c r="GW236" s="45"/>
      <c r="GX236" s="45"/>
      <c r="GY236" s="45"/>
      <c r="GZ236" s="45"/>
      <c r="HA236" s="45"/>
      <c r="HB236" s="45"/>
      <c r="HC236" s="45"/>
      <c r="HD236" s="45"/>
      <c r="HE236" s="45"/>
      <c r="HF236" s="45"/>
      <c r="HG236" s="45"/>
      <c r="HH236" s="45"/>
      <c r="HI236" s="45"/>
      <c r="HJ236" s="45"/>
      <c r="HK236" s="45"/>
      <c r="HL236" s="45"/>
      <c r="HM236" s="45"/>
      <c r="HN236" s="45"/>
      <c r="HO236" s="45"/>
      <c r="HP236" s="45"/>
      <c r="HQ236" s="45"/>
      <c r="HR236" s="45"/>
      <c r="HS236" s="45"/>
      <c r="HT236" s="45"/>
      <c r="HU236" s="45"/>
      <c r="HV236" s="45"/>
      <c r="HW236" s="45"/>
      <c r="HX236" s="45"/>
      <c r="HY236" s="45"/>
      <c r="HZ236" s="45"/>
      <c r="IA236" s="45"/>
      <c r="IB236" s="45"/>
      <c r="IC236" s="45"/>
      <c r="ID236" s="45"/>
      <c r="IE236" s="45"/>
      <c r="IF236" s="45"/>
      <c r="IG236" s="45"/>
      <c r="IH236" s="45"/>
      <c r="II236" s="45"/>
      <c r="IJ236" s="45"/>
      <c r="IK236" s="45"/>
      <c r="IL236" s="45"/>
      <c r="IM236" s="45"/>
      <c r="IN236" s="45"/>
      <c r="IO236" s="45"/>
      <c r="IP236" s="45"/>
      <c r="IQ236" s="45"/>
      <c r="IR236" s="45"/>
      <c r="IS236" s="45"/>
      <c r="IT236" s="45"/>
      <c r="IU236" s="45"/>
      <c r="IV236" s="45"/>
      <c r="IW236" s="45"/>
      <c r="IX236" s="45"/>
      <c r="IY236" s="45"/>
      <c r="IZ236" s="45"/>
      <c r="JA236" s="45"/>
      <c r="JB236" s="45"/>
      <c r="JC236" s="45"/>
      <c r="JD236" s="45"/>
      <c r="JE236" s="45"/>
      <c r="JF236" s="45"/>
      <c r="JG236" s="45"/>
      <c r="JH236" s="45"/>
      <c r="JI236" s="45"/>
      <c r="JJ236" s="45"/>
      <c r="JK236" s="45"/>
      <c r="JL236" s="45"/>
      <c r="JM236" s="45"/>
    </row>
    <row r="237" spans="1:273" s="259" customFormat="1" ht="99" customHeight="1" x14ac:dyDescent="0.25">
      <c r="A237" s="832">
        <v>214</v>
      </c>
      <c r="B237" s="833" t="s">
        <v>989</v>
      </c>
      <c r="C237" s="836">
        <v>80101706</v>
      </c>
      <c r="D237" s="174" t="s">
        <v>123</v>
      </c>
      <c r="E237" s="836" t="s">
        <v>125</v>
      </c>
      <c r="F237" s="836">
        <v>1</v>
      </c>
      <c r="G237" s="834" t="s">
        <v>161</v>
      </c>
      <c r="H237" s="485" t="s">
        <v>1092</v>
      </c>
      <c r="I237" s="836" t="s">
        <v>96</v>
      </c>
      <c r="J237" s="836" t="s">
        <v>847</v>
      </c>
      <c r="K237" s="836" t="s">
        <v>108</v>
      </c>
      <c r="L237" s="56">
        <v>20527500</v>
      </c>
      <c r="M237" s="69">
        <v>20527500</v>
      </c>
      <c r="N237" s="836" t="s">
        <v>81</v>
      </c>
      <c r="O237" s="836" t="s">
        <v>56</v>
      </c>
      <c r="P237" s="24" t="s">
        <v>126</v>
      </c>
      <c r="Q237" s="45"/>
      <c r="R237" s="1270" t="s">
        <v>1255</v>
      </c>
      <c r="S237" s="1270" t="s">
        <v>1256</v>
      </c>
      <c r="T237" s="1271">
        <v>42472</v>
      </c>
      <c r="U237" s="1272" t="s">
        <v>1257</v>
      </c>
      <c r="V237" s="1273" t="s">
        <v>212</v>
      </c>
      <c r="W237" s="1050">
        <v>20527500</v>
      </c>
      <c r="X237" s="1113"/>
      <c r="Y237" s="846">
        <f t="shared" si="4"/>
        <v>20527500</v>
      </c>
      <c r="Z237" s="1274" t="s">
        <v>1228</v>
      </c>
      <c r="AA237" s="1274" t="s">
        <v>1258</v>
      </c>
      <c r="AB237" s="1274" t="s">
        <v>225</v>
      </c>
      <c r="AC237" s="1273" t="s">
        <v>1259</v>
      </c>
      <c r="AD237" s="1274" t="s">
        <v>56</v>
      </c>
      <c r="AE237" s="1274" t="s">
        <v>56</v>
      </c>
      <c r="AF237" s="1274" t="s">
        <v>56</v>
      </c>
      <c r="AG237" s="1275" t="s">
        <v>1218</v>
      </c>
      <c r="AH237" s="1276">
        <v>42472</v>
      </c>
      <c r="AI237" s="1276">
        <v>42729</v>
      </c>
      <c r="AJ237" s="1274" t="s">
        <v>389</v>
      </c>
      <c r="AK237" s="846" t="s">
        <v>390</v>
      </c>
      <c r="AL237" s="1175" t="s">
        <v>56</v>
      </c>
      <c r="AM237" s="1175" t="s">
        <v>56</v>
      </c>
      <c r="AN237" s="1175" t="s">
        <v>56</v>
      </c>
      <c r="AO237" s="1175" t="s">
        <v>56</v>
      </c>
      <c r="AP237" s="1175" t="s">
        <v>56</v>
      </c>
      <c r="AQ237" s="1176">
        <v>2415000</v>
      </c>
      <c r="AR237" s="1277">
        <v>2415000</v>
      </c>
      <c r="AS237" s="1113"/>
      <c r="AT237" s="1277">
        <v>2415000</v>
      </c>
      <c r="AU237" s="1113"/>
      <c r="AV237" s="1113"/>
      <c r="AW237" s="1113"/>
      <c r="AX237" s="1113"/>
      <c r="AY237" s="1113"/>
      <c r="AZ237" s="1113"/>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c r="BZ237" s="45"/>
      <c r="CA237" s="45"/>
      <c r="CB237" s="45"/>
      <c r="CC237" s="45"/>
      <c r="CD237" s="45"/>
      <c r="CE237" s="45"/>
      <c r="CF237" s="45"/>
      <c r="CG237" s="45"/>
      <c r="CH237" s="45"/>
      <c r="CI237" s="45"/>
      <c r="CJ237" s="45"/>
      <c r="CK237" s="45"/>
      <c r="CL237" s="45"/>
      <c r="CM237" s="45"/>
      <c r="CN237" s="45"/>
      <c r="CO237" s="45"/>
      <c r="CP237" s="45"/>
      <c r="CQ237" s="45"/>
      <c r="CR237" s="45"/>
      <c r="CS237" s="45"/>
      <c r="CT237" s="45"/>
      <c r="CU237" s="45"/>
      <c r="CV237" s="45"/>
      <c r="CW237" s="45"/>
      <c r="CX237" s="45"/>
      <c r="CY237" s="45"/>
      <c r="CZ237" s="45"/>
      <c r="DA237" s="45"/>
      <c r="DB237" s="45"/>
      <c r="DC237" s="45"/>
      <c r="DD237" s="45"/>
      <c r="DE237" s="45"/>
      <c r="DF237" s="45"/>
      <c r="DG237" s="45"/>
      <c r="DH237" s="45"/>
      <c r="DI237" s="45"/>
      <c r="DJ237" s="45"/>
      <c r="DK237" s="45"/>
      <c r="DL237" s="45"/>
      <c r="DM237" s="45"/>
      <c r="DN237" s="45"/>
      <c r="DO237" s="45"/>
      <c r="DP237" s="45"/>
      <c r="DQ237" s="45"/>
      <c r="DR237" s="45"/>
      <c r="DS237" s="45"/>
      <c r="DT237" s="45"/>
      <c r="DU237" s="45"/>
      <c r="DV237" s="45"/>
      <c r="DW237" s="45"/>
      <c r="DX237" s="45"/>
      <c r="DY237" s="45"/>
      <c r="DZ237" s="45"/>
      <c r="EA237" s="45"/>
      <c r="EB237" s="45"/>
      <c r="EC237" s="45"/>
      <c r="ED237" s="45"/>
      <c r="EE237" s="45"/>
      <c r="EF237" s="45"/>
      <c r="EG237" s="45"/>
      <c r="EH237" s="45"/>
      <c r="EI237" s="45"/>
      <c r="EJ237" s="45"/>
      <c r="EK237" s="45"/>
      <c r="EL237" s="45"/>
      <c r="EM237" s="45"/>
      <c r="EN237" s="45"/>
      <c r="EO237" s="45"/>
      <c r="EP237" s="45"/>
      <c r="EQ237" s="45"/>
      <c r="ER237" s="45"/>
      <c r="ES237" s="45"/>
      <c r="ET237" s="45"/>
      <c r="EU237" s="45"/>
      <c r="EV237" s="45"/>
      <c r="EW237" s="45"/>
      <c r="EX237" s="45"/>
      <c r="EY237" s="45"/>
      <c r="EZ237" s="45"/>
      <c r="FA237" s="45"/>
      <c r="FB237" s="45"/>
      <c r="FC237" s="45"/>
      <c r="FD237" s="45"/>
      <c r="FE237" s="45"/>
      <c r="FF237" s="45"/>
      <c r="FG237" s="45"/>
      <c r="FH237" s="45"/>
      <c r="FI237" s="45"/>
      <c r="FJ237" s="45"/>
      <c r="FK237" s="45"/>
      <c r="FL237" s="45"/>
      <c r="FM237" s="45"/>
      <c r="FN237" s="45"/>
      <c r="FO237" s="45"/>
      <c r="FP237" s="45"/>
      <c r="FQ237" s="45"/>
      <c r="FR237" s="45"/>
      <c r="FS237" s="45"/>
      <c r="FT237" s="45"/>
      <c r="FU237" s="45"/>
      <c r="FV237" s="45"/>
      <c r="FW237" s="45"/>
      <c r="FX237" s="45"/>
      <c r="FY237" s="45"/>
      <c r="FZ237" s="45"/>
      <c r="GA237" s="45"/>
      <c r="GB237" s="45"/>
      <c r="GC237" s="45"/>
      <c r="GD237" s="45"/>
      <c r="GE237" s="45"/>
      <c r="GF237" s="45"/>
      <c r="GG237" s="45"/>
      <c r="GH237" s="45"/>
      <c r="GI237" s="45"/>
      <c r="GJ237" s="45"/>
      <c r="GK237" s="45"/>
      <c r="GL237" s="45"/>
      <c r="GM237" s="45"/>
      <c r="GN237" s="45"/>
      <c r="GO237" s="45"/>
      <c r="GP237" s="45"/>
      <c r="GQ237" s="45"/>
      <c r="GR237" s="45"/>
      <c r="GS237" s="45"/>
      <c r="GT237" s="45"/>
      <c r="GU237" s="45"/>
      <c r="GV237" s="45"/>
      <c r="GW237" s="45"/>
      <c r="GX237" s="45"/>
      <c r="GY237" s="45"/>
      <c r="GZ237" s="45"/>
      <c r="HA237" s="45"/>
      <c r="HB237" s="45"/>
      <c r="HC237" s="45"/>
      <c r="HD237" s="45"/>
      <c r="HE237" s="45"/>
      <c r="HF237" s="45"/>
      <c r="HG237" s="45"/>
      <c r="HH237" s="45"/>
      <c r="HI237" s="45"/>
      <c r="HJ237" s="45"/>
      <c r="HK237" s="45"/>
      <c r="HL237" s="45"/>
      <c r="HM237" s="45"/>
      <c r="HN237" s="45"/>
      <c r="HO237" s="45"/>
      <c r="HP237" s="45"/>
      <c r="HQ237" s="45"/>
      <c r="HR237" s="45"/>
      <c r="HS237" s="45"/>
      <c r="HT237" s="45"/>
      <c r="HU237" s="45"/>
      <c r="HV237" s="45"/>
      <c r="HW237" s="45"/>
      <c r="HX237" s="45"/>
      <c r="HY237" s="45"/>
      <c r="HZ237" s="45"/>
      <c r="IA237" s="45"/>
      <c r="IB237" s="45"/>
      <c r="IC237" s="45"/>
      <c r="ID237" s="45"/>
      <c r="IE237" s="45"/>
      <c r="IF237" s="45"/>
      <c r="IG237" s="45"/>
      <c r="IH237" s="45"/>
      <c r="II237" s="45"/>
      <c r="IJ237" s="45"/>
      <c r="IK237" s="45"/>
      <c r="IL237" s="45"/>
      <c r="IM237" s="45"/>
      <c r="IN237" s="45"/>
      <c r="IO237" s="45"/>
      <c r="IP237" s="45"/>
      <c r="IQ237" s="45"/>
      <c r="IR237" s="45"/>
      <c r="IS237" s="45"/>
      <c r="IT237" s="45"/>
      <c r="IU237" s="45"/>
      <c r="IV237" s="45"/>
      <c r="IW237" s="45"/>
      <c r="IX237" s="45"/>
      <c r="IY237" s="45"/>
      <c r="IZ237" s="45"/>
      <c r="JA237" s="45"/>
      <c r="JB237" s="45"/>
      <c r="JC237" s="45"/>
      <c r="JD237" s="45"/>
      <c r="JE237" s="45"/>
      <c r="JF237" s="45"/>
      <c r="JG237" s="45"/>
      <c r="JH237" s="45"/>
      <c r="JI237" s="45"/>
      <c r="JJ237" s="45"/>
      <c r="JK237" s="45"/>
      <c r="JL237" s="45"/>
      <c r="JM237" s="45"/>
    </row>
    <row r="238" spans="1:273" s="259" customFormat="1" ht="123" customHeight="1" x14ac:dyDescent="0.25">
      <c r="A238" s="832">
        <v>216</v>
      </c>
      <c r="B238" s="833" t="s">
        <v>986</v>
      </c>
      <c r="C238" s="836">
        <v>80101706</v>
      </c>
      <c r="D238" s="174" t="s">
        <v>1326</v>
      </c>
      <c r="E238" s="836" t="s">
        <v>125</v>
      </c>
      <c r="F238" s="836">
        <v>1</v>
      </c>
      <c r="G238" s="834" t="s">
        <v>162</v>
      </c>
      <c r="H238" s="485">
        <v>8</v>
      </c>
      <c r="I238" s="836" t="s">
        <v>96</v>
      </c>
      <c r="J238" s="836" t="s">
        <v>847</v>
      </c>
      <c r="K238" s="836" t="s">
        <v>108</v>
      </c>
      <c r="L238" s="56">
        <v>56000000</v>
      </c>
      <c r="M238" s="69">
        <v>56000000</v>
      </c>
      <c r="N238" s="836" t="s">
        <v>81</v>
      </c>
      <c r="O238" s="836" t="s">
        <v>56</v>
      </c>
      <c r="P238" s="24" t="s">
        <v>126</v>
      </c>
      <c r="Q238" s="45"/>
      <c r="R238" s="172" t="s">
        <v>1513</v>
      </c>
      <c r="S238" s="172" t="s">
        <v>1514</v>
      </c>
      <c r="T238" s="28">
        <v>42493</v>
      </c>
      <c r="U238" s="1012" t="s">
        <v>1515</v>
      </c>
      <c r="V238" s="181" t="s">
        <v>212</v>
      </c>
      <c r="W238" s="1050">
        <v>56000000</v>
      </c>
      <c r="X238" s="138"/>
      <c r="Y238" s="134">
        <f t="shared" si="4"/>
        <v>56000000</v>
      </c>
      <c r="Z238" s="994" t="s">
        <v>1482</v>
      </c>
      <c r="AA238" s="411" t="s">
        <v>1436</v>
      </c>
      <c r="AB238" s="411" t="s">
        <v>225</v>
      </c>
      <c r="AC238" s="181"/>
      <c r="AD238" s="411" t="s">
        <v>56</v>
      </c>
      <c r="AE238" s="411" t="s">
        <v>56</v>
      </c>
      <c r="AF238" s="411" t="s">
        <v>56</v>
      </c>
      <c r="AG238" s="168" t="s">
        <v>1438</v>
      </c>
      <c r="AH238" s="169">
        <v>42493</v>
      </c>
      <c r="AI238" s="169">
        <v>42734</v>
      </c>
      <c r="AJ238" s="411" t="s">
        <v>346</v>
      </c>
      <c r="AK238" s="134" t="s">
        <v>347</v>
      </c>
      <c r="AL238" s="1153" t="s">
        <v>56</v>
      </c>
      <c r="AM238" s="1153" t="s">
        <v>56</v>
      </c>
      <c r="AN238" s="1153" t="s">
        <v>56</v>
      </c>
      <c r="AO238" s="1153" t="s">
        <v>56</v>
      </c>
      <c r="AP238" s="1153" t="s">
        <v>56</v>
      </c>
      <c r="AQ238" s="1153" t="s">
        <v>56</v>
      </c>
      <c r="AR238" s="1153" t="s">
        <v>56</v>
      </c>
      <c r="AS238" s="1153" t="s">
        <v>56</v>
      </c>
      <c r="AT238" s="1153">
        <v>7000000</v>
      </c>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c r="CN238" s="138"/>
      <c r="CO238" s="138"/>
      <c r="CP238" s="138"/>
      <c r="CQ238" s="138"/>
      <c r="CR238" s="138"/>
      <c r="CS238" s="138"/>
      <c r="CT238" s="138"/>
      <c r="CU238" s="138"/>
      <c r="CV238" s="138"/>
      <c r="CW238" s="138"/>
      <c r="CX238" s="138"/>
      <c r="CY238" s="138"/>
      <c r="CZ238" s="138"/>
      <c r="DA238" s="138"/>
      <c r="DB238" s="138"/>
      <c r="DC238" s="138"/>
      <c r="DD238" s="138"/>
      <c r="DE238" s="138"/>
      <c r="DF238" s="138"/>
      <c r="DG238" s="138"/>
      <c r="DH238" s="138"/>
      <c r="DI238" s="138"/>
      <c r="DJ238" s="138"/>
      <c r="DK238" s="138"/>
      <c r="DL238" s="138"/>
      <c r="DM238" s="138"/>
      <c r="DN238" s="138"/>
      <c r="DO238" s="138"/>
      <c r="DP238" s="138"/>
      <c r="DQ238" s="138"/>
      <c r="DR238" s="138"/>
      <c r="DS238" s="138"/>
      <c r="DT238" s="138"/>
      <c r="DU238" s="138"/>
      <c r="DV238" s="138"/>
      <c r="DW238" s="138"/>
      <c r="DX238" s="138"/>
      <c r="DY238" s="138"/>
      <c r="DZ238" s="138"/>
      <c r="EA238" s="138"/>
      <c r="EB238" s="138"/>
      <c r="EC238" s="138"/>
      <c r="ED238" s="138"/>
      <c r="EE238" s="138"/>
      <c r="EF238" s="138"/>
      <c r="EG238" s="138"/>
      <c r="EH238" s="138"/>
      <c r="EI238" s="138"/>
      <c r="EJ238" s="138"/>
      <c r="EK238" s="138"/>
      <c r="EL238" s="138"/>
      <c r="EM238" s="138"/>
      <c r="EN238" s="138"/>
      <c r="EO238" s="45"/>
      <c r="EP238" s="45"/>
      <c r="EQ238" s="45"/>
      <c r="ER238" s="45"/>
      <c r="ES238" s="45"/>
      <c r="ET238" s="45"/>
      <c r="EU238" s="45"/>
      <c r="EV238" s="45"/>
      <c r="EW238" s="45"/>
      <c r="EX238" s="45"/>
      <c r="EY238" s="45"/>
      <c r="EZ238" s="45"/>
      <c r="FA238" s="45"/>
      <c r="FB238" s="45"/>
      <c r="FC238" s="45"/>
      <c r="FD238" s="45"/>
      <c r="FE238" s="45"/>
      <c r="FF238" s="45"/>
      <c r="FG238" s="45"/>
      <c r="FH238" s="45"/>
      <c r="FI238" s="45"/>
      <c r="FJ238" s="45"/>
      <c r="FK238" s="45"/>
      <c r="FL238" s="45"/>
      <c r="FM238" s="45"/>
      <c r="FN238" s="45"/>
      <c r="FO238" s="45"/>
      <c r="FP238" s="45"/>
      <c r="FQ238" s="45"/>
      <c r="FR238" s="45"/>
      <c r="FS238" s="45"/>
      <c r="FT238" s="45"/>
      <c r="FU238" s="45"/>
      <c r="FV238" s="45"/>
      <c r="FW238" s="45"/>
      <c r="FX238" s="45"/>
      <c r="FY238" s="45"/>
      <c r="FZ238" s="45"/>
      <c r="GA238" s="45"/>
      <c r="GB238" s="45"/>
      <c r="GC238" s="45"/>
      <c r="GD238" s="45"/>
      <c r="GE238" s="45"/>
      <c r="GF238" s="45"/>
      <c r="GG238" s="45"/>
      <c r="GH238" s="45"/>
      <c r="GI238" s="45"/>
      <c r="GJ238" s="45"/>
      <c r="GK238" s="45"/>
      <c r="GL238" s="45"/>
      <c r="GM238" s="45"/>
      <c r="GN238" s="45"/>
      <c r="GO238" s="45"/>
      <c r="GP238" s="45"/>
      <c r="GQ238" s="45"/>
      <c r="GR238" s="45"/>
      <c r="GS238" s="45"/>
      <c r="GT238" s="45"/>
      <c r="GU238" s="45"/>
      <c r="GV238" s="45"/>
      <c r="GW238" s="45"/>
      <c r="GX238" s="45"/>
      <c r="GY238" s="45"/>
      <c r="GZ238" s="45"/>
      <c r="HA238" s="45"/>
      <c r="HB238" s="45"/>
      <c r="HC238" s="45"/>
      <c r="HD238" s="45"/>
      <c r="HE238" s="45"/>
      <c r="HF238" s="45"/>
      <c r="HG238" s="45"/>
      <c r="HH238" s="45"/>
      <c r="HI238" s="45"/>
      <c r="HJ238" s="45"/>
      <c r="HK238" s="45"/>
      <c r="HL238" s="45"/>
      <c r="HM238" s="45"/>
      <c r="HN238" s="45"/>
      <c r="HO238" s="45"/>
      <c r="HP238" s="45"/>
      <c r="HQ238" s="45"/>
      <c r="HR238" s="45"/>
      <c r="HS238" s="45"/>
      <c r="HT238" s="45"/>
      <c r="HU238" s="45"/>
      <c r="HV238" s="45"/>
      <c r="HW238" s="45"/>
      <c r="HX238" s="45"/>
      <c r="HY238" s="45"/>
      <c r="HZ238" s="45"/>
      <c r="IA238" s="45"/>
      <c r="IB238" s="45"/>
      <c r="IC238" s="45"/>
      <c r="ID238" s="45"/>
      <c r="IE238" s="45"/>
      <c r="IF238" s="45"/>
      <c r="IG238" s="45"/>
      <c r="IH238" s="45"/>
      <c r="II238" s="45"/>
      <c r="IJ238" s="45"/>
      <c r="IK238" s="45"/>
      <c r="IL238" s="45"/>
      <c r="IM238" s="45"/>
      <c r="IN238" s="45"/>
      <c r="IO238" s="45"/>
      <c r="IP238" s="45"/>
      <c r="IQ238" s="45"/>
      <c r="IR238" s="45"/>
      <c r="IS238" s="45"/>
      <c r="IT238" s="45"/>
      <c r="IU238" s="45"/>
      <c r="IV238" s="45"/>
      <c r="IW238" s="45"/>
      <c r="IX238" s="45"/>
      <c r="IY238" s="45"/>
      <c r="IZ238" s="45"/>
      <c r="JA238" s="45"/>
      <c r="JB238" s="45"/>
      <c r="JC238" s="45"/>
      <c r="JD238" s="45"/>
      <c r="JE238" s="45"/>
      <c r="JF238" s="45"/>
      <c r="JG238" s="45"/>
      <c r="JH238" s="45"/>
      <c r="JI238" s="45"/>
      <c r="JJ238" s="45"/>
      <c r="JK238" s="45"/>
      <c r="JL238" s="45"/>
      <c r="JM238" s="45"/>
    </row>
    <row r="239" spans="1:273" s="259" customFormat="1" ht="61.5" customHeight="1" x14ac:dyDescent="0.25">
      <c r="A239" s="832">
        <v>218</v>
      </c>
      <c r="B239" s="833" t="s">
        <v>986</v>
      </c>
      <c r="C239" s="836">
        <v>80101706</v>
      </c>
      <c r="D239" s="174" t="s">
        <v>1327</v>
      </c>
      <c r="E239" s="836" t="s">
        <v>125</v>
      </c>
      <c r="F239" s="836">
        <v>1</v>
      </c>
      <c r="G239" s="834" t="s">
        <v>165</v>
      </c>
      <c r="H239" s="485">
        <v>4</v>
      </c>
      <c r="I239" s="836" t="s">
        <v>96</v>
      </c>
      <c r="J239" s="836" t="s">
        <v>847</v>
      </c>
      <c r="K239" s="836" t="s">
        <v>108</v>
      </c>
      <c r="L239" s="56">
        <v>40000000</v>
      </c>
      <c r="M239" s="69">
        <v>40000000</v>
      </c>
      <c r="N239" s="836" t="s">
        <v>81</v>
      </c>
      <c r="O239" s="836" t="s">
        <v>56</v>
      </c>
      <c r="P239" s="24" t="s">
        <v>126</v>
      </c>
      <c r="Q239" s="45"/>
      <c r="R239" s="172" t="s">
        <v>2708</v>
      </c>
      <c r="S239" s="172" t="s">
        <v>2709</v>
      </c>
      <c r="T239" s="28">
        <v>42503</v>
      </c>
      <c r="U239" s="1012" t="s">
        <v>2710</v>
      </c>
      <c r="V239" s="181" t="s">
        <v>212</v>
      </c>
      <c r="W239" s="1050">
        <v>40000000</v>
      </c>
      <c r="X239" s="138"/>
      <c r="Y239" s="134">
        <f t="shared" si="4"/>
        <v>40000000</v>
      </c>
      <c r="Z239" s="994" t="s">
        <v>2711</v>
      </c>
      <c r="AA239" s="411" t="s">
        <v>2712</v>
      </c>
      <c r="AB239" s="411" t="s">
        <v>225</v>
      </c>
      <c r="AC239" s="181" t="s">
        <v>2713</v>
      </c>
      <c r="AD239" s="411" t="s">
        <v>56</v>
      </c>
      <c r="AE239" s="411" t="s">
        <v>56</v>
      </c>
      <c r="AF239" s="411" t="s">
        <v>56</v>
      </c>
      <c r="AG239" s="168" t="s">
        <v>2714</v>
      </c>
      <c r="AH239" s="169">
        <v>42503</v>
      </c>
      <c r="AI239" s="169">
        <v>42625</v>
      </c>
      <c r="AJ239" s="411" t="s">
        <v>2715</v>
      </c>
      <c r="AK239" s="134" t="s">
        <v>390</v>
      </c>
      <c r="AL239" s="1148" t="s">
        <v>56</v>
      </c>
      <c r="AM239" s="1148" t="s">
        <v>56</v>
      </c>
      <c r="AN239" s="1148" t="s">
        <v>56</v>
      </c>
      <c r="AO239" s="1148" t="s">
        <v>56</v>
      </c>
      <c r="AP239" s="1148" t="s">
        <v>56</v>
      </c>
      <c r="AQ239" s="1148" t="s">
        <v>56</v>
      </c>
      <c r="AR239" s="1237">
        <v>10000000</v>
      </c>
      <c r="AS239" s="138"/>
      <c r="AT239" s="1237">
        <v>10000000</v>
      </c>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c r="CN239" s="138"/>
      <c r="CO239" s="138"/>
      <c r="CP239" s="138"/>
      <c r="CQ239" s="138"/>
      <c r="CR239" s="138"/>
      <c r="CS239" s="138"/>
      <c r="CT239" s="138"/>
      <c r="CU239" s="138"/>
      <c r="CV239" s="138"/>
      <c r="CW239" s="138"/>
      <c r="CX239" s="138"/>
      <c r="CY239" s="138"/>
      <c r="CZ239" s="138"/>
      <c r="DA239" s="138"/>
      <c r="DB239" s="138"/>
      <c r="DC239" s="138"/>
      <c r="DD239" s="138"/>
      <c r="DE239" s="138"/>
      <c r="DF239" s="138"/>
      <c r="DG239" s="138"/>
      <c r="DH239" s="138"/>
      <c r="DI239" s="138"/>
      <c r="DJ239" s="138"/>
      <c r="DK239" s="138"/>
      <c r="DL239" s="138"/>
      <c r="DM239" s="138"/>
      <c r="DN239" s="138"/>
      <c r="DO239" s="138"/>
      <c r="DP239" s="138"/>
      <c r="DQ239" s="138"/>
      <c r="DR239" s="138"/>
      <c r="DS239" s="138"/>
      <c r="DT239" s="138"/>
      <c r="DU239" s="138"/>
      <c r="DV239" s="138"/>
      <c r="DW239" s="138"/>
      <c r="DX239" s="138"/>
      <c r="DY239" s="138"/>
      <c r="DZ239" s="138"/>
      <c r="EA239" s="138"/>
      <c r="EB239" s="138"/>
      <c r="EC239" s="138"/>
      <c r="ED239" s="138"/>
      <c r="EE239" s="138"/>
      <c r="EF239" s="138"/>
      <c r="EG239" s="138"/>
      <c r="EH239" s="138"/>
      <c r="EI239" s="138"/>
      <c r="EJ239" s="138"/>
      <c r="EK239" s="138"/>
      <c r="EL239" s="138"/>
      <c r="EM239" s="138"/>
      <c r="EN239" s="138"/>
      <c r="EO239" s="45"/>
      <c r="EP239" s="45"/>
      <c r="EQ239" s="45"/>
      <c r="ER239" s="45"/>
      <c r="ES239" s="45"/>
      <c r="ET239" s="45"/>
      <c r="EU239" s="45"/>
      <c r="EV239" s="45"/>
      <c r="EW239" s="45"/>
      <c r="EX239" s="45"/>
      <c r="EY239" s="45"/>
      <c r="EZ239" s="45"/>
      <c r="FA239" s="45"/>
      <c r="FB239" s="45"/>
      <c r="FC239" s="45"/>
      <c r="FD239" s="45"/>
      <c r="FE239" s="45"/>
      <c r="FF239" s="45"/>
      <c r="FG239" s="45"/>
      <c r="FH239" s="45"/>
      <c r="FI239" s="45"/>
      <c r="FJ239" s="45"/>
      <c r="FK239" s="45"/>
      <c r="FL239" s="45"/>
      <c r="FM239" s="45"/>
      <c r="FN239" s="45"/>
      <c r="FO239" s="45"/>
      <c r="FP239" s="45"/>
      <c r="FQ239" s="45"/>
      <c r="FR239" s="45"/>
      <c r="FS239" s="45"/>
      <c r="FT239" s="45"/>
      <c r="FU239" s="45"/>
      <c r="FV239" s="45"/>
      <c r="FW239" s="45"/>
      <c r="FX239" s="45"/>
      <c r="FY239" s="45"/>
      <c r="FZ239" s="45"/>
      <c r="GA239" s="45"/>
      <c r="GB239" s="45"/>
      <c r="GC239" s="45"/>
      <c r="GD239" s="45"/>
      <c r="GE239" s="45"/>
      <c r="GF239" s="45"/>
      <c r="GG239" s="45"/>
      <c r="GH239" s="45"/>
      <c r="GI239" s="45"/>
      <c r="GJ239" s="45"/>
      <c r="GK239" s="45"/>
      <c r="GL239" s="45"/>
      <c r="GM239" s="45"/>
      <c r="GN239" s="45"/>
      <c r="GO239" s="45"/>
      <c r="GP239" s="45"/>
      <c r="GQ239" s="45"/>
      <c r="GR239" s="45"/>
      <c r="GS239" s="45"/>
      <c r="GT239" s="45"/>
      <c r="GU239" s="45"/>
      <c r="GV239" s="45"/>
      <c r="GW239" s="45"/>
      <c r="GX239" s="45"/>
      <c r="GY239" s="45"/>
      <c r="GZ239" s="45"/>
      <c r="HA239" s="45"/>
      <c r="HB239" s="45"/>
      <c r="HC239" s="45"/>
      <c r="HD239" s="45"/>
      <c r="HE239" s="45"/>
      <c r="HF239" s="45"/>
      <c r="HG239" s="45"/>
      <c r="HH239" s="45"/>
      <c r="HI239" s="45"/>
      <c r="HJ239" s="45"/>
      <c r="HK239" s="45"/>
      <c r="HL239" s="45"/>
      <c r="HM239" s="45"/>
      <c r="HN239" s="45"/>
      <c r="HO239" s="45"/>
      <c r="HP239" s="45"/>
      <c r="HQ239" s="45"/>
      <c r="HR239" s="45"/>
      <c r="HS239" s="45"/>
      <c r="HT239" s="45"/>
      <c r="HU239" s="45"/>
      <c r="HV239" s="45"/>
      <c r="HW239" s="45"/>
      <c r="HX239" s="45"/>
      <c r="HY239" s="45"/>
      <c r="HZ239" s="45"/>
      <c r="IA239" s="45"/>
      <c r="IB239" s="45"/>
      <c r="IC239" s="45"/>
      <c r="ID239" s="45"/>
      <c r="IE239" s="45"/>
      <c r="IF239" s="45"/>
      <c r="IG239" s="45"/>
      <c r="IH239" s="45"/>
      <c r="II239" s="45"/>
      <c r="IJ239" s="45"/>
      <c r="IK239" s="45"/>
      <c r="IL239" s="45"/>
      <c r="IM239" s="45"/>
      <c r="IN239" s="45"/>
      <c r="IO239" s="45"/>
      <c r="IP239" s="45"/>
      <c r="IQ239" s="45"/>
      <c r="IR239" s="45"/>
      <c r="IS239" s="45"/>
      <c r="IT239" s="45"/>
      <c r="IU239" s="45"/>
      <c r="IV239" s="45"/>
      <c r="IW239" s="45"/>
      <c r="IX239" s="45"/>
      <c r="IY239" s="45"/>
      <c r="IZ239" s="45"/>
      <c r="JA239" s="45"/>
      <c r="JB239" s="45"/>
      <c r="JC239" s="45"/>
      <c r="JD239" s="45"/>
      <c r="JE239" s="45"/>
      <c r="JF239" s="45"/>
      <c r="JG239" s="45"/>
      <c r="JH239" s="45"/>
      <c r="JI239" s="45"/>
      <c r="JJ239" s="45"/>
      <c r="JK239" s="45"/>
      <c r="JL239" s="45"/>
      <c r="JM239" s="45"/>
    </row>
    <row r="240" spans="1:273" s="259" customFormat="1" ht="46.5" customHeight="1" x14ac:dyDescent="0.25">
      <c r="A240" s="832">
        <v>219</v>
      </c>
      <c r="B240" s="833" t="s">
        <v>987</v>
      </c>
      <c r="C240" s="836">
        <v>80101706</v>
      </c>
      <c r="D240" s="174" t="s">
        <v>1328</v>
      </c>
      <c r="E240" s="836" t="s">
        <v>125</v>
      </c>
      <c r="F240" s="836">
        <v>1</v>
      </c>
      <c r="G240" s="834" t="s">
        <v>167</v>
      </c>
      <c r="H240" s="485">
        <v>2</v>
      </c>
      <c r="I240" s="836" t="s">
        <v>96</v>
      </c>
      <c r="J240" s="836" t="s">
        <v>844</v>
      </c>
      <c r="K240" s="836" t="s">
        <v>108</v>
      </c>
      <c r="L240" s="56">
        <v>13000000</v>
      </c>
      <c r="M240" s="69">
        <v>13000000</v>
      </c>
      <c r="N240" s="836" t="s">
        <v>81</v>
      </c>
      <c r="O240" s="836" t="s">
        <v>56</v>
      </c>
      <c r="P240" s="24" t="s">
        <v>126</v>
      </c>
      <c r="Q240" s="45"/>
      <c r="R240" s="138"/>
      <c r="S240" s="637"/>
      <c r="T240" s="138"/>
      <c r="U240" s="138"/>
      <c r="V240" s="138"/>
      <c r="W240" s="138"/>
      <c r="X240" s="138"/>
      <c r="Y240" s="134">
        <f t="shared" si="4"/>
        <v>0</v>
      </c>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c r="CN240" s="138"/>
      <c r="CO240" s="138"/>
      <c r="CP240" s="138"/>
      <c r="CQ240" s="138"/>
      <c r="CR240" s="138"/>
      <c r="CS240" s="138"/>
      <c r="CT240" s="138"/>
      <c r="CU240" s="138"/>
      <c r="CV240" s="138"/>
      <c r="CW240" s="138"/>
      <c r="CX240" s="138"/>
      <c r="CY240" s="138"/>
      <c r="CZ240" s="138"/>
      <c r="DA240" s="138"/>
      <c r="DB240" s="138"/>
      <c r="DC240" s="138"/>
      <c r="DD240" s="138"/>
      <c r="DE240" s="138"/>
      <c r="DF240" s="138"/>
      <c r="DG240" s="138"/>
      <c r="DH240" s="138"/>
      <c r="DI240" s="138"/>
      <c r="DJ240" s="138"/>
      <c r="DK240" s="138"/>
      <c r="DL240" s="138"/>
      <c r="DM240" s="138"/>
      <c r="DN240" s="138"/>
      <c r="DO240" s="138"/>
      <c r="DP240" s="138"/>
      <c r="DQ240" s="138"/>
      <c r="DR240" s="138"/>
      <c r="DS240" s="138"/>
      <c r="DT240" s="138"/>
      <c r="DU240" s="138"/>
      <c r="DV240" s="138"/>
      <c r="DW240" s="138"/>
      <c r="DX240" s="138"/>
      <c r="DY240" s="138"/>
      <c r="DZ240" s="138"/>
      <c r="EA240" s="138"/>
      <c r="EB240" s="138"/>
      <c r="EC240" s="138"/>
      <c r="ED240" s="138"/>
      <c r="EE240" s="138"/>
      <c r="EF240" s="138"/>
      <c r="EG240" s="138"/>
      <c r="EH240" s="138"/>
      <c r="EI240" s="138"/>
      <c r="EJ240" s="138"/>
      <c r="EK240" s="138"/>
      <c r="EL240" s="138"/>
      <c r="EM240" s="138"/>
      <c r="EN240" s="138"/>
      <c r="EO240" s="45"/>
      <c r="EP240" s="45"/>
      <c r="EQ240" s="45"/>
      <c r="ER240" s="45"/>
      <c r="ES240" s="45"/>
      <c r="ET240" s="45"/>
      <c r="EU240" s="45"/>
      <c r="EV240" s="45"/>
      <c r="EW240" s="45"/>
      <c r="EX240" s="45"/>
      <c r="EY240" s="45"/>
      <c r="EZ240" s="45"/>
      <c r="FA240" s="45"/>
      <c r="FB240" s="45"/>
      <c r="FC240" s="45"/>
      <c r="FD240" s="45"/>
      <c r="FE240" s="45"/>
      <c r="FF240" s="45"/>
      <c r="FG240" s="45"/>
      <c r="FH240" s="45"/>
      <c r="FI240" s="45"/>
      <c r="FJ240" s="45"/>
      <c r="FK240" s="45"/>
      <c r="FL240" s="45"/>
      <c r="FM240" s="45"/>
      <c r="FN240" s="45"/>
      <c r="FO240" s="45"/>
      <c r="FP240" s="45"/>
      <c r="FQ240" s="45"/>
      <c r="FR240" s="45"/>
      <c r="FS240" s="45"/>
      <c r="FT240" s="45"/>
      <c r="FU240" s="45"/>
      <c r="FV240" s="45"/>
      <c r="FW240" s="45"/>
      <c r="FX240" s="45"/>
      <c r="FY240" s="45"/>
      <c r="FZ240" s="45"/>
      <c r="GA240" s="45"/>
      <c r="GB240" s="45"/>
      <c r="GC240" s="45"/>
      <c r="GD240" s="45"/>
      <c r="GE240" s="45"/>
      <c r="GF240" s="45"/>
      <c r="GG240" s="45"/>
      <c r="GH240" s="45"/>
      <c r="GI240" s="45"/>
      <c r="GJ240" s="45"/>
      <c r="GK240" s="45"/>
      <c r="GL240" s="45"/>
      <c r="GM240" s="45"/>
      <c r="GN240" s="45"/>
      <c r="GO240" s="45"/>
      <c r="GP240" s="45"/>
      <c r="GQ240" s="45"/>
      <c r="GR240" s="45"/>
      <c r="GS240" s="45"/>
      <c r="GT240" s="45"/>
      <c r="GU240" s="45"/>
      <c r="GV240" s="45"/>
      <c r="GW240" s="45"/>
      <c r="GX240" s="45"/>
      <c r="GY240" s="45"/>
      <c r="GZ240" s="45"/>
      <c r="HA240" s="45"/>
      <c r="HB240" s="45"/>
      <c r="HC240" s="45"/>
      <c r="HD240" s="45"/>
      <c r="HE240" s="45"/>
      <c r="HF240" s="45"/>
      <c r="HG240" s="45"/>
      <c r="HH240" s="45"/>
      <c r="HI240" s="45"/>
      <c r="HJ240" s="45"/>
      <c r="HK240" s="45"/>
      <c r="HL240" s="45"/>
      <c r="HM240" s="45"/>
      <c r="HN240" s="45"/>
      <c r="HO240" s="45"/>
      <c r="HP240" s="45"/>
      <c r="HQ240" s="45"/>
      <c r="HR240" s="45"/>
      <c r="HS240" s="45"/>
      <c r="HT240" s="45"/>
      <c r="HU240" s="45"/>
      <c r="HV240" s="45"/>
      <c r="HW240" s="45"/>
      <c r="HX240" s="45"/>
      <c r="HY240" s="45"/>
      <c r="HZ240" s="45"/>
      <c r="IA240" s="45"/>
      <c r="IB240" s="45"/>
      <c r="IC240" s="45"/>
      <c r="ID240" s="45"/>
      <c r="IE240" s="45"/>
      <c r="IF240" s="45"/>
      <c r="IG240" s="45"/>
      <c r="IH240" s="45"/>
      <c r="II240" s="45"/>
      <c r="IJ240" s="45"/>
      <c r="IK240" s="45"/>
      <c r="IL240" s="45"/>
      <c r="IM240" s="45"/>
      <c r="IN240" s="45"/>
      <c r="IO240" s="45"/>
      <c r="IP240" s="45"/>
      <c r="IQ240" s="45"/>
      <c r="IR240" s="45"/>
      <c r="IS240" s="45"/>
      <c r="IT240" s="45"/>
      <c r="IU240" s="45"/>
      <c r="IV240" s="45"/>
      <c r="IW240" s="45"/>
      <c r="IX240" s="45"/>
      <c r="IY240" s="45"/>
      <c r="IZ240" s="45"/>
      <c r="JA240" s="45"/>
      <c r="JB240" s="45"/>
      <c r="JC240" s="45"/>
      <c r="JD240" s="45"/>
      <c r="JE240" s="45"/>
      <c r="JF240" s="45"/>
      <c r="JG240" s="45"/>
      <c r="JH240" s="45"/>
      <c r="JI240" s="45"/>
      <c r="JJ240" s="45"/>
      <c r="JK240" s="45"/>
      <c r="JL240" s="45"/>
      <c r="JM240" s="45"/>
    </row>
    <row r="241" spans="1:144" ht="105.75" customHeight="1" x14ac:dyDescent="0.25">
      <c r="A241" s="832">
        <v>220</v>
      </c>
      <c r="B241" s="833" t="s">
        <v>987</v>
      </c>
      <c r="C241" s="836">
        <v>80101706</v>
      </c>
      <c r="D241" s="174" t="s">
        <v>945</v>
      </c>
      <c r="E241" s="836" t="s">
        <v>125</v>
      </c>
      <c r="F241" s="836">
        <v>1</v>
      </c>
      <c r="G241" s="834" t="s">
        <v>165</v>
      </c>
      <c r="H241" s="485">
        <v>8</v>
      </c>
      <c r="I241" s="836" t="s">
        <v>96</v>
      </c>
      <c r="J241" s="836" t="s">
        <v>847</v>
      </c>
      <c r="K241" s="836" t="s">
        <v>108</v>
      </c>
      <c r="L241" s="56">
        <v>29400000</v>
      </c>
      <c r="M241" s="69">
        <v>29400000</v>
      </c>
      <c r="N241" s="836" t="s">
        <v>81</v>
      </c>
      <c r="O241" s="836" t="s">
        <v>56</v>
      </c>
      <c r="P241" s="24" t="s">
        <v>126</v>
      </c>
      <c r="Q241" s="45"/>
      <c r="R241" s="172" t="s">
        <v>2716</v>
      </c>
      <c r="S241" s="172" t="s">
        <v>2717</v>
      </c>
      <c r="T241" s="28">
        <v>42496</v>
      </c>
      <c r="U241" s="1012" t="s">
        <v>2718</v>
      </c>
      <c r="V241" s="181" t="s">
        <v>212</v>
      </c>
      <c r="W241" s="1050">
        <v>27930000</v>
      </c>
      <c r="X241" s="138"/>
      <c r="Y241" s="134">
        <f t="shared" si="4"/>
        <v>27930000</v>
      </c>
      <c r="Z241" s="994" t="s">
        <v>2719</v>
      </c>
      <c r="AA241" s="411" t="s">
        <v>2720</v>
      </c>
      <c r="AB241" s="411" t="s">
        <v>225</v>
      </c>
      <c r="AC241" s="181" t="s">
        <v>2721</v>
      </c>
      <c r="AD241" s="411" t="s">
        <v>56</v>
      </c>
      <c r="AE241" s="411" t="s">
        <v>56</v>
      </c>
      <c r="AF241" s="411" t="s">
        <v>56</v>
      </c>
      <c r="AG241" s="168" t="s">
        <v>2722</v>
      </c>
      <c r="AH241" s="169">
        <v>42496</v>
      </c>
      <c r="AI241" s="169">
        <v>42726</v>
      </c>
      <c r="AJ241" s="411" t="s">
        <v>1147</v>
      </c>
      <c r="AK241" s="134" t="s">
        <v>241</v>
      </c>
      <c r="AL241" s="1148" t="s">
        <v>56</v>
      </c>
      <c r="AM241" s="1148" t="s">
        <v>56</v>
      </c>
      <c r="AN241" s="1148" t="s">
        <v>56</v>
      </c>
      <c r="AO241" s="1148" t="s">
        <v>56</v>
      </c>
      <c r="AP241" s="1148" t="s">
        <v>56</v>
      </c>
      <c r="AQ241" s="1148" t="s">
        <v>56</v>
      </c>
      <c r="AR241" s="1153">
        <v>3675000</v>
      </c>
      <c r="AS241" s="138"/>
      <c r="AT241" s="1153">
        <v>3675000</v>
      </c>
      <c r="AU241" s="1153">
        <v>3675000</v>
      </c>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c r="CN241" s="138"/>
      <c r="CO241" s="138"/>
      <c r="CP241" s="138"/>
      <c r="CQ241" s="138"/>
      <c r="CR241" s="138"/>
      <c r="CS241" s="138"/>
      <c r="CT241" s="138"/>
      <c r="CU241" s="138"/>
      <c r="CV241" s="138"/>
      <c r="CW241" s="138"/>
      <c r="CX241" s="138"/>
      <c r="CY241" s="138"/>
      <c r="CZ241" s="138"/>
      <c r="DA241" s="138"/>
      <c r="DB241" s="138"/>
      <c r="DC241" s="138"/>
      <c r="DD241" s="138"/>
      <c r="DE241" s="138"/>
      <c r="DF241" s="138"/>
      <c r="DG241" s="138"/>
      <c r="DH241" s="138"/>
      <c r="DI241" s="138"/>
      <c r="DJ241" s="138"/>
      <c r="DK241" s="138"/>
      <c r="DL241" s="138"/>
      <c r="DM241" s="138"/>
      <c r="DN241" s="138"/>
      <c r="DO241" s="138"/>
      <c r="DP241" s="138"/>
      <c r="DQ241" s="138"/>
      <c r="DR241" s="138"/>
      <c r="DS241" s="138"/>
      <c r="DT241" s="138"/>
      <c r="DU241" s="138"/>
      <c r="DV241" s="138"/>
      <c r="DW241" s="138"/>
      <c r="DX241" s="138"/>
      <c r="DY241" s="138"/>
      <c r="DZ241" s="138"/>
      <c r="EA241" s="138"/>
      <c r="EB241" s="138"/>
      <c r="EC241" s="138"/>
      <c r="ED241" s="138"/>
      <c r="EE241" s="138"/>
      <c r="EF241" s="138"/>
      <c r="EG241" s="138"/>
      <c r="EH241" s="138"/>
      <c r="EI241" s="138"/>
      <c r="EJ241" s="138"/>
      <c r="EK241" s="138"/>
      <c r="EL241" s="138"/>
      <c r="EM241" s="138"/>
      <c r="EN241" s="138"/>
    </row>
    <row r="242" spans="1:144" ht="73.5" customHeight="1" x14ac:dyDescent="0.25">
      <c r="A242" s="832">
        <v>225</v>
      </c>
      <c r="B242" s="840" t="s">
        <v>988</v>
      </c>
      <c r="C242" s="838">
        <v>80101706</v>
      </c>
      <c r="D242" s="1278" t="s">
        <v>1329</v>
      </c>
      <c r="E242" s="838" t="s">
        <v>125</v>
      </c>
      <c r="F242" s="838">
        <v>1</v>
      </c>
      <c r="G242" s="842" t="s">
        <v>165</v>
      </c>
      <c r="H242" s="844">
        <v>6</v>
      </c>
      <c r="I242" s="838" t="s">
        <v>96</v>
      </c>
      <c r="J242" s="838" t="s">
        <v>847</v>
      </c>
      <c r="K242" s="838" t="s">
        <v>108</v>
      </c>
      <c r="L242" s="1187">
        <v>60000000</v>
      </c>
      <c r="M242" s="69">
        <v>60000000</v>
      </c>
      <c r="N242" s="838" t="s">
        <v>81</v>
      </c>
      <c r="O242" s="838" t="s">
        <v>56</v>
      </c>
      <c r="P242" s="795" t="s">
        <v>126</v>
      </c>
      <c r="Q242" s="45"/>
      <c r="R242" s="172" t="s">
        <v>2723</v>
      </c>
      <c r="S242" s="172" t="s">
        <v>2724</v>
      </c>
      <c r="T242" s="28">
        <v>42522</v>
      </c>
      <c r="U242" s="1012" t="s">
        <v>2725</v>
      </c>
      <c r="V242" s="181" t="s">
        <v>212</v>
      </c>
      <c r="W242" s="1050">
        <v>60000000</v>
      </c>
      <c r="X242" s="138"/>
      <c r="Y242" s="134">
        <f t="shared" si="4"/>
        <v>60000000</v>
      </c>
      <c r="Z242" s="994" t="s">
        <v>2726</v>
      </c>
      <c r="AA242" s="411" t="s">
        <v>2727</v>
      </c>
      <c r="AB242" s="411" t="s">
        <v>225</v>
      </c>
      <c r="AC242" s="181" t="s">
        <v>2728</v>
      </c>
      <c r="AD242" s="411" t="s">
        <v>56</v>
      </c>
      <c r="AE242" s="411" t="s">
        <v>56</v>
      </c>
      <c r="AF242" s="411" t="s">
        <v>56</v>
      </c>
      <c r="AG242" s="168" t="s">
        <v>2729</v>
      </c>
      <c r="AH242" s="169">
        <v>42522</v>
      </c>
      <c r="AI242" s="169">
        <v>42704</v>
      </c>
      <c r="AJ242" s="411" t="s">
        <v>2684</v>
      </c>
      <c r="AK242" s="134" t="s">
        <v>1186</v>
      </c>
      <c r="AL242" s="1148" t="s">
        <v>56</v>
      </c>
      <c r="AM242" s="1148" t="s">
        <v>56</v>
      </c>
      <c r="AN242" s="1148" t="s">
        <v>56</v>
      </c>
      <c r="AO242" s="1148" t="s">
        <v>56</v>
      </c>
      <c r="AP242" s="1148" t="s">
        <v>56</v>
      </c>
      <c r="AQ242" s="1148" t="s">
        <v>56</v>
      </c>
      <c r="AR242" s="1148" t="s">
        <v>56</v>
      </c>
      <c r="AS242" s="1148" t="s">
        <v>56</v>
      </c>
      <c r="AT242" s="1153">
        <v>10000000</v>
      </c>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c r="CN242" s="138"/>
      <c r="CO242" s="138"/>
      <c r="CP242" s="138"/>
      <c r="CQ242" s="138"/>
      <c r="CR242" s="138"/>
      <c r="CS242" s="138"/>
      <c r="CT242" s="138"/>
      <c r="CU242" s="138"/>
      <c r="CV242" s="138"/>
      <c r="CW242" s="138"/>
      <c r="CX242" s="138"/>
      <c r="CY242" s="138"/>
      <c r="CZ242" s="138"/>
      <c r="DA242" s="138"/>
      <c r="DB242" s="138"/>
      <c r="DC242" s="138"/>
      <c r="DD242" s="138"/>
      <c r="DE242" s="138"/>
      <c r="DF242" s="138"/>
      <c r="DG242" s="138"/>
      <c r="DH242" s="138"/>
      <c r="DI242" s="138"/>
      <c r="DJ242" s="138"/>
      <c r="DK242" s="138"/>
      <c r="DL242" s="138"/>
      <c r="DM242" s="138"/>
      <c r="DN242" s="138"/>
      <c r="DO242" s="138"/>
      <c r="DP242" s="138"/>
      <c r="DQ242" s="138"/>
      <c r="DR242" s="138"/>
      <c r="DS242" s="138"/>
      <c r="DT242" s="138"/>
      <c r="DU242" s="138"/>
      <c r="DV242" s="138"/>
      <c r="DW242" s="138"/>
      <c r="DX242" s="138"/>
      <c r="DY242" s="138"/>
      <c r="DZ242" s="138"/>
      <c r="EA242" s="138"/>
      <c r="EB242" s="138"/>
      <c r="EC242" s="138"/>
      <c r="ED242" s="138"/>
      <c r="EE242" s="138"/>
      <c r="EF242" s="138"/>
      <c r="EG242" s="138"/>
      <c r="EH242" s="138"/>
      <c r="EI242" s="138"/>
      <c r="EJ242" s="138"/>
      <c r="EK242" s="138"/>
      <c r="EL242" s="138"/>
      <c r="EM242" s="138"/>
      <c r="EN242" s="138"/>
    </row>
    <row r="243" spans="1:144" ht="71.25" customHeight="1" x14ac:dyDescent="0.25">
      <c r="A243" s="832">
        <v>226</v>
      </c>
      <c r="B243" s="833" t="s">
        <v>990</v>
      </c>
      <c r="C243" s="836">
        <v>80101706</v>
      </c>
      <c r="D243" s="831" t="s">
        <v>1330</v>
      </c>
      <c r="E243" s="836" t="s">
        <v>125</v>
      </c>
      <c r="F243" s="836">
        <v>1</v>
      </c>
      <c r="G243" s="834" t="s">
        <v>969</v>
      </c>
      <c r="H243" s="485">
        <v>6</v>
      </c>
      <c r="I243" s="836" t="s">
        <v>96</v>
      </c>
      <c r="J243" s="836" t="s">
        <v>847</v>
      </c>
      <c r="K243" s="836" t="s">
        <v>108</v>
      </c>
      <c r="L243" s="56">
        <v>42000000</v>
      </c>
      <c r="M243" s="69">
        <v>42000000</v>
      </c>
      <c r="N243" s="836" t="s">
        <v>81</v>
      </c>
      <c r="O243" s="836" t="s">
        <v>56</v>
      </c>
      <c r="P243" s="24" t="s">
        <v>126</v>
      </c>
      <c r="Q243" s="45"/>
      <c r="R243" s="172" t="s">
        <v>2979</v>
      </c>
      <c r="S243" s="1004" t="s">
        <v>2980</v>
      </c>
      <c r="T243" s="28">
        <v>42576</v>
      </c>
      <c r="U243" s="29" t="s">
        <v>2981</v>
      </c>
      <c r="V243" s="181" t="s">
        <v>212</v>
      </c>
      <c r="W243" s="1050">
        <v>30450000</v>
      </c>
      <c r="X243" s="138"/>
      <c r="Y243" s="134">
        <f t="shared" ref="Y243" si="5">SUM(W243+X243)</f>
        <v>30450000</v>
      </c>
      <c r="Z243" s="831" t="s">
        <v>2982</v>
      </c>
      <c r="AA243" s="411" t="s">
        <v>2983</v>
      </c>
      <c r="AB243" s="411" t="s">
        <v>225</v>
      </c>
      <c r="AC243" s="181" t="s">
        <v>2984</v>
      </c>
      <c r="AD243" s="411" t="s">
        <v>56</v>
      </c>
      <c r="AE243" s="411" t="s">
        <v>56</v>
      </c>
      <c r="AF243" s="411" t="s">
        <v>56</v>
      </c>
      <c r="AG243" s="831" t="s">
        <v>2985</v>
      </c>
      <c r="AH243" s="169">
        <v>42576</v>
      </c>
      <c r="AI243" s="169">
        <v>42728</v>
      </c>
      <c r="AJ243" s="411" t="s">
        <v>1169</v>
      </c>
      <c r="AK243" s="134" t="s">
        <v>1040</v>
      </c>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c r="CN243" s="138"/>
      <c r="CO243" s="138"/>
      <c r="CP243" s="138"/>
      <c r="CQ243" s="138"/>
      <c r="CR243" s="138"/>
      <c r="CS243" s="138"/>
      <c r="CT243" s="138"/>
      <c r="CU243" s="138"/>
      <c r="CV243" s="138"/>
      <c r="CW243" s="138"/>
      <c r="CX243" s="138"/>
      <c r="CY243" s="138"/>
      <c r="CZ243" s="138"/>
      <c r="DA243" s="138"/>
      <c r="DB243" s="138"/>
      <c r="DC243" s="138"/>
      <c r="DD243" s="138"/>
      <c r="DE243" s="138"/>
      <c r="DF243" s="138"/>
      <c r="DG243" s="138"/>
      <c r="DH243" s="138"/>
      <c r="DI243" s="138"/>
      <c r="DJ243" s="138"/>
      <c r="DK243" s="138"/>
      <c r="DL243" s="138"/>
      <c r="DM243" s="138"/>
      <c r="DN243" s="138"/>
      <c r="DO243" s="138"/>
      <c r="DP243" s="138"/>
      <c r="DQ243" s="138"/>
      <c r="DR243" s="138"/>
      <c r="DS243" s="138"/>
      <c r="DT243" s="138"/>
      <c r="DU243" s="138"/>
      <c r="DV243" s="138"/>
      <c r="DW243" s="138"/>
      <c r="DX243" s="138"/>
      <c r="DY243" s="138"/>
      <c r="DZ243" s="138"/>
      <c r="EA243" s="138"/>
      <c r="EB243" s="138"/>
      <c r="EC243" s="138"/>
      <c r="ED243" s="138"/>
      <c r="EE243" s="138"/>
      <c r="EF243" s="138"/>
      <c r="EG243" s="138"/>
      <c r="EH243" s="138"/>
      <c r="EI243" s="138"/>
      <c r="EJ243" s="138"/>
      <c r="EK243" s="138"/>
      <c r="EL243" s="138"/>
      <c r="EM243" s="138"/>
      <c r="EN243" s="138"/>
    </row>
    <row r="244" spans="1:144" ht="71.25" customHeight="1" x14ac:dyDescent="0.25">
      <c r="A244" s="832">
        <v>227</v>
      </c>
      <c r="B244" s="833" t="s">
        <v>990</v>
      </c>
      <c r="C244" s="836">
        <v>80101706</v>
      </c>
      <c r="D244" s="831" t="s">
        <v>1331</v>
      </c>
      <c r="E244" s="836" t="s">
        <v>125</v>
      </c>
      <c r="F244" s="836">
        <v>1</v>
      </c>
      <c r="G244" s="834" t="s">
        <v>969</v>
      </c>
      <c r="H244" s="485">
        <v>6</v>
      </c>
      <c r="I244" s="836" t="s">
        <v>96</v>
      </c>
      <c r="J244" s="836" t="s">
        <v>847</v>
      </c>
      <c r="K244" s="836" t="s">
        <v>108</v>
      </c>
      <c r="L244" s="56">
        <v>42000000</v>
      </c>
      <c r="M244" s="69">
        <v>42000000</v>
      </c>
      <c r="N244" s="836" t="s">
        <v>81</v>
      </c>
      <c r="O244" s="836" t="s">
        <v>56</v>
      </c>
      <c r="P244" s="24" t="s">
        <v>126</v>
      </c>
      <c r="Q244" s="45"/>
      <c r="R244" s="172" t="s">
        <v>2977</v>
      </c>
      <c r="S244" s="172" t="s">
        <v>2986</v>
      </c>
      <c r="T244" s="28">
        <v>42580</v>
      </c>
      <c r="U244" s="29" t="s">
        <v>2987</v>
      </c>
      <c r="V244" s="181" t="s">
        <v>212</v>
      </c>
      <c r="W244" s="1050">
        <v>35000000</v>
      </c>
      <c r="X244" s="138"/>
      <c r="Y244" s="134">
        <f t="shared" ref="Y244" si="6">SUM(W244+X244)</f>
        <v>35000000</v>
      </c>
      <c r="Z244" s="831" t="s">
        <v>2988</v>
      </c>
      <c r="AA244" s="411" t="s">
        <v>2989</v>
      </c>
      <c r="AB244" s="411" t="s">
        <v>225</v>
      </c>
      <c r="AC244" s="181" t="s">
        <v>2990</v>
      </c>
      <c r="AD244" s="411" t="s">
        <v>56</v>
      </c>
      <c r="AE244" s="411" t="s">
        <v>56</v>
      </c>
      <c r="AF244" s="411" t="s">
        <v>56</v>
      </c>
      <c r="AG244" s="831" t="s">
        <v>2991</v>
      </c>
      <c r="AH244" s="169">
        <v>42580</v>
      </c>
      <c r="AI244" s="169">
        <v>42732</v>
      </c>
      <c r="AJ244" s="411" t="s">
        <v>2992</v>
      </c>
      <c r="AK244" s="134" t="s">
        <v>1040</v>
      </c>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c r="CN244" s="138"/>
      <c r="CO244" s="138"/>
      <c r="CP244" s="138"/>
      <c r="CQ244" s="138"/>
      <c r="CR244" s="138"/>
      <c r="CS244" s="138"/>
      <c r="CT244" s="138"/>
      <c r="CU244" s="138"/>
      <c r="CV244" s="138"/>
      <c r="CW244" s="138"/>
      <c r="CX244" s="138"/>
      <c r="CY244" s="138"/>
      <c r="CZ244" s="138"/>
      <c r="DA244" s="138"/>
      <c r="DB244" s="138"/>
      <c r="DC244" s="138"/>
      <c r="DD244" s="138"/>
      <c r="DE244" s="138"/>
      <c r="DF244" s="138"/>
      <c r="DG244" s="138"/>
      <c r="DH244" s="138"/>
      <c r="DI244" s="138"/>
      <c r="DJ244" s="138"/>
      <c r="DK244" s="138"/>
      <c r="DL244" s="138"/>
      <c r="DM244" s="138"/>
      <c r="DN244" s="138"/>
      <c r="DO244" s="138"/>
      <c r="DP244" s="138"/>
      <c r="DQ244" s="138"/>
      <c r="DR244" s="138"/>
      <c r="DS244" s="138"/>
      <c r="DT244" s="138"/>
      <c r="DU244" s="138"/>
      <c r="DV244" s="138"/>
      <c r="DW244" s="138"/>
      <c r="DX244" s="138"/>
      <c r="DY244" s="138"/>
      <c r="DZ244" s="138"/>
      <c r="EA244" s="138"/>
      <c r="EB244" s="138"/>
      <c r="EC244" s="138"/>
      <c r="ED244" s="138"/>
      <c r="EE244" s="138"/>
      <c r="EF244" s="138"/>
      <c r="EG244" s="138"/>
      <c r="EH244" s="138"/>
      <c r="EI244" s="138"/>
      <c r="EJ244" s="138"/>
      <c r="EK244" s="138"/>
      <c r="EL244" s="138"/>
      <c r="EM244" s="138"/>
      <c r="EN244" s="138"/>
    </row>
    <row r="245" spans="1:144" ht="71.25" customHeight="1" x14ac:dyDescent="0.25">
      <c r="A245" s="832">
        <v>228</v>
      </c>
      <c r="B245" s="833" t="s">
        <v>990</v>
      </c>
      <c r="C245" s="836">
        <v>80101706</v>
      </c>
      <c r="D245" s="831" t="s">
        <v>1332</v>
      </c>
      <c r="E245" s="836" t="s">
        <v>125</v>
      </c>
      <c r="F245" s="836">
        <v>1</v>
      </c>
      <c r="G245" s="834" t="s">
        <v>167</v>
      </c>
      <c r="H245" s="485">
        <v>6</v>
      </c>
      <c r="I245" s="836" t="s">
        <v>96</v>
      </c>
      <c r="J245" s="836" t="s">
        <v>847</v>
      </c>
      <c r="K245" s="836" t="s">
        <v>108</v>
      </c>
      <c r="L245" s="56">
        <v>30000000</v>
      </c>
      <c r="M245" s="69">
        <v>30000000</v>
      </c>
      <c r="N245" s="836" t="s">
        <v>81</v>
      </c>
      <c r="O245" s="836" t="s">
        <v>56</v>
      </c>
      <c r="P245" s="24" t="s">
        <v>126</v>
      </c>
      <c r="Q245" s="45"/>
      <c r="R245" s="138"/>
      <c r="S245" s="637"/>
      <c r="T245" s="138"/>
      <c r="U245" s="138"/>
      <c r="V245" s="138"/>
      <c r="W245" s="138"/>
      <c r="X245" s="138"/>
      <c r="Y245" s="134">
        <f t="shared" si="4"/>
        <v>0</v>
      </c>
      <c r="Z245" s="138"/>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c r="CN245" s="138"/>
      <c r="CO245" s="138"/>
      <c r="CP245" s="138"/>
      <c r="CQ245" s="138"/>
      <c r="CR245" s="138"/>
      <c r="CS245" s="138"/>
      <c r="CT245" s="138"/>
      <c r="CU245" s="138"/>
      <c r="CV245" s="138"/>
      <c r="CW245" s="138"/>
      <c r="CX245" s="138"/>
      <c r="CY245" s="138"/>
      <c r="CZ245" s="138"/>
      <c r="DA245" s="138"/>
      <c r="DB245" s="138"/>
      <c r="DC245" s="138"/>
      <c r="DD245" s="138"/>
      <c r="DE245" s="138"/>
      <c r="DF245" s="138"/>
      <c r="DG245" s="138"/>
      <c r="DH245" s="138"/>
      <c r="DI245" s="138"/>
      <c r="DJ245" s="138"/>
      <c r="DK245" s="138"/>
      <c r="DL245" s="138"/>
      <c r="DM245" s="138"/>
      <c r="DN245" s="138"/>
      <c r="DO245" s="138"/>
      <c r="DP245" s="138"/>
      <c r="DQ245" s="138"/>
      <c r="DR245" s="138"/>
      <c r="DS245" s="138"/>
      <c r="DT245" s="138"/>
      <c r="DU245" s="138"/>
      <c r="DV245" s="138"/>
      <c r="DW245" s="138"/>
      <c r="DX245" s="138"/>
      <c r="DY245" s="138"/>
      <c r="DZ245" s="138"/>
      <c r="EA245" s="138"/>
      <c r="EB245" s="138"/>
      <c r="EC245" s="138"/>
      <c r="ED245" s="138"/>
      <c r="EE245" s="138"/>
      <c r="EF245" s="138"/>
      <c r="EG245" s="138"/>
      <c r="EH245" s="138"/>
      <c r="EI245" s="138"/>
      <c r="EJ245" s="138"/>
      <c r="EK245" s="138"/>
      <c r="EL245" s="138"/>
      <c r="EM245" s="138"/>
      <c r="EN245" s="138"/>
    </row>
    <row r="246" spans="1:144" ht="84.75" customHeight="1" x14ac:dyDescent="0.25">
      <c r="A246" s="832">
        <v>229</v>
      </c>
      <c r="B246" s="833" t="s">
        <v>996</v>
      </c>
      <c r="C246" s="836">
        <v>80101706</v>
      </c>
      <c r="D246" s="831" t="s">
        <v>1333</v>
      </c>
      <c r="E246" s="836" t="s">
        <v>125</v>
      </c>
      <c r="F246" s="836">
        <v>1</v>
      </c>
      <c r="G246" s="834" t="s">
        <v>165</v>
      </c>
      <c r="H246" s="485">
        <v>8</v>
      </c>
      <c r="I246" s="836" t="s">
        <v>96</v>
      </c>
      <c r="J246" s="836" t="s">
        <v>128</v>
      </c>
      <c r="K246" s="836" t="s">
        <v>108</v>
      </c>
      <c r="L246" s="56">
        <v>40000000</v>
      </c>
      <c r="M246" s="69">
        <v>40000000</v>
      </c>
      <c r="N246" s="836" t="s">
        <v>81</v>
      </c>
      <c r="O246" s="836" t="s">
        <v>56</v>
      </c>
      <c r="P246" s="24" t="s">
        <v>126</v>
      </c>
      <c r="Q246" s="45"/>
      <c r="R246" s="172" t="s">
        <v>2730</v>
      </c>
      <c r="S246" s="172" t="s">
        <v>2731</v>
      </c>
      <c r="T246" s="28">
        <v>42514</v>
      </c>
      <c r="U246" s="1012" t="s">
        <v>2732</v>
      </c>
      <c r="V246" s="181" t="s">
        <v>212</v>
      </c>
      <c r="W246" s="1050">
        <v>39996000</v>
      </c>
      <c r="X246" s="138"/>
      <c r="Y246" s="134">
        <f t="shared" si="4"/>
        <v>39996000</v>
      </c>
      <c r="Z246" s="994" t="s">
        <v>2733</v>
      </c>
      <c r="AA246" s="411" t="s">
        <v>2734</v>
      </c>
      <c r="AB246" s="411" t="s">
        <v>215</v>
      </c>
      <c r="AC246" s="181" t="s">
        <v>2735</v>
      </c>
      <c r="AD246" s="411" t="s">
        <v>56</v>
      </c>
      <c r="AE246" s="411" t="s">
        <v>56</v>
      </c>
      <c r="AF246" s="411" t="s">
        <v>56</v>
      </c>
      <c r="AG246" s="168" t="s">
        <v>2736</v>
      </c>
      <c r="AH246" s="169">
        <v>42514</v>
      </c>
      <c r="AI246" s="169">
        <v>42734</v>
      </c>
      <c r="AJ246" s="411" t="s">
        <v>407</v>
      </c>
      <c r="AK246" s="134" t="s">
        <v>408</v>
      </c>
      <c r="AL246" s="1148" t="s">
        <v>56</v>
      </c>
      <c r="AM246" s="1148" t="s">
        <v>56</v>
      </c>
      <c r="AN246" s="1148" t="s">
        <v>56</v>
      </c>
      <c r="AO246" s="1148" t="s">
        <v>56</v>
      </c>
      <c r="AP246" s="1148" t="s">
        <v>56</v>
      </c>
      <c r="AQ246" s="1148" t="s">
        <v>56</v>
      </c>
      <c r="AR246" s="1153">
        <v>5066133</v>
      </c>
      <c r="AS246" s="138"/>
      <c r="AT246" s="1153">
        <v>3618667</v>
      </c>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c r="CN246" s="138"/>
      <c r="CO246" s="138"/>
      <c r="CP246" s="138"/>
      <c r="CQ246" s="138"/>
      <c r="CR246" s="138"/>
      <c r="CS246" s="138"/>
      <c r="CT246" s="138"/>
      <c r="CU246" s="138"/>
      <c r="CV246" s="138"/>
      <c r="CW246" s="138"/>
      <c r="CX246" s="138"/>
      <c r="CY246" s="138"/>
      <c r="CZ246" s="138"/>
      <c r="DA246" s="138"/>
      <c r="DB246" s="138"/>
      <c r="DC246" s="138"/>
      <c r="DD246" s="138"/>
      <c r="DE246" s="138"/>
      <c r="DF246" s="138"/>
      <c r="DG246" s="138"/>
      <c r="DH246" s="138"/>
      <c r="DI246" s="138"/>
      <c r="DJ246" s="138"/>
      <c r="DK246" s="138"/>
      <c r="DL246" s="138"/>
      <c r="DM246" s="138"/>
      <c r="DN246" s="138"/>
      <c r="DO246" s="138"/>
      <c r="DP246" s="138"/>
      <c r="DQ246" s="138"/>
      <c r="DR246" s="138"/>
      <c r="DS246" s="138"/>
      <c r="DT246" s="138"/>
      <c r="DU246" s="138"/>
      <c r="DV246" s="138"/>
      <c r="DW246" s="138"/>
      <c r="DX246" s="138"/>
      <c r="DY246" s="138"/>
      <c r="DZ246" s="138"/>
      <c r="EA246" s="138"/>
      <c r="EB246" s="138"/>
      <c r="EC246" s="138"/>
      <c r="ED246" s="138"/>
      <c r="EE246" s="138"/>
      <c r="EF246" s="138"/>
      <c r="EG246" s="138"/>
      <c r="EH246" s="138"/>
      <c r="EI246" s="138"/>
      <c r="EJ246" s="138"/>
      <c r="EK246" s="138"/>
      <c r="EL246" s="138"/>
      <c r="EM246" s="138"/>
      <c r="EN246" s="138"/>
    </row>
    <row r="247" spans="1:144" ht="99" customHeight="1" x14ac:dyDescent="0.25">
      <c r="A247" s="832">
        <v>230</v>
      </c>
      <c r="B247" s="833" t="s">
        <v>996</v>
      </c>
      <c r="C247" s="836">
        <v>80101706</v>
      </c>
      <c r="D247" s="831" t="s">
        <v>1334</v>
      </c>
      <c r="E247" s="836" t="s">
        <v>125</v>
      </c>
      <c r="F247" s="836">
        <v>1</v>
      </c>
      <c r="G247" s="834" t="s">
        <v>165</v>
      </c>
      <c r="H247" s="485">
        <v>8</v>
      </c>
      <c r="I247" s="836" t="s">
        <v>96</v>
      </c>
      <c r="J247" s="836" t="s">
        <v>847</v>
      </c>
      <c r="K247" s="836" t="s">
        <v>108</v>
      </c>
      <c r="L247" s="56">
        <v>40000000</v>
      </c>
      <c r="M247" s="69">
        <v>40000000</v>
      </c>
      <c r="N247" s="836" t="s">
        <v>81</v>
      </c>
      <c r="O247" s="836" t="s">
        <v>56</v>
      </c>
      <c r="P247" s="24" t="s">
        <v>126</v>
      </c>
      <c r="Q247" s="45"/>
      <c r="R247" s="172" t="s">
        <v>2737</v>
      </c>
      <c r="S247" s="172" t="s">
        <v>2738</v>
      </c>
      <c r="T247" s="28">
        <v>42514</v>
      </c>
      <c r="U247" s="1012" t="s">
        <v>2739</v>
      </c>
      <c r="V247" s="181" t="s">
        <v>212</v>
      </c>
      <c r="W247" s="1050">
        <v>39996000</v>
      </c>
      <c r="X247" s="138"/>
      <c r="Y247" s="134">
        <f t="shared" si="4"/>
        <v>39996000</v>
      </c>
      <c r="Z247" s="994" t="s">
        <v>2733</v>
      </c>
      <c r="AA247" s="411" t="s">
        <v>2740</v>
      </c>
      <c r="AB247" s="411" t="s">
        <v>225</v>
      </c>
      <c r="AC247" s="181"/>
      <c r="AD247" s="411" t="s">
        <v>56</v>
      </c>
      <c r="AE247" s="411" t="s">
        <v>56</v>
      </c>
      <c r="AF247" s="411" t="s">
        <v>56</v>
      </c>
      <c r="AG247" s="168" t="s">
        <v>2736</v>
      </c>
      <c r="AH247" s="169">
        <v>42514</v>
      </c>
      <c r="AI247" s="169">
        <v>42734</v>
      </c>
      <c r="AJ247" s="411" t="s">
        <v>407</v>
      </c>
      <c r="AK247" s="134" t="s">
        <v>408</v>
      </c>
      <c r="AL247" s="1148" t="s">
        <v>56</v>
      </c>
      <c r="AM247" s="1148" t="s">
        <v>56</v>
      </c>
      <c r="AN247" s="1148" t="s">
        <v>56</v>
      </c>
      <c r="AO247" s="1148" t="s">
        <v>56</v>
      </c>
      <c r="AP247" s="1148" t="s">
        <v>56</v>
      </c>
      <c r="AQ247" s="1148" t="s">
        <v>56</v>
      </c>
      <c r="AR247" s="1153">
        <v>3618667</v>
      </c>
      <c r="AS247" s="138"/>
      <c r="AT247" s="1153">
        <v>3618667</v>
      </c>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c r="CN247" s="138"/>
      <c r="CO247" s="138"/>
      <c r="CP247" s="138"/>
      <c r="CQ247" s="138"/>
      <c r="CR247" s="138"/>
      <c r="CS247" s="138"/>
      <c r="CT247" s="138"/>
      <c r="CU247" s="138"/>
      <c r="CV247" s="138"/>
      <c r="CW247" s="138"/>
      <c r="CX247" s="138"/>
      <c r="CY247" s="138"/>
      <c r="CZ247" s="138"/>
      <c r="DA247" s="138"/>
      <c r="DB247" s="138"/>
      <c r="DC247" s="138"/>
      <c r="DD247" s="138"/>
      <c r="DE247" s="138"/>
      <c r="DF247" s="138"/>
      <c r="DG247" s="138"/>
      <c r="DH247" s="138"/>
      <c r="DI247" s="138"/>
      <c r="DJ247" s="138"/>
      <c r="DK247" s="138"/>
      <c r="DL247" s="138"/>
      <c r="DM247" s="138"/>
      <c r="DN247" s="138"/>
      <c r="DO247" s="138"/>
      <c r="DP247" s="138"/>
      <c r="DQ247" s="138"/>
      <c r="DR247" s="138"/>
      <c r="DS247" s="138"/>
      <c r="DT247" s="138"/>
      <c r="DU247" s="138"/>
      <c r="DV247" s="138"/>
      <c r="DW247" s="138"/>
      <c r="DX247" s="138"/>
      <c r="DY247" s="138"/>
      <c r="DZ247" s="138"/>
      <c r="EA247" s="138"/>
      <c r="EB247" s="138"/>
      <c r="EC247" s="138"/>
      <c r="ED247" s="138"/>
      <c r="EE247" s="138"/>
      <c r="EF247" s="138"/>
      <c r="EG247" s="138"/>
      <c r="EH247" s="138"/>
      <c r="EI247" s="138"/>
      <c r="EJ247" s="138"/>
      <c r="EK247" s="138"/>
      <c r="EL247" s="138"/>
      <c r="EM247" s="138"/>
      <c r="EN247" s="138"/>
    </row>
    <row r="248" spans="1:144" ht="87" customHeight="1" x14ac:dyDescent="0.25">
      <c r="A248" s="832">
        <v>231</v>
      </c>
      <c r="B248" s="833" t="s">
        <v>996</v>
      </c>
      <c r="C248" s="836">
        <v>80101706</v>
      </c>
      <c r="D248" s="831" t="s">
        <v>1335</v>
      </c>
      <c r="E248" s="836" t="s">
        <v>125</v>
      </c>
      <c r="F248" s="836">
        <v>1</v>
      </c>
      <c r="G248" s="834" t="s">
        <v>165</v>
      </c>
      <c r="H248" s="835">
        <v>7.5</v>
      </c>
      <c r="I248" s="836" t="s">
        <v>96</v>
      </c>
      <c r="J248" s="836" t="s">
        <v>847</v>
      </c>
      <c r="K248" s="836" t="s">
        <v>108</v>
      </c>
      <c r="L248" s="56">
        <v>17250000</v>
      </c>
      <c r="M248" s="69">
        <v>17250000</v>
      </c>
      <c r="N248" s="836" t="s">
        <v>81</v>
      </c>
      <c r="O248" s="836" t="s">
        <v>56</v>
      </c>
      <c r="P248" s="24" t="s">
        <v>126</v>
      </c>
      <c r="Q248" s="45"/>
      <c r="R248" s="172" t="s">
        <v>2741</v>
      </c>
      <c r="S248" s="982" t="s">
        <v>2742</v>
      </c>
      <c r="T248" s="166">
        <v>42516</v>
      </c>
      <c r="U248" s="164" t="s">
        <v>2743</v>
      </c>
      <c r="V248" s="411" t="s">
        <v>212</v>
      </c>
      <c r="W248" s="1050">
        <v>17250000</v>
      </c>
      <c r="X248" s="138"/>
      <c r="Y248" s="134">
        <f t="shared" si="4"/>
        <v>17250000</v>
      </c>
      <c r="Z248" s="994" t="s">
        <v>2744</v>
      </c>
      <c r="AA248" s="411" t="s">
        <v>2745</v>
      </c>
      <c r="AB248" s="411" t="s">
        <v>225</v>
      </c>
      <c r="AC248" s="181" t="s">
        <v>2746</v>
      </c>
      <c r="AD248" s="411" t="s">
        <v>56</v>
      </c>
      <c r="AE248" s="411" t="s">
        <v>56</v>
      </c>
      <c r="AF248" s="411" t="s">
        <v>56</v>
      </c>
      <c r="AG248" s="168" t="s">
        <v>2736</v>
      </c>
      <c r="AH248" s="169">
        <v>42516</v>
      </c>
      <c r="AI248" s="169">
        <v>42734</v>
      </c>
      <c r="AJ248" s="411" t="s">
        <v>2747</v>
      </c>
      <c r="AK248" s="134" t="s">
        <v>408</v>
      </c>
      <c r="AL248" s="1148" t="s">
        <v>56</v>
      </c>
      <c r="AM248" s="1148" t="s">
        <v>56</v>
      </c>
      <c r="AN248" s="1148" t="s">
        <v>56</v>
      </c>
      <c r="AO248" s="1148" t="s">
        <v>56</v>
      </c>
      <c r="AP248" s="1148" t="s">
        <v>56</v>
      </c>
      <c r="AQ248" s="1148" t="s">
        <v>56</v>
      </c>
      <c r="AR248" s="1104">
        <v>1942000</v>
      </c>
      <c r="AS248" s="138"/>
      <c r="AT248" s="1153">
        <v>932000</v>
      </c>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c r="CN248" s="138"/>
      <c r="CO248" s="138"/>
      <c r="CP248" s="138"/>
      <c r="CQ248" s="138"/>
      <c r="CR248" s="138"/>
      <c r="CS248" s="138"/>
      <c r="CT248" s="138"/>
      <c r="CU248" s="138"/>
      <c r="CV248" s="138"/>
      <c r="CW248" s="138"/>
      <c r="CX248" s="138"/>
      <c r="CY248" s="138"/>
      <c r="CZ248" s="138"/>
      <c r="DA248" s="138"/>
      <c r="DB248" s="138"/>
      <c r="DC248" s="138"/>
      <c r="DD248" s="138"/>
      <c r="DE248" s="138"/>
      <c r="DF248" s="138"/>
      <c r="DG248" s="138"/>
      <c r="DH248" s="138"/>
      <c r="DI248" s="138"/>
      <c r="DJ248" s="138"/>
      <c r="DK248" s="138"/>
      <c r="DL248" s="138"/>
      <c r="DM248" s="138"/>
      <c r="DN248" s="138"/>
      <c r="DO248" s="138"/>
      <c r="DP248" s="138"/>
      <c r="DQ248" s="138"/>
      <c r="DR248" s="138"/>
      <c r="DS248" s="138"/>
      <c r="DT248" s="138"/>
      <c r="DU248" s="138"/>
      <c r="DV248" s="138"/>
      <c r="DW248" s="138"/>
      <c r="DX248" s="138"/>
      <c r="DY248" s="138"/>
      <c r="DZ248" s="138"/>
      <c r="EA248" s="138"/>
      <c r="EB248" s="138"/>
      <c r="EC248" s="138"/>
      <c r="ED248" s="138"/>
      <c r="EE248" s="138"/>
      <c r="EF248" s="138"/>
      <c r="EG248" s="138"/>
      <c r="EH248" s="138"/>
      <c r="EI248" s="138"/>
      <c r="EJ248" s="138"/>
      <c r="EK248" s="138"/>
      <c r="EL248" s="138"/>
      <c r="EM248" s="138"/>
      <c r="EN248" s="138"/>
    </row>
    <row r="249" spans="1:144" ht="72.75" customHeight="1" x14ac:dyDescent="0.25">
      <c r="A249" s="832">
        <v>232</v>
      </c>
      <c r="B249" s="833" t="s">
        <v>1000</v>
      </c>
      <c r="C249" s="836">
        <v>80101706</v>
      </c>
      <c r="D249" s="831" t="s">
        <v>1336</v>
      </c>
      <c r="E249" s="836" t="s">
        <v>125</v>
      </c>
      <c r="F249" s="836">
        <v>1</v>
      </c>
      <c r="G249" s="834" t="s">
        <v>162</v>
      </c>
      <c r="H249" s="485">
        <v>8</v>
      </c>
      <c r="I249" s="836" t="s">
        <v>96</v>
      </c>
      <c r="J249" s="836" t="s">
        <v>847</v>
      </c>
      <c r="K249" s="836" t="s">
        <v>108</v>
      </c>
      <c r="L249" s="56">
        <v>80000000</v>
      </c>
      <c r="M249" s="69">
        <v>80000000</v>
      </c>
      <c r="N249" s="836" t="s">
        <v>81</v>
      </c>
      <c r="O249" s="836" t="s">
        <v>56</v>
      </c>
      <c r="P249" s="24" t="s">
        <v>126</v>
      </c>
      <c r="Q249" s="45"/>
      <c r="R249" s="172" t="s">
        <v>1516</v>
      </c>
      <c r="S249" s="172" t="s">
        <v>1517</v>
      </c>
      <c r="T249" s="28">
        <v>42487</v>
      </c>
      <c r="U249" s="164" t="s">
        <v>1518</v>
      </c>
      <c r="V249" s="411" t="s">
        <v>212</v>
      </c>
      <c r="W249" s="1050">
        <v>80000000</v>
      </c>
      <c r="X249" s="138"/>
      <c r="Y249" s="134">
        <f t="shared" si="4"/>
        <v>80000000</v>
      </c>
      <c r="Z249" s="411" t="s">
        <v>1519</v>
      </c>
      <c r="AA249" s="411" t="s">
        <v>1520</v>
      </c>
      <c r="AB249" s="411" t="s">
        <v>225</v>
      </c>
      <c r="AC249" s="181" t="s">
        <v>1466</v>
      </c>
      <c r="AD249" s="411" t="s">
        <v>56</v>
      </c>
      <c r="AE249" s="411" t="s">
        <v>56</v>
      </c>
      <c r="AF249" s="411" t="s">
        <v>56</v>
      </c>
      <c r="AG249" s="168" t="s">
        <v>1521</v>
      </c>
      <c r="AH249" s="169">
        <v>42487</v>
      </c>
      <c r="AI249" s="169">
        <v>42730</v>
      </c>
      <c r="AJ249" s="411" t="s">
        <v>259</v>
      </c>
      <c r="AK249" s="1089" t="s">
        <v>219</v>
      </c>
      <c r="AL249" s="1279" t="s">
        <v>56</v>
      </c>
      <c r="AM249" s="1279" t="s">
        <v>56</v>
      </c>
      <c r="AN249" s="1279" t="s">
        <v>56</v>
      </c>
      <c r="AO249" s="1279" t="s">
        <v>56</v>
      </c>
      <c r="AP249" s="1279" t="s">
        <v>56</v>
      </c>
      <c r="AQ249" s="1279" t="s">
        <v>56</v>
      </c>
      <c r="AR249" s="1153">
        <v>10000000</v>
      </c>
      <c r="AS249" s="138"/>
      <c r="AT249" s="1153">
        <v>10000000</v>
      </c>
      <c r="AU249" s="1153">
        <v>10000000</v>
      </c>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c r="CN249" s="138"/>
      <c r="CO249" s="138"/>
      <c r="CP249" s="138"/>
      <c r="CQ249" s="138"/>
      <c r="CR249" s="138"/>
      <c r="CS249" s="138"/>
      <c r="CT249" s="138"/>
      <c r="CU249" s="138"/>
      <c r="CV249" s="138"/>
      <c r="CW249" s="138"/>
      <c r="CX249" s="138"/>
      <c r="CY249" s="138"/>
      <c r="CZ249" s="138"/>
      <c r="DA249" s="138"/>
      <c r="DB249" s="138"/>
      <c r="DC249" s="138"/>
      <c r="DD249" s="138"/>
      <c r="DE249" s="138"/>
      <c r="DF249" s="138"/>
      <c r="DG249" s="138"/>
      <c r="DH249" s="138"/>
      <c r="DI249" s="138"/>
      <c r="DJ249" s="138"/>
      <c r="DK249" s="138"/>
      <c r="DL249" s="138"/>
      <c r="DM249" s="138"/>
      <c r="DN249" s="138"/>
      <c r="DO249" s="138"/>
      <c r="DP249" s="138"/>
      <c r="DQ249" s="138"/>
      <c r="DR249" s="138"/>
      <c r="DS249" s="138"/>
      <c r="DT249" s="138"/>
      <c r="DU249" s="138"/>
      <c r="DV249" s="138"/>
      <c r="DW249" s="138"/>
      <c r="DX249" s="138"/>
      <c r="DY249" s="138"/>
      <c r="DZ249" s="138"/>
      <c r="EA249" s="138"/>
      <c r="EB249" s="138"/>
      <c r="EC249" s="138"/>
      <c r="ED249" s="138"/>
      <c r="EE249" s="138"/>
      <c r="EF249" s="138"/>
      <c r="EG249" s="138"/>
      <c r="EH249" s="138"/>
      <c r="EI249" s="138"/>
      <c r="EJ249" s="138"/>
      <c r="EK249" s="138"/>
      <c r="EL249" s="138"/>
      <c r="EM249" s="138"/>
      <c r="EN249" s="138"/>
    </row>
    <row r="250" spans="1:144" ht="45" customHeight="1" x14ac:dyDescent="0.25">
      <c r="A250" s="832">
        <v>233</v>
      </c>
      <c r="B250" s="833" t="s">
        <v>1000</v>
      </c>
      <c r="C250" s="836">
        <v>80101706</v>
      </c>
      <c r="D250" s="831" t="s">
        <v>1337</v>
      </c>
      <c r="E250" s="836" t="s">
        <v>125</v>
      </c>
      <c r="F250" s="836">
        <v>1</v>
      </c>
      <c r="G250" s="834" t="s">
        <v>165</v>
      </c>
      <c r="H250" s="485">
        <v>7</v>
      </c>
      <c r="I250" s="836" t="s">
        <v>96</v>
      </c>
      <c r="J250" s="836" t="s">
        <v>847</v>
      </c>
      <c r="K250" s="836" t="s">
        <v>108</v>
      </c>
      <c r="L250" s="56">
        <v>22711500</v>
      </c>
      <c r="M250" s="69">
        <v>22711500</v>
      </c>
      <c r="N250" s="836" t="s">
        <v>81</v>
      </c>
      <c r="O250" s="836" t="s">
        <v>56</v>
      </c>
      <c r="P250" s="24" t="s">
        <v>126</v>
      </c>
      <c r="Q250" s="45"/>
      <c r="R250" s="172" t="s">
        <v>2748</v>
      </c>
      <c r="S250" s="1280" t="s">
        <v>2749</v>
      </c>
      <c r="T250" s="166">
        <v>42535</v>
      </c>
      <c r="U250" s="1281" t="s">
        <v>2750</v>
      </c>
      <c r="V250" s="411" t="s">
        <v>212</v>
      </c>
      <c r="W250" s="1050">
        <v>22711500</v>
      </c>
      <c r="X250" s="138"/>
      <c r="Y250" s="134">
        <f t="shared" si="4"/>
        <v>22711500</v>
      </c>
      <c r="Z250" s="1281" t="s">
        <v>2751</v>
      </c>
      <c r="AA250" s="411" t="s">
        <v>2752</v>
      </c>
      <c r="AB250" s="411" t="s">
        <v>225</v>
      </c>
      <c r="AC250" s="181" t="s">
        <v>2753</v>
      </c>
      <c r="AD250" s="411" t="s">
        <v>56</v>
      </c>
      <c r="AE250" s="411" t="s">
        <v>56</v>
      </c>
      <c r="AF250" s="411" t="s">
        <v>56</v>
      </c>
      <c r="AG250" s="1282" t="s">
        <v>2754</v>
      </c>
      <c r="AH250" s="169">
        <v>42535</v>
      </c>
      <c r="AI250" s="169">
        <v>42734</v>
      </c>
      <c r="AJ250" s="411" t="s">
        <v>259</v>
      </c>
      <c r="AK250" s="134" t="s">
        <v>219</v>
      </c>
      <c r="AL250" s="1148" t="s">
        <v>56</v>
      </c>
      <c r="AM250" s="1148" t="s">
        <v>56</v>
      </c>
      <c r="AN250" s="1148" t="s">
        <v>56</v>
      </c>
      <c r="AO250" s="1148" t="s">
        <v>56</v>
      </c>
      <c r="AP250" s="1148" t="s">
        <v>56</v>
      </c>
      <c r="AQ250" s="1148" t="s">
        <v>56</v>
      </c>
      <c r="AR250" s="1148" t="s">
        <v>56</v>
      </c>
      <c r="AS250" s="1148"/>
      <c r="AT250" s="1153">
        <v>3244500</v>
      </c>
      <c r="AU250" s="1148"/>
      <c r="AV250" s="1148"/>
      <c r="AW250" s="1148"/>
      <c r="AX250" s="1148"/>
      <c r="AY250" s="1148"/>
      <c r="AZ250" s="114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c r="CN250" s="138"/>
      <c r="CO250" s="138"/>
      <c r="CP250" s="138"/>
      <c r="CQ250" s="138"/>
      <c r="CR250" s="138"/>
      <c r="CS250" s="138"/>
      <c r="CT250" s="138"/>
      <c r="CU250" s="138"/>
      <c r="CV250" s="138"/>
      <c r="CW250" s="138"/>
      <c r="CX250" s="138"/>
      <c r="CY250" s="138"/>
      <c r="CZ250" s="138"/>
      <c r="DA250" s="138"/>
      <c r="DB250" s="138"/>
      <c r="DC250" s="138"/>
      <c r="DD250" s="138"/>
      <c r="DE250" s="138"/>
      <c r="DF250" s="138"/>
      <c r="DG250" s="138"/>
      <c r="DH250" s="138"/>
      <c r="DI250" s="138"/>
      <c r="DJ250" s="138"/>
      <c r="DK250" s="138"/>
      <c r="DL250" s="138"/>
      <c r="DM250" s="138"/>
      <c r="DN250" s="138"/>
      <c r="DO250" s="138"/>
      <c r="DP250" s="138"/>
      <c r="DQ250" s="138"/>
      <c r="DR250" s="138"/>
      <c r="DS250" s="138"/>
      <c r="DT250" s="138"/>
      <c r="DU250" s="138"/>
      <c r="DV250" s="138"/>
      <c r="DW250" s="138"/>
      <c r="DX250" s="138"/>
      <c r="DY250" s="138"/>
      <c r="DZ250" s="138"/>
      <c r="EA250" s="138"/>
      <c r="EB250" s="138"/>
      <c r="EC250" s="138"/>
      <c r="ED250" s="138"/>
      <c r="EE250" s="138"/>
      <c r="EF250" s="138"/>
      <c r="EG250" s="138"/>
      <c r="EH250" s="138"/>
      <c r="EI250" s="138"/>
      <c r="EJ250" s="138"/>
      <c r="EK250" s="138"/>
      <c r="EL250" s="138"/>
      <c r="EM250" s="138"/>
      <c r="EN250" s="138"/>
    </row>
    <row r="251" spans="1:144" ht="45" customHeight="1" x14ac:dyDescent="0.25">
      <c r="A251" s="832">
        <v>234</v>
      </c>
      <c r="B251" s="833" t="s">
        <v>1000</v>
      </c>
      <c r="C251" s="836">
        <v>80101706</v>
      </c>
      <c r="D251" s="831" t="s">
        <v>851</v>
      </c>
      <c r="E251" s="836" t="s">
        <v>125</v>
      </c>
      <c r="F251" s="836">
        <v>1</v>
      </c>
      <c r="G251" s="834" t="s">
        <v>165</v>
      </c>
      <c r="H251" s="485">
        <v>7</v>
      </c>
      <c r="I251" s="836" t="s">
        <v>96</v>
      </c>
      <c r="J251" s="836" t="s">
        <v>844</v>
      </c>
      <c r="K251" s="836" t="s">
        <v>108</v>
      </c>
      <c r="L251" s="56">
        <v>22711500</v>
      </c>
      <c r="M251" s="69">
        <v>22711500</v>
      </c>
      <c r="N251" s="836" t="s">
        <v>81</v>
      </c>
      <c r="O251" s="836" t="s">
        <v>56</v>
      </c>
      <c r="P251" s="24" t="s">
        <v>126</v>
      </c>
      <c r="Q251" s="45"/>
      <c r="R251" s="172" t="s">
        <v>2755</v>
      </c>
      <c r="S251" s="172" t="s">
        <v>277</v>
      </c>
      <c r="T251" s="28">
        <v>42528</v>
      </c>
      <c r="U251" s="1012" t="s">
        <v>2756</v>
      </c>
      <c r="V251" s="181" t="s">
        <v>212</v>
      </c>
      <c r="W251" s="1050">
        <v>22711500</v>
      </c>
      <c r="X251" s="1102"/>
      <c r="Y251" s="30">
        <f t="shared" si="4"/>
        <v>22711500</v>
      </c>
      <c r="Z251" s="994" t="s">
        <v>2757</v>
      </c>
      <c r="AA251" s="411" t="s">
        <v>2758</v>
      </c>
      <c r="AB251" s="411" t="s">
        <v>225</v>
      </c>
      <c r="AC251" s="181" t="s">
        <v>2759</v>
      </c>
      <c r="AD251" s="411" t="s">
        <v>56</v>
      </c>
      <c r="AE251" s="411" t="s">
        <v>56</v>
      </c>
      <c r="AF251" s="411" t="s">
        <v>56</v>
      </c>
      <c r="AG251" s="168" t="s">
        <v>2760</v>
      </c>
      <c r="AH251" s="169">
        <v>42528</v>
      </c>
      <c r="AI251" s="169">
        <v>42734</v>
      </c>
      <c r="AJ251" s="411" t="s">
        <v>259</v>
      </c>
      <c r="AK251" s="134" t="s">
        <v>219</v>
      </c>
      <c r="AL251" s="1148" t="s">
        <v>56</v>
      </c>
      <c r="AM251" s="1148" t="s">
        <v>56</v>
      </c>
      <c r="AN251" s="1148" t="s">
        <v>56</v>
      </c>
      <c r="AO251" s="1148" t="s">
        <v>56</v>
      </c>
      <c r="AP251" s="1148" t="s">
        <v>56</v>
      </c>
      <c r="AQ251" s="1148" t="s">
        <v>56</v>
      </c>
      <c r="AR251" s="1148" t="s">
        <v>56</v>
      </c>
      <c r="AS251" s="1148" t="s">
        <v>56</v>
      </c>
      <c r="AT251" s="1153">
        <v>3244500</v>
      </c>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c r="CN251" s="138"/>
      <c r="CO251" s="138"/>
      <c r="CP251" s="138"/>
      <c r="CQ251" s="138"/>
      <c r="CR251" s="138"/>
      <c r="CS251" s="138"/>
      <c r="CT251" s="138"/>
      <c r="CU251" s="138"/>
      <c r="CV251" s="138"/>
      <c r="CW251" s="138"/>
      <c r="CX251" s="138"/>
      <c r="CY251" s="138"/>
      <c r="CZ251" s="138"/>
      <c r="DA251" s="138"/>
      <c r="DB251" s="138"/>
      <c r="DC251" s="138"/>
      <c r="DD251" s="138"/>
      <c r="DE251" s="138"/>
      <c r="DF251" s="138"/>
      <c r="DG251" s="138"/>
      <c r="DH251" s="138"/>
      <c r="DI251" s="138"/>
      <c r="DJ251" s="138"/>
      <c r="DK251" s="138"/>
      <c r="DL251" s="138"/>
      <c r="DM251" s="138"/>
      <c r="DN251" s="138"/>
      <c r="DO251" s="138"/>
      <c r="DP251" s="138"/>
      <c r="DQ251" s="138"/>
      <c r="DR251" s="138"/>
      <c r="DS251" s="138"/>
      <c r="DT251" s="138"/>
      <c r="DU251" s="138"/>
      <c r="DV251" s="138"/>
      <c r="DW251" s="138"/>
      <c r="DX251" s="138"/>
      <c r="DY251" s="138"/>
      <c r="DZ251" s="138"/>
      <c r="EA251" s="138"/>
      <c r="EB251" s="138"/>
      <c r="EC251" s="138"/>
      <c r="ED251" s="138"/>
      <c r="EE251" s="138"/>
      <c r="EF251" s="138"/>
      <c r="EG251" s="138"/>
      <c r="EH251" s="138"/>
      <c r="EI251" s="138"/>
      <c r="EJ251" s="138"/>
      <c r="EK251" s="138"/>
      <c r="EL251" s="138"/>
      <c r="EM251" s="138"/>
      <c r="EN251" s="138"/>
    </row>
    <row r="252" spans="1:144" ht="45" customHeight="1" x14ac:dyDescent="0.25">
      <c r="A252" s="832">
        <v>235</v>
      </c>
      <c r="B252" s="833" t="s">
        <v>1000</v>
      </c>
      <c r="C252" s="836">
        <v>80101706</v>
      </c>
      <c r="D252" s="831" t="s">
        <v>1338</v>
      </c>
      <c r="E252" s="836" t="s">
        <v>125</v>
      </c>
      <c r="F252" s="836">
        <v>1</v>
      </c>
      <c r="G252" s="834" t="s">
        <v>165</v>
      </c>
      <c r="H252" s="485">
        <v>7</v>
      </c>
      <c r="I252" s="836" t="s">
        <v>96</v>
      </c>
      <c r="J252" s="836" t="s">
        <v>844</v>
      </c>
      <c r="K252" s="836" t="s">
        <v>108</v>
      </c>
      <c r="L252" s="56">
        <v>31605000</v>
      </c>
      <c r="M252" s="69">
        <v>31605000</v>
      </c>
      <c r="N252" s="836" t="s">
        <v>81</v>
      </c>
      <c r="O252" s="836" t="s">
        <v>56</v>
      </c>
      <c r="P252" s="24" t="s">
        <v>126</v>
      </c>
      <c r="Q252" s="45"/>
      <c r="R252" s="172" t="s">
        <v>2761</v>
      </c>
      <c r="S252" s="982" t="s">
        <v>2762</v>
      </c>
      <c r="T252" s="166">
        <v>42535</v>
      </c>
      <c r="U252" s="831" t="s">
        <v>2763</v>
      </c>
      <c r="V252" s="411" t="s">
        <v>212</v>
      </c>
      <c r="W252" s="1050">
        <v>31605000</v>
      </c>
      <c r="X252" s="138"/>
      <c r="Y252" s="134">
        <f t="shared" si="4"/>
        <v>31605000</v>
      </c>
      <c r="Z252" s="831" t="s">
        <v>2764</v>
      </c>
      <c r="AA252" s="411" t="s">
        <v>2765</v>
      </c>
      <c r="AB252" s="411" t="s">
        <v>225</v>
      </c>
      <c r="AC252" s="181" t="s">
        <v>2766</v>
      </c>
      <c r="AD252" s="411" t="s">
        <v>56</v>
      </c>
      <c r="AE252" s="411" t="s">
        <v>56</v>
      </c>
      <c r="AF252" s="411" t="s">
        <v>56</v>
      </c>
      <c r="AG252" s="411" t="s">
        <v>2754</v>
      </c>
      <c r="AH252" s="169">
        <v>42535</v>
      </c>
      <c r="AI252" s="169">
        <v>42734</v>
      </c>
      <c r="AJ252" s="411" t="s">
        <v>259</v>
      </c>
      <c r="AK252" s="134" t="s">
        <v>219</v>
      </c>
      <c r="AL252" s="1148" t="s">
        <v>56</v>
      </c>
      <c r="AM252" s="1148" t="s">
        <v>56</v>
      </c>
      <c r="AN252" s="1148" t="s">
        <v>56</v>
      </c>
      <c r="AO252" s="1148" t="s">
        <v>56</v>
      </c>
      <c r="AP252" s="1148" t="s">
        <v>56</v>
      </c>
      <c r="AQ252" s="1148" t="s">
        <v>56</v>
      </c>
      <c r="AR252" s="1148" t="s">
        <v>56</v>
      </c>
      <c r="AS252" s="138"/>
      <c r="AT252" s="1153">
        <v>4515000</v>
      </c>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c r="CN252" s="138"/>
      <c r="CO252" s="138"/>
      <c r="CP252" s="138"/>
      <c r="CQ252" s="138"/>
      <c r="CR252" s="138"/>
      <c r="CS252" s="138"/>
      <c r="CT252" s="138"/>
      <c r="CU252" s="138"/>
      <c r="CV252" s="138"/>
      <c r="CW252" s="138"/>
      <c r="CX252" s="138"/>
      <c r="CY252" s="138"/>
      <c r="CZ252" s="138"/>
      <c r="DA252" s="138"/>
      <c r="DB252" s="138"/>
      <c r="DC252" s="138"/>
      <c r="DD252" s="138"/>
      <c r="DE252" s="138"/>
      <c r="DF252" s="138"/>
      <c r="DG252" s="138"/>
      <c r="DH252" s="138"/>
      <c r="DI252" s="138"/>
      <c r="DJ252" s="138"/>
      <c r="DK252" s="138"/>
      <c r="DL252" s="138"/>
      <c r="DM252" s="138"/>
      <c r="DN252" s="138"/>
      <c r="DO252" s="138"/>
      <c r="DP252" s="138"/>
      <c r="DQ252" s="138"/>
      <c r="DR252" s="138"/>
      <c r="DS252" s="138"/>
      <c r="DT252" s="138"/>
      <c r="DU252" s="138"/>
      <c r="DV252" s="138"/>
      <c r="DW252" s="138"/>
      <c r="DX252" s="138"/>
      <c r="DY252" s="138"/>
      <c r="DZ252" s="138"/>
      <c r="EA252" s="138"/>
      <c r="EB252" s="138"/>
      <c r="EC252" s="138"/>
      <c r="ED252" s="138"/>
      <c r="EE252" s="138"/>
      <c r="EF252" s="138"/>
      <c r="EG252" s="138"/>
      <c r="EH252" s="138"/>
      <c r="EI252" s="138"/>
      <c r="EJ252" s="138"/>
      <c r="EK252" s="138"/>
      <c r="EL252" s="138"/>
      <c r="EM252" s="138"/>
      <c r="EN252" s="138"/>
    </row>
    <row r="253" spans="1:144" ht="81.75" customHeight="1" x14ac:dyDescent="0.25">
      <c r="A253" s="832">
        <v>236</v>
      </c>
      <c r="B253" s="833" t="s">
        <v>1000</v>
      </c>
      <c r="C253" s="836">
        <v>80101705</v>
      </c>
      <c r="D253" s="831" t="s">
        <v>1339</v>
      </c>
      <c r="E253" s="836" t="s">
        <v>125</v>
      </c>
      <c r="F253" s="836">
        <v>1</v>
      </c>
      <c r="G253" s="834" t="s">
        <v>165</v>
      </c>
      <c r="H253" s="485">
        <v>6</v>
      </c>
      <c r="I253" s="836" t="s">
        <v>96</v>
      </c>
      <c r="J253" s="836" t="s">
        <v>128</v>
      </c>
      <c r="K253" s="836" t="s">
        <v>108</v>
      </c>
      <c r="L253" s="56">
        <v>37852500</v>
      </c>
      <c r="M253" s="69">
        <v>37852500</v>
      </c>
      <c r="N253" s="836" t="s">
        <v>81</v>
      </c>
      <c r="O253" s="836" t="s">
        <v>56</v>
      </c>
      <c r="P253" s="24" t="s">
        <v>126</v>
      </c>
      <c r="Q253" s="45"/>
      <c r="R253" s="172" t="s">
        <v>2767</v>
      </c>
      <c r="S253" s="982" t="s">
        <v>2768</v>
      </c>
      <c r="T253" s="166">
        <v>42535</v>
      </c>
      <c r="U253" s="831" t="s">
        <v>2769</v>
      </c>
      <c r="V253" s="411" t="s">
        <v>212</v>
      </c>
      <c r="W253" s="1050">
        <v>37852500</v>
      </c>
      <c r="X253" s="138"/>
      <c r="Y253" s="134">
        <f t="shared" si="4"/>
        <v>37852500</v>
      </c>
      <c r="Z253" s="831" t="s">
        <v>2770</v>
      </c>
      <c r="AA253" s="411" t="s">
        <v>2771</v>
      </c>
      <c r="AB253" s="411" t="s">
        <v>215</v>
      </c>
      <c r="AC253" s="181" t="s">
        <v>2772</v>
      </c>
      <c r="AD253" s="411" t="s">
        <v>56</v>
      </c>
      <c r="AE253" s="411" t="s">
        <v>56</v>
      </c>
      <c r="AF253" s="411" t="s">
        <v>56</v>
      </c>
      <c r="AG253" s="411" t="s">
        <v>2754</v>
      </c>
      <c r="AH253" s="169">
        <v>42535</v>
      </c>
      <c r="AI253" s="169">
        <v>42734</v>
      </c>
      <c r="AJ253" s="411" t="s">
        <v>259</v>
      </c>
      <c r="AK253" s="134" t="s">
        <v>219</v>
      </c>
      <c r="AL253" s="1148" t="s">
        <v>56</v>
      </c>
      <c r="AM253" s="1148" t="s">
        <v>56</v>
      </c>
      <c r="AN253" s="1148" t="s">
        <v>56</v>
      </c>
      <c r="AO253" s="1148" t="s">
        <v>56</v>
      </c>
      <c r="AP253" s="1148" t="s">
        <v>56</v>
      </c>
      <c r="AQ253" s="1148" t="s">
        <v>56</v>
      </c>
      <c r="AR253" s="1148" t="s">
        <v>56</v>
      </c>
      <c r="AS253" s="1148"/>
      <c r="AT253" s="1153">
        <v>5407500</v>
      </c>
      <c r="AU253" s="1148"/>
      <c r="AV253" s="1148"/>
      <c r="AW253" s="1148"/>
      <c r="AX253" s="1148"/>
      <c r="AY253" s="1148"/>
      <c r="AZ253" s="114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c r="CN253" s="138"/>
      <c r="CO253" s="138"/>
      <c r="CP253" s="138"/>
      <c r="CQ253" s="138"/>
      <c r="CR253" s="138"/>
      <c r="CS253" s="138"/>
      <c r="CT253" s="138"/>
      <c r="CU253" s="138"/>
      <c r="CV253" s="138"/>
      <c r="CW253" s="138"/>
      <c r="CX253" s="138"/>
      <c r="CY253" s="138"/>
      <c r="CZ253" s="138"/>
      <c r="DA253" s="138"/>
      <c r="DB253" s="138"/>
      <c r="DC253" s="138"/>
      <c r="DD253" s="138"/>
      <c r="DE253" s="138"/>
      <c r="DF253" s="138"/>
      <c r="DG253" s="138"/>
      <c r="DH253" s="138"/>
      <c r="DI253" s="138"/>
      <c r="DJ253" s="138"/>
      <c r="DK253" s="138"/>
      <c r="DL253" s="138"/>
      <c r="DM253" s="138"/>
      <c r="DN253" s="138"/>
      <c r="DO253" s="138"/>
      <c r="DP253" s="138"/>
      <c r="DQ253" s="138"/>
      <c r="DR253" s="138"/>
      <c r="DS253" s="138"/>
      <c r="DT253" s="138"/>
      <c r="DU253" s="138"/>
      <c r="DV253" s="138"/>
      <c r="DW253" s="138"/>
      <c r="DX253" s="138"/>
      <c r="DY253" s="138"/>
      <c r="DZ253" s="138"/>
      <c r="EA253" s="138"/>
      <c r="EB253" s="138"/>
      <c r="EC253" s="138"/>
      <c r="ED253" s="138"/>
      <c r="EE253" s="138"/>
      <c r="EF253" s="138"/>
      <c r="EG253" s="138"/>
      <c r="EH253" s="138"/>
      <c r="EI253" s="138"/>
      <c r="EJ253" s="138"/>
      <c r="EK253" s="138"/>
      <c r="EL253" s="138"/>
      <c r="EM253" s="138"/>
      <c r="EN253" s="138"/>
    </row>
    <row r="254" spans="1:144" ht="105" customHeight="1" x14ac:dyDescent="0.25">
      <c r="A254" s="938">
        <v>237</v>
      </c>
      <c r="B254" s="944" t="s">
        <v>1000</v>
      </c>
      <c r="C254" s="838">
        <v>80101706</v>
      </c>
      <c r="D254" s="988" t="s">
        <v>1413</v>
      </c>
      <c r="E254" s="940" t="s">
        <v>125</v>
      </c>
      <c r="F254" s="940">
        <v>1</v>
      </c>
      <c r="G254" s="963" t="s">
        <v>165</v>
      </c>
      <c r="H254" s="952" t="s">
        <v>1414</v>
      </c>
      <c r="I254" s="940" t="s">
        <v>96</v>
      </c>
      <c r="J254" s="836" t="s">
        <v>847</v>
      </c>
      <c r="K254" s="836" t="s">
        <v>108</v>
      </c>
      <c r="L254" s="56">
        <v>320000000</v>
      </c>
      <c r="M254" s="69">
        <v>320000000</v>
      </c>
      <c r="N254" s="940" t="s">
        <v>81</v>
      </c>
      <c r="O254" s="940" t="s">
        <v>56</v>
      </c>
      <c r="P254" s="940" t="s">
        <v>126</v>
      </c>
      <c r="Q254" s="45"/>
      <c r="R254" s="1019" t="s">
        <v>2773</v>
      </c>
      <c r="S254" s="1085" t="s">
        <v>2774</v>
      </c>
      <c r="T254" s="1081">
        <v>42535</v>
      </c>
      <c r="U254" s="988" t="s">
        <v>2775</v>
      </c>
      <c r="V254" s="988" t="s">
        <v>2776</v>
      </c>
      <c r="W254" s="1050">
        <v>320000000</v>
      </c>
      <c r="X254" s="1160"/>
      <c r="Y254" s="1209">
        <v>320000000</v>
      </c>
      <c r="Z254" s="1283" t="s">
        <v>2777</v>
      </c>
      <c r="AA254" s="988" t="s">
        <v>2778</v>
      </c>
      <c r="AB254" s="988" t="s">
        <v>748</v>
      </c>
      <c r="AC254" s="1021" t="s">
        <v>2779</v>
      </c>
      <c r="AD254" s="988" t="s">
        <v>2780</v>
      </c>
      <c r="AE254" s="1034">
        <v>42535</v>
      </c>
      <c r="AF254" s="1034">
        <v>42536</v>
      </c>
      <c r="AG254" s="1264" t="s">
        <v>715</v>
      </c>
      <c r="AH254" s="1034">
        <v>42536</v>
      </c>
      <c r="AI254" s="1034">
        <v>42734</v>
      </c>
      <c r="AJ254" s="988" t="s">
        <v>2781</v>
      </c>
      <c r="AK254" s="950" t="s">
        <v>2639</v>
      </c>
      <c r="AL254" s="1139" t="s">
        <v>56</v>
      </c>
      <c r="AM254" s="1139" t="s">
        <v>56</v>
      </c>
      <c r="AN254" s="1139" t="s">
        <v>56</v>
      </c>
      <c r="AO254" s="1139" t="s">
        <v>56</v>
      </c>
      <c r="AP254" s="1139" t="s">
        <v>56</v>
      </c>
      <c r="AQ254" s="1139" t="s">
        <v>56</v>
      </c>
      <c r="AR254" s="1139" t="s">
        <v>56</v>
      </c>
      <c r="AS254" s="1139" t="s">
        <v>56</v>
      </c>
      <c r="AT254" s="1284" t="s">
        <v>2911</v>
      </c>
      <c r="AU254" s="1139"/>
      <c r="AV254" s="1139"/>
      <c r="AW254" s="1139"/>
      <c r="AX254" s="1139"/>
      <c r="AY254" s="1139"/>
      <c r="AZ254" s="1139"/>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c r="CN254" s="138"/>
      <c r="CO254" s="138"/>
      <c r="CP254" s="138"/>
      <c r="CQ254" s="138"/>
      <c r="CR254" s="138"/>
      <c r="CS254" s="138"/>
      <c r="CT254" s="138"/>
      <c r="CU254" s="138"/>
      <c r="CV254" s="138"/>
      <c r="CW254" s="138"/>
      <c r="CX254" s="138"/>
      <c r="CY254" s="138"/>
      <c r="CZ254" s="138"/>
      <c r="DA254" s="138"/>
      <c r="DB254" s="138"/>
      <c r="DC254" s="138"/>
      <c r="DD254" s="138"/>
      <c r="DE254" s="138"/>
      <c r="DF254" s="138"/>
      <c r="DG254" s="138"/>
      <c r="DH254" s="138"/>
      <c r="DI254" s="138"/>
      <c r="DJ254" s="138"/>
      <c r="DK254" s="138"/>
      <c r="DL254" s="138"/>
      <c r="DM254" s="138"/>
      <c r="DN254" s="138"/>
      <c r="DO254" s="138"/>
      <c r="DP254" s="138"/>
      <c r="DQ254" s="138"/>
      <c r="DR254" s="138"/>
      <c r="DS254" s="138"/>
      <c r="DT254" s="138"/>
      <c r="DU254" s="138"/>
      <c r="DV254" s="138"/>
      <c r="DW254" s="138"/>
      <c r="DX254" s="138"/>
      <c r="DY254" s="138"/>
      <c r="DZ254" s="138"/>
      <c r="EA254" s="138"/>
      <c r="EB254" s="138"/>
      <c r="EC254" s="138"/>
      <c r="ED254" s="138"/>
      <c r="EE254" s="138"/>
      <c r="EF254" s="138"/>
      <c r="EG254" s="138"/>
      <c r="EH254" s="138"/>
      <c r="EI254" s="138"/>
      <c r="EJ254" s="138"/>
      <c r="EK254" s="138"/>
      <c r="EL254" s="138"/>
      <c r="EM254" s="138"/>
      <c r="EN254" s="138"/>
    </row>
    <row r="255" spans="1:144" ht="59.25" customHeight="1" x14ac:dyDescent="0.25">
      <c r="A255" s="939"/>
      <c r="B255" s="945"/>
      <c r="C255" s="838">
        <v>80101706</v>
      </c>
      <c r="D255" s="1006"/>
      <c r="E255" s="941"/>
      <c r="F255" s="941"/>
      <c r="G255" s="964"/>
      <c r="H255" s="953"/>
      <c r="I255" s="941"/>
      <c r="J255" s="836" t="s">
        <v>128</v>
      </c>
      <c r="K255" s="836" t="s">
        <v>108</v>
      </c>
      <c r="L255" s="56">
        <v>184000000</v>
      </c>
      <c r="M255" s="69">
        <v>184000000</v>
      </c>
      <c r="N255" s="941"/>
      <c r="O255" s="941"/>
      <c r="P255" s="941"/>
      <c r="Q255" s="45"/>
      <c r="R255" s="1027"/>
      <c r="S255" s="1087"/>
      <c r="T255" s="1083"/>
      <c r="U255" s="1006"/>
      <c r="V255" s="1006"/>
      <c r="W255" s="1050">
        <v>184000000</v>
      </c>
      <c r="X255" s="1173"/>
      <c r="Y255" s="1209">
        <v>184000000</v>
      </c>
      <c r="Z255" s="1285"/>
      <c r="AA255" s="1006"/>
      <c r="AB255" s="1006"/>
      <c r="AC255" s="959"/>
      <c r="AD255" s="1006"/>
      <c r="AE255" s="1039"/>
      <c r="AF255" s="1039"/>
      <c r="AG255" s="1267"/>
      <c r="AH255" s="1039"/>
      <c r="AI255" s="1039"/>
      <c r="AJ255" s="1006"/>
      <c r="AK255" s="951"/>
      <c r="AL255" s="1144"/>
      <c r="AM255" s="1144"/>
      <c r="AN255" s="1144"/>
      <c r="AO255" s="1144"/>
      <c r="AP255" s="1144"/>
      <c r="AQ255" s="1144"/>
      <c r="AR255" s="1144"/>
      <c r="AS255" s="1144"/>
      <c r="AT255" s="1144"/>
      <c r="AU255" s="1144"/>
      <c r="AV255" s="1144"/>
      <c r="AW255" s="1144"/>
      <c r="AX255" s="1144"/>
      <c r="AY255" s="1144"/>
      <c r="AZ255" s="1144"/>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c r="CN255" s="138"/>
      <c r="CO255" s="138"/>
      <c r="CP255" s="138"/>
      <c r="CQ255" s="138"/>
      <c r="CR255" s="138"/>
      <c r="CS255" s="138"/>
      <c r="CT255" s="138"/>
      <c r="CU255" s="138"/>
      <c r="CV255" s="138"/>
      <c r="CW255" s="138"/>
      <c r="CX255" s="138"/>
      <c r="CY255" s="138"/>
      <c r="CZ255" s="138"/>
      <c r="DA255" s="138"/>
      <c r="DB255" s="138"/>
      <c r="DC255" s="138"/>
      <c r="DD255" s="138"/>
      <c r="DE255" s="138"/>
      <c r="DF255" s="138"/>
      <c r="DG255" s="138"/>
      <c r="DH255" s="138"/>
      <c r="DI255" s="138"/>
      <c r="DJ255" s="138"/>
      <c r="DK255" s="138"/>
      <c r="DL255" s="138"/>
      <c r="DM255" s="138"/>
      <c r="DN255" s="138"/>
      <c r="DO255" s="138"/>
      <c r="DP255" s="138"/>
      <c r="DQ255" s="138"/>
      <c r="DR255" s="138"/>
      <c r="DS255" s="138"/>
      <c r="DT255" s="138"/>
      <c r="DU255" s="138"/>
      <c r="DV255" s="138"/>
      <c r="DW255" s="138"/>
      <c r="DX255" s="138"/>
      <c r="DY255" s="138"/>
      <c r="DZ255" s="138"/>
      <c r="EA255" s="138"/>
      <c r="EB255" s="138"/>
      <c r="EC255" s="138"/>
      <c r="ED255" s="138"/>
      <c r="EE255" s="138"/>
      <c r="EF255" s="138"/>
      <c r="EG255" s="138"/>
      <c r="EH255" s="138"/>
      <c r="EI255" s="138"/>
      <c r="EJ255" s="138"/>
      <c r="EK255" s="138"/>
      <c r="EL255" s="138"/>
      <c r="EM255" s="138"/>
      <c r="EN255" s="138"/>
    </row>
    <row r="256" spans="1:144" ht="66" customHeight="1" x14ac:dyDescent="0.25">
      <c r="A256" s="832">
        <v>238</v>
      </c>
      <c r="B256" s="833" t="s">
        <v>989</v>
      </c>
      <c r="C256" s="836">
        <v>80101706</v>
      </c>
      <c r="D256" s="831" t="s">
        <v>1532</v>
      </c>
      <c r="E256" s="836" t="s">
        <v>95</v>
      </c>
      <c r="F256" s="836">
        <v>1</v>
      </c>
      <c r="G256" s="834" t="s">
        <v>165</v>
      </c>
      <c r="H256" s="835">
        <v>7.5</v>
      </c>
      <c r="I256" s="836" t="s">
        <v>96</v>
      </c>
      <c r="J256" s="836" t="s">
        <v>844</v>
      </c>
      <c r="K256" s="836" t="s">
        <v>108</v>
      </c>
      <c r="L256" s="56">
        <v>21000000</v>
      </c>
      <c r="M256" s="69">
        <v>21000000</v>
      </c>
      <c r="N256" s="836" t="s">
        <v>81</v>
      </c>
      <c r="O256" s="836" t="s">
        <v>56</v>
      </c>
      <c r="P256" s="24" t="s">
        <v>126</v>
      </c>
      <c r="Q256" s="45"/>
      <c r="R256" s="172" t="s">
        <v>2782</v>
      </c>
      <c r="S256" s="982" t="s">
        <v>2783</v>
      </c>
      <c r="T256" s="166">
        <v>42543</v>
      </c>
      <c r="U256" s="831" t="s">
        <v>2784</v>
      </c>
      <c r="V256" s="411" t="s">
        <v>212</v>
      </c>
      <c r="W256" s="1050">
        <v>18000000</v>
      </c>
      <c r="X256" s="138"/>
      <c r="Y256" s="134">
        <f t="shared" si="4"/>
        <v>18000000</v>
      </c>
      <c r="Z256" s="831" t="s">
        <v>2785</v>
      </c>
      <c r="AA256" s="411" t="s">
        <v>2786</v>
      </c>
      <c r="AB256" s="411" t="s">
        <v>225</v>
      </c>
      <c r="AC256" s="181" t="s">
        <v>2787</v>
      </c>
      <c r="AD256" s="411" t="s">
        <v>56</v>
      </c>
      <c r="AE256" s="411" t="s">
        <v>56</v>
      </c>
      <c r="AF256" s="411" t="s">
        <v>56</v>
      </c>
      <c r="AG256" s="831" t="s">
        <v>2729</v>
      </c>
      <c r="AH256" s="169">
        <v>42543</v>
      </c>
      <c r="AI256" s="169">
        <v>42725</v>
      </c>
      <c r="AJ256" s="833" t="s">
        <v>2788</v>
      </c>
      <c r="AK256" s="134" t="s">
        <v>390</v>
      </c>
      <c r="AL256" s="1148" t="s">
        <v>56</v>
      </c>
      <c r="AM256" s="1148" t="s">
        <v>56</v>
      </c>
      <c r="AN256" s="1148" t="s">
        <v>56</v>
      </c>
      <c r="AO256" s="1148" t="s">
        <v>56</v>
      </c>
      <c r="AP256" s="1148" t="s">
        <v>56</v>
      </c>
      <c r="AQ256" s="1148" t="s">
        <v>56</v>
      </c>
      <c r="AR256" s="1148" t="s">
        <v>56</v>
      </c>
      <c r="AS256" s="1148" t="s">
        <v>56</v>
      </c>
      <c r="AT256" s="1153">
        <v>3000000</v>
      </c>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c r="CN256" s="138"/>
      <c r="CO256" s="138"/>
      <c r="CP256" s="138"/>
      <c r="CQ256" s="138"/>
      <c r="CR256" s="138"/>
      <c r="CS256" s="138"/>
      <c r="CT256" s="138"/>
      <c r="CU256" s="138"/>
      <c r="CV256" s="138"/>
      <c r="CW256" s="138"/>
      <c r="CX256" s="138"/>
      <c r="CY256" s="138"/>
      <c r="CZ256" s="138"/>
      <c r="DA256" s="138"/>
      <c r="DB256" s="138"/>
      <c r="DC256" s="138"/>
      <c r="DD256" s="138"/>
      <c r="DE256" s="138"/>
      <c r="DF256" s="138"/>
      <c r="DG256" s="138"/>
      <c r="DH256" s="138"/>
      <c r="DI256" s="138"/>
      <c r="DJ256" s="138"/>
      <c r="DK256" s="138"/>
      <c r="DL256" s="138"/>
      <c r="DM256" s="138"/>
      <c r="DN256" s="138"/>
      <c r="DO256" s="138"/>
      <c r="DP256" s="138"/>
      <c r="DQ256" s="138"/>
      <c r="DR256" s="138"/>
      <c r="DS256" s="138"/>
      <c r="DT256" s="138"/>
      <c r="DU256" s="138"/>
      <c r="DV256" s="138"/>
      <c r="DW256" s="138"/>
      <c r="DX256" s="138"/>
      <c r="DY256" s="138"/>
      <c r="DZ256" s="138"/>
      <c r="EA256" s="138"/>
      <c r="EB256" s="138"/>
      <c r="EC256" s="138"/>
      <c r="ED256" s="138"/>
      <c r="EE256" s="138"/>
      <c r="EF256" s="138"/>
      <c r="EG256" s="138"/>
      <c r="EH256" s="138"/>
      <c r="EI256" s="138"/>
      <c r="EJ256" s="138"/>
      <c r="EK256" s="138"/>
      <c r="EL256" s="138"/>
      <c r="EM256" s="138"/>
      <c r="EN256" s="138"/>
    </row>
    <row r="257" spans="1:144" ht="108.75" customHeight="1" x14ac:dyDescent="0.25">
      <c r="A257" s="832">
        <v>239</v>
      </c>
      <c r="B257" s="836" t="s">
        <v>998</v>
      </c>
      <c r="C257" s="833">
        <v>80101706</v>
      </c>
      <c r="D257" s="175" t="s">
        <v>1533</v>
      </c>
      <c r="E257" s="833" t="s">
        <v>125</v>
      </c>
      <c r="F257" s="833">
        <v>1</v>
      </c>
      <c r="G257" s="412" t="s">
        <v>165</v>
      </c>
      <c r="H257" s="485">
        <v>7</v>
      </c>
      <c r="I257" s="1101" t="s">
        <v>141</v>
      </c>
      <c r="J257" s="836" t="s">
        <v>2846</v>
      </c>
      <c r="K257" s="833" t="s">
        <v>108</v>
      </c>
      <c r="L257" s="68">
        <f>(24800000/4)*7</f>
        <v>43400000</v>
      </c>
      <c r="M257" s="69">
        <f>(24800000/4)*7</f>
        <v>43400000</v>
      </c>
      <c r="N257" s="833" t="s">
        <v>81</v>
      </c>
      <c r="O257" s="833" t="s">
        <v>56</v>
      </c>
      <c r="P257" s="25" t="s">
        <v>61</v>
      </c>
      <c r="Q257" s="45"/>
      <c r="R257" s="172" t="s">
        <v>2789</v>
      </c>
      <c r="S257" s="172" t="s">
        <v>379</v>
      </c>
      <c r="T257" s="28">
        <v>42515</v>
      </c>
      <c r="U257" s="1286" t="s">
        <v>2790</v>
      </c>
      <c r="V257" s="181" t="s">
        <v>212</v>
      </c>
      <c r="W257" s="1050">
        <v>43400000</v>
      </c>
      <c r="X257" s="1102"/>
      <c r="Y257" s="30">
        <f>SUM(W257+X257)</f>
        <v>43400000</v>
      </c>
      <c r="Z257" s="994" t="s">
        <v>2791</v>
      </c>
      <c r="AA257" s="411" t="s">
        <v>2792</v>
      </c>
      <c r="AB257" s="411" t="s">
        <v>350</v>
      </c>
      <c r="AC257" s="181" t="s">
        <v>2793</v>
      </c>
      <c r="AD257" s="411" t="s">
        <v>56</v>
      </c>
      <c r="AE257" s="411" t="s">
        <v>56</v>
      </c>
      <c r="AF257" s="411" t="s">
        <v>56</v>
      </c>
      <c r="AG257" s="168" t="s">
        <v>1292</v>
      </c>
      <c r="AH257" s="169">
        <v>42515</v>
      </c>
      <c r="AI257" s="169">
        <v>42728</v>
      </c>
      <c r="AJ257" s="411" t="s">
        <v>362</v>
      </c>
      <c r="AK257" s="134" t="s">
        <v>1512</v>
      </c>
      <c r="AL257" s="1287" t="s">
        <v>56</v>
      </c>
      <c r="AM257" s="1287" t="s">
        <v>56</v>
      </c>
      <c r="AN257" s="1287" t="s">
        <v>56</v>
      </c>
      <c r="AO257" s="1287" t="s">
        <v>56</v>
      </c>
      <c r="AP257" s="1287" t="s">
        <v>56</v>
      </c>
      <c r="AQ257" s="1287" t="s">
        <v>56</v>
      </c>
      <c r="AR257" s="1153">
        <v>6200000</v>
      </c>
      <c r="AS257" s="138"/>
      <c r="AT257" s="1153">
        <v>6200000</v>
      </c>
      <c r="AU257" s="138"/>
      <c r="AV257" s="138"/>
      <c r="AW257" s="138"/>
      <c r="AX257" s="138"/>
      <c r="AY257" s="138"/>
      <c r="AZ257" s="138"/>
      <c r="BA257" s="592"/>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c r="CN257" s="138"/>
      <c r="CO257" s="138"/>
      <c r="CP257" s="138"/>
      <c r="CQ257" s="138"/>
      <c r="CR257" s="138"/>
      <c r="CS257" s="138"/>
      <c r="CT257" s="138"/>
      <c r="CU257" s="138"/>
      <c r="CV257" s="138"/>
      <c r="CW257" s="138"/>
      <c r="CX257" s="138"/>
      <c r="CY257" s="138"/>
      <c r="CZ257" s="138"/>
      <c r="DA257" s="138"/>
      <c r="DB257" s="138"/>
      <c r="DC257" s="138"/>
      <c r="DD257" s="138"/>
      <c r="DE257" s="138"/>
      <c r="DF257" s="138"/>
      <c r="DG257" s="138"/>
      <c r="DH257" s="138"/>
      <c r="DI257" s="138"/>
      <c r="DJ257" s="138"/>
      <c r="DK257" s="138"/>
      <c r="DL257" s="138"/>
      <c r="DM257" s="138"/>
      <c r="DN257" s="138"/>
      <c r="DO257" s="138"/>
      <c r="DP257" s="138"/>
      <c r="DQ257" s="138"/>
      <c r="DR257" s="138"/>
      <c r="DS257" s="138"/>
      <c r="DT257" s="138"/>
      <c r="DU257" s="138"/>
      <c r="DV257" s="138"/>
      <c r="DW257" s="138"/>
      <c r="DX257" s="138"/>
      <c r="DY257" s="138"/>
      <c r="DZ257" s="138"/>
      <c r="EA257" s="138"/>
      <c r="EB257" s="138"/>
      <c r="EC257" s="138"/>
      <c r="ED257" s="138"/>
      <c r="EE257" s="138"/>
      <c r="EF257" s="138"/>
      <c r="EG257" s="138"/>
      <c r="EH257" s="138"/>
      <c r="EI257" s="138"/>
      <c r="EJ257" s="138"/>
      <c r="EK257" s="138"/>
      <c r="EL257" s="138"/>
      <c r="EM257" s="138"/>
      <c r="EN257" s="138"/>
    </row>
    <row r="258" spans="1:144" ht="108.75" customHeight="1" x14ac:dyDescent="0.25">
      <c r="A258" s="832">
        <v>240</v>
      </c>
      <c r="B258" s="836" t="s">
        <v>998</v>
      </c>
      <c r="C258" s="833">
        <v>80101706</v>
      </c>
      <c r="D258" s="175" t="s">
        <v>1534</v>
      </c>
      <c r="E258" s="833" t="s">
        <v>125</v>
      </c>
      <c r="F258" s="833">
        <v>1</v>
      </c>
      <c r="G258" s="412" t="s">
        <v>165</v>
      </c>
      <c r="H258" s="485">
        <v>7</v>
      </c>
      <c r="I258" s="1101" t="s">
        <v>141</v>
      </c>
      <c r="J258" s="836" t="s">
        <v>2846</v>
      </c>
      <c r="K258" s="833" t="s">
        <v>108</v>
      </c>
      <c r="L258" s="68">
        <f>(24800000/4)*7</f>
        <v>43400000</v>
      </c>
      <c r="M258" s="69">
        <f>(24800000/4)*7</f>
        <v>43400000</v>
      </c>
      <c r="N258" s="833" t="s">
        <v>81</v>
      </c>
      <c r="O258" s="833" t="s">
        <v>56</v>
      </c>
      <c r="P258" s="25" t="s">
        <v>61</v>
      </c>
      <c r="Q258" s="45"/>
      <c r="R258" s="172" t="s">
        <v>2794</v>
      </c>
      <c r="S258" s="172" t="s">
        <v>372</v>
      </c>
      <c r="T258" s="28">
        <v>42515</v>
      </c>
      <c r="U258" s="1012" t="s">
        <v>2795</v>
      </c>
      <c r="V258" s="181" t="s">
        <v>212</v>
      </c>
      <c r="W258" s="1050">
        <v>43400000</v>
      </c>
      <c r="X258" s="1102"/>
      <c r="Y258" s="30">
        <f>SUM(W258+X258)</f>
        <v>43400000</v>
      </c>
      <c r="Z258" s="994" t="s">
        <v>2791</v>
      </c>
      <c r="AA258" s="411" t="s">
        <v>2796</v>
      </c>
      <c r="AB258" s="411" t="s">
        <v>350</v>
      </c>
      <c r="AC258" s="181" t="s">
        <v>2797</v>
      </c>
      <c r="AD258" s="411" t="s">
        <v>56</v>
      </c>
      <c r="AE258" s="411" t="s">
        <v>56</v>
      </c>
      <c r="AF258" s="411" t="s">
        <v>56</v>
      </c>
      <c r="AG258" s="168" t="s">
        <v>1292</v>
      </c>
      <c r="AH258" s="169">
        <v>42515</v>
      </c>
      <c r="AI258" s="169">
        <v>42728</v>
      </c>
      <c r="AJ258" s="411" t="s">
        <v>362</v>
      </c>
      <c r="AK258" s="134" t="s">
        <v>1512</v>
      </c>
      <c r="AL258" s="1148" t="s">
        <v>56</v>
      </c>
      <c r="AM258" s="1148" t="s">
        <v>56</v>
      </c>
      <c r="AN258" s="1148" t="s">
        <v>56</v>
      </c>
      <c r="AO258" s="1148" t="s">
        <v>56</v>
      </c>
      <c r="AP258" s="1148" t="s">
        <v>56</v>
      </c>
      <c r="AQ258" s="1148" t="s">
        <v>56</v>
      </c>
      <c r="AR258" s="1148" t="s">
        <v>56</v>
      </c>
      <c r="AS258" s="1148" t="s">
        <v>56</v>
      </c>
      <c r="AT258" s="1153">
        <v>6200000</v>
      </c>
      <c r="AU258" s="1153">
        <v>6200000</v>
      </c>
      <c r="AV258" s="138"/>
      <c r="AW258" s="138"/>
      <c r="AX258" s="138"/>
      <c r="AY258" s="138"/>
      <c r="AZ258" s="138"/>
    </row>
    <row r="259" spans="1:144" ht="102" customHeight="1" x14ac:dyDescent="0.25">
      <c r="A259" s="832">
        <v>241</v>
      </c>
      <c r="B259" s="836" t="s">
        <v>998</v>
      </c>
      <c r="C259" s="836">
        <v>80101706</v>
      </c>
      <c r="D259" s="171" t="s">
        <v>1529</v>
      </c>
      <c r="E259" s="836" t="s">
        <v>125</v>
      </c>
      <c r="F259" s="833">
        <v>1</v>
      </c>
      <c r="G259" s="412" t="s">
        <v>165</v>
      </c>
      <c r="H259" s="485">
        <v>7</v>
      </c>
      <c r="I259" s="73" t="s">
        <v>141</v>
      </c>
      <c r="J259" s="836" t="s">
        <v>2846</v>
      </c>
      <c r="K259" s="836" t="s">
        <v>108</v>
      </c>
      <c r="L259" s="56">
        <f>(20000000/4)*7</f>
        <v>35000000</v>
      </c>
      <c r="M259" s="69">
        <f>(20000000/4)*7</f>
        <v>35000000</v>
      </c>
      <c r="N259" s="836" t="s">
        <v>81</v>
      </c>
      <c r="O259" s="836" t="s">
        <v>56</v>
      </c>
      <c r="P259" s="58" t="s">
        <v>61</v>
      </c>
      <c r="Q259" s="45"/>
      <c r="R259" s="172" t="s">
        <v>2829</v>
      </c>
      <c r="S259" s="1074" t="s">
        <v>421</v>
      </c>
      <c r="T259" s="166">
        <v>42545</v>
      </c>
      <c r="U259" s="831" t="s">
        <v>2830</v>
      </c>
      <c r="V259" s="411" t="s">
        <v>212</v>
      </c>
      <c r="W259" s="1090">
        <v>30000000</v>
      </c>
      <c r="X259" s="138"/>
      <c r="Y259" s="134">
        <f>SUM(W259+X259)</f>
        <v>30000000</v>
      </c>
      <c r="Z259" s="831" t="s">
        <v>2831</v>
      </c>
      <c r="AA259" s="411" t="s">
        <v>2832</v>
      </c>
      <c r="AB259" s="411" t="s">
        <v>35</v>
      </c>
      <c r="AC259" s="181" t="s">
        <v>2833</v>
      </c>
      <c r="AD259" s="411" t="s">
        <v>56</v>
      </c>
      <c r="AE259" s="411" t="s">
        <v>56</v>
      </c>
      <c r="AF259" s="411" t="s">
        <v>56</v>
      </c>
      <c r="AG259" s="831" t="s">
        <v>2729</v>
      </c>
      <c r="AH259" s="169">
        <v>42545</v>
      </c>
      <c r="AI259" s="169">
        <v>42727</v>
      </c>
      <c r="AJ259" s="411" t="s">
        <v>2939</v>
      </c>
      <c r="AK259" s="134" t="s">
        <v>1512</v>
      </c>
      <c r="AL259" s="1148" t="s">
        <v>56</v>
      </c>
      <c r="AM259" s="1148" t="s">
        <v>56</v>
      </c>
      <c r="AN259" s="1148" t="s">
        <v>56</v>
      </c>
      <c r="AO259" s="1148" t="s">
        <v>56</v>
      </c>
      <c r="AP259" s="1148" t="s">
        <v>56</v>
      </c>
      <c r="AQ259" s="1148" t="s">
        <v>56</v>
      </c>
      <c r="AR259" s="1148" t="s">
        <v>56</v>
      </c>
      <c r="AS259" s="1148" t="s">
        <v>56</v>
      </c>
      <c r="AT259" s="1153">
        <v>5000000</v>
      </c>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c r="CN259" s="138"/>
      <c r="CO259" s="138"/>
      <c r="CP259" s="138"/>
      <c r="CQ259" s="138"/>
      <c r="CR259" s="138"/>
      <c r="CS259" s="138"/>
      <c r="CT259" s="138"/>
      <c r="CU259" s="138"/>
      <c r="CV259" s="138"/>
      <c r="CW259" s="138"/>
      <c r="CX259" s="138"/>
      <c r="CY259" s="138"/>
      <c r="CZ259" s="138"/>
      <c r="DA259" s="138"/>
      <c r="DB259" s="138"/>
      <c r="DC259" s="138"/>
      <c r="DD259" s="138"/>
      <c r="DE259" s="138"/>
      <c r="DF259" s="138"/>
      <c r="DG259" s="138"/>
      <c r="DH259" s="138"/>
      <c r="DI259" s="138"/>
      <c r="DJ259" s="138"/>
      <c r="DK259" s="138"/>
      <c r="DL259" s="138"/>
      <c r="DM259" s="138"/>
      <c r="DN259" s="138"/>
      <c r="DO259" s="138"/>
      <c r="DP259" s="138"/>
      <c r="DQ259" s="138"/>
      <c r="DR259" s="138"/>
      <c r="DS259" s="138"/>
      <c r="DT259" s="138"/>
      <c r="DU259" s="138"/>
      <c r="DV259" s="138"/>
      <c r="DW259" s="138"/>
      <c r="DX259" s="138"/>
      <c r="DY259" s="138"/>
      <c r="DZ259" s="138"/>
      <c r="EA259" s="138"/>
      <c r="EB259" s="138"/>
      <c r="EC259" s="138"/>
      <c r="ED259" s="138"/>
      <c r="EE259" s="138"/>
      <c r="EF259" s="138"/>
      <c r="EG259" s="138"/>
      <c r="EH259" s="138"/>
      <c r="EI259" s="138"/>
      <c r="EJ259" s="138"/>
      <c r="EK259" s="138"/>
      <c r="EL259" s="138"/>
      <c r="EM259" s="138"/>
      <c r="EN259" s="138"/>
    </row>
    <row r="260" spans="1:144" ht="114.75" customHeight="1" x14ac:dyDescent="0.25">
      <c r="A260" s="938">
        <v>242</v>
      </c>
      <c r="B260" s="940" t="s">
        <v>1538</v>
      </c>
      <c r="C260" s="838">
        <v>80101706</v>
      </c>
      <c r="D260" s="942" t="s">
        <v>1781</v>
      </c>
      <c r="E260" s="940" t="s">
        <v>95</v>
      </c>
      <c r="F260" s="944">
        <v>1</v>
      </c>
      <c r="G260" s="1288" t="s">
        <v>1539</v>
      </c>
      <c r="H260" s="952">
        <v>6</v>
      </c>
      <c r="I260" s="1289" t="s">
        <v>96</v>
      </c>
      <c r="J260" s="836" t="s">
        <v>847</v>
      </c>
      <c r="K260" s="836" t="s">
        <v>108</v>
      </c>
      <c r="L260" s="56">
        <v>12000000</v>
      </c>
      <c r="M260" s="69">
        <v>12000000</v>
      </c>
      <c r="N260" s="836" t="s">
        <v>81</v>
      </c>
      <c r="O260" s="836" t="s">
        <v>56</v>
      </c>
      <c r="P260" s="1290" t="s">
        <v>126</v>
      </c>
      <c r="Q260" s="45"/>
      <c r="R260" s="1019" t="s">
        <v>2798</v>
      </c>
      <c r="S260" s="1085" t="s">
        <v>2799</v>
      </c>
      <c r="T260" s="1081">
        <v>42530</v>
      </c>
      <c r="U260" s="988" t="s">
        <v>2800</v>
      </c>
      <c r="V260" s="988" t="s">
        <v>212</v>
      </c>
      <c r="W260" s="1050">
        <v>12000000</v>
      </c>
      <c r="X260" s="1291"/>
      <c r="Y260" s="134">
        <f t="shared" si="4"/>
        <v>12000000</v>
      </c>
      <c r="Z260" s="1139" t="s">
        <v>2801</v>
      </c>
      <c r="AA260" s="988" t="s">
        <v>2802</v>
      </c>
      <c r="AB260" s="988" t="s">
        <v>748</v>
      </c>
      <c r="AC260" s="1021" t="s">
        <v>2803</v>
      </c>
      <c r="AD260" s="988" t="s">
        <v>56</v>
      </c>
      <c r="AE260" s="988" t="s">
        <v>56</v>
      </c>
      <c r="AF260" s="988" t="s">
        <v>56</v>
      </c>
      <c r="AG260" s="1264" t="s">
        <v>2804</v>
      </c>
      <c r="AH260" s="1034">
        <v>42530</v>
      </c>
      <c r="AI260" s="1034">
        <v>42712</v>
      </c>
      <c r="AJ260" s="988" t="s">
        <v>207</v>
      </c>
      <c r="AK260" s="950" t="s">
        <v>2639</v>
      </c>
      <c r="AL260" s="1157" t="s">
        <v>56</v>
      </c>
      <c r="AM260" s="1157" t="s">
        <v>56</v>
      </c>
      <c r="AN260" s="1157" t="s">
        <v>56</v>
      </c>
      <c r="AO260" s="1157" t="s">
        <v>56</v>
      </c>
      <c r="AP260" s="1157" t="s">
        <v>56</v>
      </c>
      <c r="AQ260" s="1157" t="s">
        <v>56</v>
      </c>
      <c r="AR260" s="1157" t="s">
        <v>56</v>
      </c>
      <c r="AS260" s="1157" t="s">
        <v>56</v>
      </c>
      <c r="AT260" s="1158">
        <v>4000000</v>
      </c>
      <c r="AU260" s="1158">
        <v>4000000</v>
      </c>
      <c r="AV260" s="1160"/>
      <c r="AW260" s="1160"/>
      <c r="AX260" s="1160"/>
      <c r="AY260" s="1160"/>
      <c r="AZ260" s="1160"/>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c r="CN260" s="138"/>
      <c r="CO260" s="138"/>
      <c r="CP260" s="138"/>
      <c r="CQ260" s="138"/>
      <c r="CR260" s="138"/>
      <c r="CS260" s="138"/>
      <c r="CT260" s="138"/>
      <c r="CU260" s="138"/>
      <c r="CV260" s="138"/>
      <c r="CW260" s="138"/>
      <c r="CX260" s="138"/>
      <c r="CY260" s="138"/>
      <c r="CZ260" s="138"/>
      <c r="DA260" s="138"/>
      <c r="DB260" s="138"/>
      <c r="DC260" s="138"/>
      <c r="DD260" s="138"/>
      <c r="DE260" s="138"/>
      <c r="DF260" s="138"/>
      <c r="DG260" s="138"/>
      <c r="DH260" s="138"/>
      <c r="DI260" s="138"/>
      <c r="DJ260" s="138"/>
      <c r="DK260" s="138"/>
      <c r="DL260" s="138"/>
      <c r="DM260" s="138"/>
      <c r="DN260" s="138"/>
      <c r="DO260" s="138"/>
      <c r="DP260" s="138"/>
      <c r="DQ260" s="138"/>
      <c r="DR260" s="138"/>
      <c r="DS260" s="138"/>
      <c r="DT260" s="138"/>
      <c r="DU260" s="138"/>
      <c r="DV260" s="138"/>
      <c r="DW260" s="138"/>
      <c r="DX260" s="138"/>
      <c r="DY260" s="138"/>
      <c r="DZ260" s="138"/>
      <c r="EA260" s="138"/>
      <c r="EB260" s="138"/>
      <c r="EC260" s="138"/>
      <c r="ED260" s="138"/>
      <c r="EE260" s="138"/>
      <c r="EF260" s="138"/>
      <c r="EG260" s="138"/>
      <c r="EH260" s="138"/>
      <c r="EI260" s="138"/>
      <c r="EJ260" s="138"/>
      <c r="EK260" s="138"/>
      <c r="EL260" s="138"/>
      <c r="EM260" s="138"/>
      <c r="EN260" s="138"/>
    </row>
    <row r="261" spans="1:144" ht="34.5" customHeight="1" x14ac:dyDescent="0.25">
      <c r="A261" s="939"/>
      <c r="B261" s="941"/>
      <c r="C261" s="839"/>
      <c r="D261" s="943"/>
      <c r="E261" s="941"/>
      <c r="F261" s="945"/>
      <c r="G261" s="1292"/>
      <c r="H261" s="953"/>
      <c r="I261" s="1293"/>
      <c r="J261" s="836" t="s">
        <v>128</v>
      </c>
      <c r="K261" s="836" t="s">
        <v>108</v>
      </c>
      <c r="L261" s="56">
        <v>12000000</v>
      </c>
      <c r="M261" s="69">
        <v>12000000</v>
      </c>
      <c r="N261" s="836" t="s">
        <v>81</v>
      </c>
      <c r="O261" s="836" t="s">
        <v>56</v>
      </c>
      <c r="P261" s="1290" t="s">
        <v>126</v>
      </c>
      <c r="Q261" s="45"/>
      <c r="R261" s="1027"/>
      <c r="S261" s="1087"/>
      <c r="T261" s="1083"/>
      <c r="U261" s="1006"/>
      <c r="V261" s="1006"/>
      <c r="W261" s="1050">
        <v>12000000</v>
      </c>
      <c r="X261" s="1294"/>
      <c r="Y261" s="134">
        <f t="shared" si="4"/>
        <v>12000000</v>
      </c>
      <c r="Z261" s="1144"/>
      <c r="AA261" s="1006"/>
      <c r="AB261" s="1006"/>
      <c r="AC261" s="959"/>
      <c r="AD261" s="1006"/>
      <c r="AE261" s="1006"/>
      <c r="AF261" s="1006"/>
      <c r="AG261" s="1267"/>
      <c r="AH261" s="1039"/>
      <c r="AI261" s="1039"/>
      <c r="AJ261" s="1006"/>
      <c r="AK261" s="951"/>
      <c r="AL261" s="1163"/>
      <c r="AM261" s="1163"/>
      <c r="AN261" s="1163"/>
      <c r="AO261" s="1163"/>
      <c r="AP261" s="1163"/>
      <c r="AQ261" s="1163"/>
      <c r="AR261" s="1163"/>
      <c r="AS261" s="1163"/>
      <c r="AT261" s="1163"/>
      <c r="AU261" s="1163"/>
      <c r="AV261" s="1173"/>
      <c r="AW261" s="1173"/>
      <c r="AX261" s="1173"/>
      <c r="AY261" s="1173"/>
      <c r="AZ261" s="1173"/>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c r="CN261" s="138"/>
      <c r="CO261" s="138"/>
      <c r="CP261" s="138"/>
      <c r="CQ261" s="138"/>
      <c r="CR261" s="138"/>
      <c r="CS261" s="138"/>
      <c r="CT261" s="138"/>
      <c r="CU261" s="138"/>
      <c r="CV261" s="138"/>
      <c r="CW261" s="138"/>
      <c r="CX261" s="138"/>
      <c r="CY261" s="138"/>
      <c r="CZ261" s="138"/>
      <c r="DA261" s="138"/>
      <c r="DB261" s="138"/>
      <c r="DC261" s="138"/>
      <c r="DD261" s="138"/>
      <c r="DE261" s="138"/>
      <c r="DF261" s="138"/>
      <c r="DG261" s="138"/>
      <c r="DH261" s="138"/>
      <c r="DI261" s="138"/>
      <c r="DJ261" s="138"/>
      <c r="DK261" s="138"/>
      <c r="DL261" s="138"/>
      <c r="DM261" s="138"/>
      <c r="DN261" s="138"/>
      <c r="DO261" s="138"/>
      <c r="DP261" s="138"/>
      <c r="DQ261" s="138"/>
      <c r="DR261" s="138"/>
      <c r="DS261" s="138"/>
      <c r="DT261" s="138"/>
      <c r="DU261" s="138"/>
      <c r="DV261" s="138"/>
      <c r="DW261" s="138"/>
      <c r="DX261" s="138"/>
      <c r="DY261" s="138"/>
      <c r="DZ261" s="138"/>
      <c r="EA261" s="138"/>
      <c r="EB261" s="138"/>
      <c r="EC261" s="138"/>
      <c r="ED261" s="138"/>
      <c r="EE261" s="138"/>
      <c r="EF261" s="138"/>
      <c r="EG261" s="138"/>
      <c r="EH261" s="138"/>
      <c r="EI261" s="138"/>
      <c r="EJ261" s="138"/>
      <c r="EK261" s="138"/>
      <c r="EL261" s="138"/>
      <c r="EM261" s="138"/>
      <c r="EN261" s="138"/>
    </row>
    <row r="262" spans="1:144" ht="51" customHeight="1" x14ac:dyDescent="0.25">
      <c r="A262" s="837">
        <v>243</v>
      </c>
      <c r="B262" s="840" t="s">
        <v>987</v>
      </c>
      <c r="C262" s="838">
        <v>80101706</v>
      </c>
      <c r="D262" s="1295" t="s">
        <v>1540</v>
      </c>
      <c r="E262" s="838" t="s">
        <v>125</v>
      </c>
      <c r="F262" s="840">
        <v>1</v>
      </c>
      <c r="G262" s="842" t="s">
        <v>165</v>
      </c>
      <c r="H262" s="1296">
        <v>6</v>
      </c>
      <c r="I262" s="795" t="s">
        <v>96</v>
      </c>
      <c r="J262" s="836" t="s">
        <v>128</v>
      </c>
      <c r="K262" s="836" t="s">
        <v>108</v>
      </c>
      <c r="L262" s="56">
        <v>13800000</v>
      </c>
      <c r="M262" s="69">
        <v>13800000</v>
      </c>
      <c r="N262" s="795" t="s">
        <v>81</v>
      </c>
      <c r="O262" s="795" t="s">
        <v>56</v>
      </c>
      <c r="P262" s="795" t="s">
        <v>126</v>
      </c>
      <c r="Q262" s="45"/>
      <c r="R262" s="172" t="s">
        <v>2805</v>
      </c>
      <c r="S262" s="982" t="s">
        <v>2806</v>
      </c>
      <c r="T262" s="166">
        <v>42535</v>
      </c>
      <c r="U262" s="831" t="s">
        <v>2807</v>
      </c>
      <c r="V262" s="411" t="s">
        <v>212</v>
      </c>
      <c r="W262" s="1050">
        <v>13800000</v>
      </c>
      <c r="X262" s="138"/>
      <c r="Y262" s="134">
        <f t="shared" si="4"/>
        <v>13800000</v>
      </c>
      <c r="Z262" s="411" t="s">
        <v>2808</v>
      </c>
      <c r="AA262" s="411" t="s">
        <v>2809</v>
      </c>
      <c r="AB262" s="411" t="s">
        <v>215</v>
      </c>
      <c r="AC262" s="181" t="s">
        <v>2810</v>
      </c>
      <c r="AD262" s="411" t="s">
        <v>56</v>
      </c>
      <c r="AE262" s="411" t="s">
        <v>56</v>
      </c>
      <c r="AF262" s="411" t="s">
        <v>56</v>
      </c>
      <c r="AG262" s="411" t="s">
        <v>2811</v>
      </c>
      <c r="AH262" s="169">
        <v>42535</v>
      </c>
      <c r="AI262" s="169">
        <v>42717</v>
      </c>
      <c r="AJ262" s="1282" t="s">
        <v>2812</v>
      </c>
      <c r="AK262" s="134" t="s">
        <v>241</v>
      </c>
      <c r="AL262" s="1148" t="s">
        <v>56</v>
      </c>
      <c r="AM262" s="1148" t="s">
        <v>56</v>
      </c>
      <c r="AN262" s="1148" t="s">
        <v>56</v>
      </c>
      <c r="AO262" s="1148" t="s">
        <v>56</v>
      </c>
      <c r="AP262" s="1148" t="s">
        <v>56</v>
      </c>
      <c r="AQ262" s="1148" t="s">
        <v>56</v>
      </c>
      <c r="AR262" s="1148" t="s">
        <v>56</v>
      </c>
      <c r="AS262" s="1148" t="s">
        <v>56</v>
      </c>
      <c r="AT262" s="1153">
        <v>2300000</v>
      </c>
      <c r="AU262" s="1148"/>
      <c r="AV262" s="1148"/>
      <c r="AW262" s="1148"/>
      <c r="AX262" s="1148"/>
      <c r="AY262" s="1148"/>
      <c r="AZ262" s="114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c r="CN262" s="138"/>
      <c r="CO262" s="138"/>
      <c r="CP262" s="138"/>
      <c r="CQ262" s="138"/>
      <c r="CR262" s="138"/>
      <c r="CS262" s="138"/>
      <c r="CT262" s="138"/>
      <c r="CU262" s="138"/>
      <c r="CV262" s="138"/>
      <c r="CW262" s="138"/>
      <c r="CX262" s="138"/>
      <c r="CY262" s="138"/>
      <c r="CZ262" s="138"/>
      <c r="DA262" s="138"/>
      <c r="DB262" s="138"/>
      <c r="DC262" s="138"/>
      <c r="DD262" s="138"/>
      <c r="DE262" s="138"/>
      <c r="DF262" s="138"/>
      <c r="DG262" s="138"/>
      <c r="DH262" s="138"/>
      <c r="DI262" s="138"/>
      <c r="DJ262" s="138"/>
      <c r="DK262" s="138"/>
      <c r="DL262" s="138"/>
      <c r="DM262" s="138"/>
      <c r="DN262" s="138"/>
      <c r="DO262" s="138"/>
      <c r="DP262" s="138"/>
      <c r="DQ262" s="138"/>
      <c r="DR262" s="138"/>
      <c r="DS262" s="138"/>
      <c r="DT262" s="138"/>
      <c r="DU262" s="138"/>
      <c r="DV262" s="138"/>
      <c r="DW262" s="138"/>
      <c r="DX262" s="138"/>
      <c r="DY262" s="138"/>
      <c r="DZ262" s="138"/>
      <c r="EA262" s="138"/>
      <c r="EB262" s="138"/>
      <c r="EC262" s="138"/>
      <c r="ED262" s="138"/>
      <c r="EE262" s="138"/>
      <c r="EF262" s="138"/>
      <c r="EG262" s="138"/>
      <c r="EH262" s="138"/>
      <c r="EI262" s="138"/>
      <c r="EJ262" s="138"/>
      <c r="EK262" s="138"/>
      <c r="EL262" s="138"/>
      <c r="EM262" s="138"/>
      <c r="EN262" s="138"/>
    </row>
    <row r="263" spans="1:144" ht="71.25" customHeight="1" x14ac:dyDescent="0.25">
      <c r="A263" s="832">
        <v>244</v>
      </c>
      <c r="B263" s="836" t="s">
        <v>1768</v>
      </c>
      <c r="C263" s="836">
        <v>84111603</v>
      </c>
      <c r="D263" s="593" t="s">
        <v>1770</v>
      </c>
      <c r="E263" s="836" t="s">
        <v>125</v>
      </c>
      <c r="F263" s="833">
        <v>1</v>
      </c>
      <c r="G263" s="834" t="s">
        <v>167</v>
      </c>
      <c r="H263" s="485">
        <v>2</v>
      </c>
      <c r="I263" s="73" t="s">
        <v>96</v>
      </c>
      <c r="J263" s="594" t="s">
        <v>105</v>
      </c>
      <c r="K263" s="836" t="s">
        <v>55</v>
      </c>
      <c r="L263" s="69">
        <v>3467890</v>
      </c>
      <c r="M263" s="69">
        <v>3467890</v>
      </c>
      <c r="N263" s="836" t="s">
        <v>81</v>
      </c>
      <c r="O263" s="836" t="s">
        <v>56</v>
      </c>
      <c r="P263" s="58" t="s">
        <v>1769</v>
      </c>
      <c r="Q263" s="45"/>
      <c r="R263" s="138"/>
      <c r="S263" s="637"/>
      <c r="T263" s="138"/>
      <c r="U263" s="138"/>
      <c r="V263" s="138"/>
      <c r="W263" s="138"/>
      <c r="X263" s="138"/>
      <c r="Y263" s="134">
        <f t="shared" si="4"/>
        <v>0</v>
      </c>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c r="CN263" s="138"/>
      <c r="CO263" s="138"/>
      <c r="CP263" s="138"/>
      <c r="CQ263" s="138"/>
      <c r="CR263" s="138"/>
      <c r="CS263" s="138"/>
      <c r="CT263" s="138"/>
      <c r="CU263" s="138"/>
      <c r="CV263" s="138"/>
      <c r="CW263" s="138"/>
      <c r="CX263" s="138"/>
      <c r="CY263" s="138"/>
      <c r="CZ263" s="138"/>
      <c r="DA263" s="138"/>
      <c r="DB263" s="138"/>
      <c r="DC263" s="138"/>
      <c r="DD263" s="138"/>
      <c r="DE263" s="138"/>
      <c r="DF263" s="138"/>
      <c r="DG263" s="138"/>
      <c r="DH263" s="138"/>
      <c r="DI263" s="138"/>
      <c r="DJ263" s="138"/>
      <c r="DK263" s="138"/>
      <c r="DL263" s="138"/>
      <c r="DM263" s="138"/>
      <c r="DN263" s="138"/>
      <c r="DO263" s="138"/>
      <c r="DP263" s="138"/>
      <c r="DQ263" s="138"/>
      <c r="DR263" s="138"/>
      <c r="DS263" s="138"/>
      <c r="DT263" s="138"/>
      <c r="DU263" s="138"/>
      <c r="DV263" s="138"/>
      <c r="DW263" s="138"/>
      <c r="DX263" s="138"/>
      <c r="DY263" s="138"/>
      <c r="DZ263" s="138"/>
      <c r="EA263" s="138"/>
      <c r="EB263" s="138"/>
      <c r="EC263" s="138"/>
      <c r="ED263" s="138"/>
      <c r="EE263" s="138"/>
      <c r="EF263" s="138"/>
      <c r="EG263" s="138"/>
      <c r="EH263" s="138"/>
      <c r="EI263" s="138"/>
      <c r="EJ263" s="138"/>
      <c r="EK263" s="138"/>
      <c r="EL263" s="138"/>
      <c r="EM263" s="138"/>
      <c r="EN263" s="138"/>
    </row>
    <row r="264" spans="1:144" ht="82.5" customHeight="1" x14ac:dyDescent="0.25">
      <c r="A264" s="595">
        <v>245</v>
      </c>
      <c r="B264" s="836" t="s">
        <v>1776</v>
      </c>
      <c r="C264" s="836">
        <v>72102900</v>
      </c>
      <c r="D264" s="596" t="s">
        <v>91</v>
      </c>
      <c r="E264" s="836" t="s">
        <v>76</v>
      </c>
      <c r="F264" s="836">
        <v>1</v>
      </c>
      <c r="G264" s="834" t="s">
        <v>167</v>
      </c>
      <c r="H264" s="485" t="s">
        <v>1325</v>
      </c>
      <c r="I264" s="836" t="s">
        <v>80</v>
      </c>
      <c r="J264" s="836" t="s">
        <v>92</v>
      </c>
      <c r="K264" s="836" t="s">
        <v>55</v>
      </c>
      <c r="L264" s="56">
        <v>144337815</v>
      </c>
      <c r="M264" s="56">
        <v>67357647</v>
      </c>
      <c r="N264" s="836" t="s">
        <v>78</v>
      </c>
      <c r="O264" s="836" t="s">
        <v>56</v>
      </c>
      <c r="P264" s="58" t="s">
        <v>82</v>
      </c>
      <c r="Q264" s="45"/>
      <c r="R264" s="138"/>
      <c r="S264" s="637"/>
      <c r="T264" s="138"/>
      <c r="U264" s="138"/>
      <c r="V264" s="138"/>
      <c r="W264" s="138"/>
      <c r="X264" s="138"/>
      <c r="Y264" s="134">
        <f t="shared" si="4"/>
        <v>0</v>
      </c>
      <c r="Z264" s="138"/>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c r="CN264" s="138"/>
      <c r="CO264" s="138"/>
      <c r="CP264" s="138"/>
      <c r="CQ264" s="138"/>
      <c r="CR264" s="138"/>
      <c r="CS264" s="138"/>
      <c r="CT264" s="138"/>
      <c r="CU264" s="138"/>
      <c r="CV264" s="138"/>
      <c r="CW264" s="138"/>
      <c r="CX264" s="138"/>
      <c r="CY264" s="138"/>
      <c r="CZ264" s="138"/>
      <c r="DA264" s="138"/>
      <c r="DB264" s="138"/>
      <c r="DC264" s="138"/>
      <c r="DD264" s="138"/>
      <c r="DE264" s="138"/>
      <c r="DF264" s="138"/>
      <c r="DG264" s="138"/>
      <c r="DH264" s="138"/>
      <c r="DI264" s="138"/>
      <c r="DJ264" s="138"/>
      <c r="DK264" s="138"/>
      <c r="DL264" s="138"/>
      <c r="DM264" s="138"/>
      <c r="DN264" s="138"/>
      <c r="DO264" s="138"/>
      <c r="DP264" s="138"/>
      <c r="DQ264" s="138"/>
      <c r="DR264" s="138"/>
      <c r="DS264" s="138"/>
      <c r="DT264" s="138"/>
      <c r="DU264" s="138"/>
      <c r="DV264" s="138"/>
      <c r="DW264" s="138"/>
      <c r="DX264" s="138"/>
      <c r="DY264" s="138"/>
      <c r="DZ264" s="138"/>
      <c r="EA264" s="138"/>
      <c r="EB264" s="138"/>
      <c r="EC264" s="138"/>
      <c r="ED264" s="138"/>
      <c r="EE264" s="138"/>
      <c r="EF264" s="138"/>
      <c r="EG264" s="138"/>
      <c r="EH264" s="138"/>
      <c r="EI264" s="138"/>
      <c r="EJ264" s="138"/>
      <c r="EK264" s="138"/>
      <c r="EL264" s="138"/>
      <c r="EM264" s="138"/>
      <c r="EN264" s="138"/>
    </row>
    <row r="265" spans="1:144" ht="111" customHeight="1" x14ac:dyDescent="0.25">
      <c r="A265" s="595">
        <v>246</v>
      </c>
      <c r="B265" s="836" t="s">
        <v>1772</v>
      </c>
      <c r="C265" s="836" t="s">
        <v>1773</v>
      </c>
      <c r="D265" s="596" t="s">
        <v>1774</v>
      </c>
      <c r="E265" s="836" t="s">
        <v>95</v>
      </c>
      <c r="F265" s="836">
        <v>1</v>
      </c>
      <c r="G265" s="834" t="s">
        <v>167</v>
      </c>
      <c r="H265" s="485" t="s">
        <v>2618</v>
      </c>
      <c r="I265" s="836" t="s">
        <v>1775</v>
      </c>
      <c r="J265" s="836" t="s">
        <v>74</v>
      </c>
      <c r="K265" s="836" t="s">
        <v>55</v>
      </c>
      <c r="L265" s="56">
        <v>140000000</v>
      </c>
      <c r="M265" s="56">
        <v>140000000</v>
      </c>
      <c r="N265" s="836" t="s">
        <v>81</v>
      </c>
      <c r="O265" s="836" t="s">
        <v>56</v>
      </c>
      <c r="P265" s="58" t="s">
        <v>82</v>
      </c>
      <c r="Q265" s="45"/>
      <c r="R265" s="138"/>
      <c r="S265" s="637"/>
      <c r="T265" s="138"/>
      <c r="U265" s="138"/>
      <c r="V265" s="138"/>
      <c r="W265" s="138"/>
      <c r="X265" s="138"/>
      <c r="Y265" s="134">
        <f t="shared" si="4"/>
        <v>0</v>
      </c>
      <c r="Z265" s="138"/>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c r="CN265" s="138"/>
      <c r="CO265" s="138"/>
      <c r="CP265" s="138"/>
      <c r="CQ265" s="138"/>
      <c r="CR265" s="138"/>
      <c r="CS265" s="138"/>
      <c r="CT265" s="138"/>
      <c r="CU265" s="138"/>
      <c r="CV265" s="138"/>
      <c r="CW265" s="138"/>
      <c r="CX265" s="138"/>
      <c r="CY265" s="138"/>
      <c r="CZ265" s="138"/>
      <c r="DA265" s="138"/>
      <c r="DB265" s="138"/>
      <c r="DC265" s="138"/>
      <c r="DD265" s="138"/>
      <c r="DE265" s="138"/>
      <c r="DF265" s="138"/>
      <c r="DG265" s="138"/>
      <c r="DH265" s="138"/>
      <c r="DI265" s="138"/>
      <c r="DJ265" s="138"/>
      <c r="DK265" s="138"/>
      <c r="DL265" s="138"/>
      <c r="DM265" s="138"/>
      <c r="DN265" s="138"/>
      <c r="DO265" s="138"/>
      <c r="DP265" s="138"/>
      <c r="DQ265" s="138"/>
      <c r="DR265" s="138"/>
      <c r="DS265" s="138"/>
      <c r="DT265" s="138"/>
      <c r="DU265" s="138"/>
      <c r="DV265" s="138"/>
      <c r="DW265" s="138"/>
      <c r="DX265" s="138"/>
      <c r="DY265" s="138"/>
      <c r="DZ265" s="138"/>
      <c r="EA265" s="138"/>
      <c r="EB265" s="138"/>
      <c r="EC265" s="138"/>
      <c r="ED265" s="138"/>
      <c r="EE265" s="138"/>
      <c r="EF265" s="138"/>
      <c r="EG265" s="138"/>
      <c r="EH265" s="138"/>
      <c r="EI265" s="138"/>
      <c r="EJ265" s="138"/>
      <c r="EK265" s="138"/>
      <c r="EL265" s="138"/>
      <c r="EM265" s="138"/>
      <c r="EN265" s="138"/>
    </row>
    <row r="266" spans="1:144" ht="72.75" customHeight="1" x14ac:dyDescent="0.25">
      <c r="A266" s="595">
        <v>247</v>
      </c>
      <c r="B266" s="836" t="s">
        <v>1776</v>
      </c>
      <c r="C266" s="836">
        <v>80101706</v>
      </c>
      <c r="D266" s="596" t="s">
        <v>1777</v>
      </c>
      <c r="E266" s="836" t="s">
        <v>95</v>
      </c>
      <c r="F266" s="836">
        <v>1</v>
      </c>
      <c r="G266" s="834" t="s">
        <v>167</v>
      </c>
      <c r="H266" s="485" t="s">
        <v>1778</v>
      </c>
      <c r="I266" s="73" t="s">
        <v>96</v>
      </c>
      <c r="J266" s="836" t="s">
        <v>105</v>
      </c>
      <c r="K266" s="836" t="s">
        <v>55</v>
      </c>
      <c r="L266" s="56">
        <v>1000000</v>
      </c>
      <c r="M266" s="57">
        <v>1000000</v>
      </c>
      <c r="N266" s="836" t="s">
        <v>81</v>
      </c>
      <c r="O266" s="836" t="s">
        <v>56</v>
      </c>
      <c r="P266" s="24" t="s">
        <v>1779</v>
      </c>
      <c r="Q266" s="45"/>
      <c r="R266" s="138"/>
      <c r="S266" s="637"/>
      <c r="T266" s="138"/>
      <c r="U266" s="138"/>
      <c r="V266" s="138"/>
      <c r="W266" s="138"/>
      <c r="X266" s="138"/>
      <c r="Y266" s="134">
        <f t="shared" si="4"/>
        <v>0</v>
      </c>
      <c r="Z266" s="138"/>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c r="CN266" s="138"/>
      <c r="CO266" s="138"/>
      <c r="CP266" s="138"/>
      <c r="CQ266" s="138"/>
      <c r="CR266" s="138"/>
      <c r="CS266" s="138"/>
      <c r="CT266" s="138"/>
      <c r="CU266" s="138"/>
      <c r="CV266" s="138"/>
      <c r="CW266" s="138"/>
      <c r="CX266" s="138"/>
      <c r="CY266" s="138"/>
      <c r="CZ266" s="138"/>
      <c r="DA266" s="138"/>
      <c r="DB266" s="138"/>
      <c r="DC266" s="138"/>
      <c r="DD266" s="138"/>
      <c r="DE266" s="138"/>
      <c r="DF266" s="138"/>
      <c r="DG266" s="138"/>
      <c r="DH266" s="138"/>
      <c r="DI266" s="138"/>
      <c r="DJ266" s="138"/>
      <c r="DK266" s="138"/>
      <c r="DL266" s="138"/>
      <c r="DM266" s="138"/>
      <c r="DN266" s="138"/>
      <c r="DO266" s="138"/>
      <c r="DP266" s="138"/>
      <c r="DQ266" s="138"/>
      <c r="DR266" s="138"/>
      <c r="DS266" s="138"/>
      <c r="DT266" s="138"/>
      <c r="DU266" s="138"/>
      <c r="DV266" s="138"/>
      <c r="DW266" s="138"/>
      <c r="DX266" s="138"/>
      <c r="DY266" s="138"/>
      <c r="DZ266" s="138"/>
      <c r="EA266" s="138"/>
      <c r="EB266" s="138"/>
      <c r="EC266" s="138"/>
      <c r="ED266" s="138"/>
      <c r="EE266" s="138"/>
      <c r="EF266" s="138"/>
      <c r="EG266" s="138"/>
      <c r="EH266" s="138"/>
      <c r="EI266" s="138"/>
      <c r="EJ266" s="138"/>
      <c r="EK266" s="138"/>
      <c r="EL266" s="138"/>
      <c r="EM266" s="138"/>
      <c r="EN266" s="138"/>
    </row>
    <row r="267" spans="1:144" ht="60.75" customHeight="1" x14ac:dyDescent="0.4">
      <c r="A267" s="595">
        <v>249</v>
      </c>
      <c r="B267" s="836" t="s">
        <v>991</v>
      </c>
      <c r="C267" s="589">
        <v>80101706</v>
      </c>
      <c r="D267" s="596" t="s">
        <v>1784</v>
      </c>
      <c r="E267" s="836" t="s">
        <v>76</v>
      </c>
      <c r="F267" s="836">
        <v>1</v>
      </c>
      <c r="G267" s="834" t="s">
        <v>969</v>
      </c>
      <c r="H267" s="485">
        <v>5</v>
      </c>
      <c r="I267" s="836" t="s">
        <v>96</v>
      </c>
      <c r="J267" s="836" t="s">
        <v>557</v>
      </c>
      <c r="K267" s="836" t="s">
        <v>108</v>
      </c>
      <c r="L267" s="56">
        <v>23600000</v>
      </c>
      <c r="M267" s="57">
        <v>23600000</v>
      </c>
      <c r="N267" s="836" t="s">
        <v>81</v>
      </c>
      <c r="O267" s="836" t="s">
        <v>56</v>
      </c>
      <c r="P267" s="58" t="s">
        <v>1782</v>
      </c>
      <c r="Q267" s="45"/>
      <c r="R267" s="1233" t="s">
        <v>2978</v>
      </c>
      <c r="S267" s="637"/>
      <c r="T267" s="138"/>
      <c r="U267" s="138"/>
      <c r="V267" s="138"/>
      <c r="W267" s="138"/>
      <c r="X267" s="138"/>
      <c r="Y267" s="134"/>
      <c r="Z267" s="138"/>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c r="CN267" s="138"/>
      <c r="CO267" s="138"/>
      <c r="CP267" s="138"/>
      <c r="CQ267" s="138"/>
      <c r="CR267" s="138"/>
      <c r="CS267" s="138"/>
      <c r="CT267" s="138"/>
      <c r="CU267" s="138"/>
      <c r="CV267" s="138"/>
      <c r="CW267" s="138"/>
      <c r="CX267" s="138"/>
      <c r="CY267" s="138"/>
      <c r="CZ267" s="138"/>
      <c r="DA267" s="138"/>
      <c r="DB267" s="138"/>
      <c r="DC267" s="138"/>
      <c r="DD267" s="138"/>
      <c r="DE267" s="138"/>
      <c r="DF267" s="138"/>
      <c r="DG267" s="138"/>
      <c r="DH267" s="138"/>
      <c r="DI267" s="138"/>
      <c r="DJ267" s="138"/>
      <c r="DK267" s="138"/>
      <c r="DL267" s="138"/>
      <c r="DM267" s="138"/>
      <c r="DN267" s="138"/>
      <c r="DO267" s="138"/>
      <c r="DP267" s="138"/>
      <c r="DQ267" s="138"/>
      <c r="DR267" s="138"/>
      <c r="DS267" s="138"/>
      <c r="DT267" s="138"/>
      <c r="DU267" s="138"/>
      <c r="DV267" s="138"/>
      <c r="DW267" s="138"/>
      <c r="DX267" s="138"/>
      <c r="DY267" s="138"/>
      <c r="DZ267" s="138"/>
      <c r="EA267" s="138"/>
      <c r="EB267" s="138"/>
      <c r="EC267" s="138"/>
      <c r="ED267" s="138"/>
      <c r="EE267" s="138"/>
      <c r="EF267" s="138"/>
      <c r="EG267" s="138"/>
      <c r="EH267" s="138"/>
      <c r="EI267" s="138"/>
      <c r="EJ267" s="138"/>
      <c r="EK267" s="138"/>
      <c r="EL267" s="138"/>
      <c r="EM267" s="138"/>
      <c r="EN267" s="138"/>
    </row>
    <row r="268" spans="1:144" ht="81" customHeight="1" x14ac:dyDescent="0.25">
      <c r="A268" s="595">
        <v>250</v>
      </c>
      <c r="B268" s="836" t="s">
        <v>1768</v>
      </c>
      <c r="C268" s="836">
        <v>80101706</v>
      </c>
      <c r="D268" s="181" t="s">
        <v>1789</v>
      </c>
      <c r="E268" s="836" t="s">
        <v>125</v>
      </c>
      <c r="F268" s="836">
        <v>1</v>
      </c>
      <c r="G268" s="834" t="s">
        <v>165</v>
      </c>
      <c r="H268" s="485" t="s">
        <v>1786</v>
      </c>
      <c r="I268" s="836" t="s">
        <v>96</v>
      </c>
      <c r="J268" s="594" t="s">
        <v>844</v>
      </c>
      <c r="K268" s="836" t="s">
        <v>108</v>
      </c>
      <c r="L268" s="56">
        <v>7000000</v>
      </c>
      <c r="M268" s="57">
        <v>7000000</v>
      </c>
      <c r="N268" s="836" t="s">
        <v>81</v>
      </c>
      <c r="O268" s="836" t="s">
        <v>56</v>
      </c>
      <c r="P268" s="24" t="s">
        <v>1769</v>
      </c>
      <c r="Q268" s="45"/>
      <c r="R268" s="172" t="s">
        <v>2834</v>
      </c>
      <c r="S268" s="1004" t="s">
        <v>2940</v>
      </c>
      <c r="T268" s="28">
        <v>42551</v>
      </c>
      <c r="U268" s="29" t="s">
        <v>2941</v>
      </c>
      <c r="V268" s="181" t="s">
        <v>212</v>
      </c>
      <c r="W268" s="1005">
        <v>7000000</v>
      </c>
      <c r="X268" s="181"/>
      <c r="Y268" s="134">
        <f>SUM(W268+X268)</f>
        <v>7000000</v>
      </c>
      <c r="Z268" s="831" t="s">
        <v>2942</v>
      </c>
      <c r="AA268" s="411" t="s">
        <v>2943</v>
      </c>
      <c r="AB268" s="411" t="s">
        <v>225</v>
      </c>
      <c r="AC268" s="181" t="s">
        <v>2944</v>
      </c>
      <c r="AD268" s="411" t="s">
        <v>56</v>
      </c>
      <c r="AE268" s="411" t="s">
        <v>56</v>
      </c>
      <c r="AF268" s="411" t="s">
        <v>56</v>
      </c>
      <c r="AG268" s="831" t="s">
        <v>2945</v>
      </c>
      <c r="AH268" s="169">
        <v>42551</v>
      </c>
      <c r="AI268" s="169">
        <v>42611</v>
      </c>
      <c r="AJ268" s="411" t="s">
        <v>2946</v>
      </c>
      <c r="AK268" s="411" t="s">
        <v>408</v>
      </c>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c r="CN268" s="138"/>
      <c r="CO268" s="138"/>
      <c r="CP268" s="138"/>
      <c r="CQ268" s="138"/>
      <c r="CR268" s="138"/>
      <c r="CS268" s="138"/>
      <c r="CT268" s="138"/>
      <c r="CU268" s="138"/>
      <c r="CV268" s="138"/>
      <c r="CW268" s="138"/>
      <c r="CX268" s="138"/>
      <c r="CY268" s="138"/>
      <c r="CZ268" s="138"/>
      <c r="DA268" s="138"/>
      <c r="DB268" s="138"/>
      <c r="DC268" s="138"/>
      <c r="DD268" s="138"/>
      <c r="DE268" s="138"/>
      <c r="DF268" s="138"/>
      <c r="DG268" s="138"/>
      <c r="DH268" s="138"/>
      <c r="DI268" s="138"/>
      <c r="DJ268" s="138"/>
      <c r="DK268" s="138"/>
      <c r="DL268" s="138"/>
      <c r="DM268" s="138"/>
      <c r="DN268" s="138"/>
      <c r="DO268" s="138"/>
      <c r="DP268" s="138"/>
      <c r="DQ268" s="138"/>
      <c r="DR268" s="138"/>
      <c r="DS268" s="138"/>
      <c r="DT268" s="138"/>
      <c r="DU268" s="138"/>
      <c r="DV268" s="138"/>
      <c r="DW268" s="138"/>
      <c r="DX268" s="138"/>
      <c r="DY268" s="138"/>
      <c r="DZ268" s="138"/>
      <c r="EA268" s="138"/>
      <c r="EB268" s="138"/>
      <c r="EC268" s="138"/>
      <c r="ED268" s="138"/>
      <c r="EE268" s="138"/>
      <c r="EF268" s="138"/>
      <c r="EG268" s="138"/>
      <c r="EH268" s="138"/>
      <c r="EI268" s="138"/>
      <c r="EJ268" s="138"/>
      <c r="EK268" s="138"/>
      <c r="EL268" s="138"/>
      <c r="EM268" s="138"/>
      <c r="EN268" s="138"/>
    </row>
    <row r="269" spans="1:144" ht="48.75" customHeight="1" x14ac:dyDescent="0.25">
      <c r="A269" s="832">
        <v>251</v>
      </c>
      <c r="B269" s="836" t="s">
        <v>1000</v>
      </c>
      <c r="C269" s="836">
        <v>80101706</v>
      </c>
      <c r="D269" s="181" t="s">
        <v>1787</v>
      </c>
      <c r="E269" s="836" t="s">
        <v>125</v>
      </c>
      <c r="F269" s="836">
        <v>1</v>
      </c>
      <c r="G269" s="834" t="s">
        <v>969</v>
      </c>
      <c r="H269" s="835">
        <v>6.5</v>
      </c>
      <c r="I269" s="836" t="s">
        <v>96</v>
      </c>
      <c r="J269" s="836" t="s">
        <v>844</v>
      </c>
      <c r="K269" s="836" t="s">
        <v>108</v>
      </c>
      <c r="L269" s="56">
        <v>39000000</v>
      </c>
      <c r="M269" s="56">
        <v>39000000</v>
      </c>
      <c r="N269" s="836" t="s">
        <v>81</v>
      </c>
      <c r="O269" s="836" t="s">
        <v>56</v>
      </c>
      <c r="P269" s="836" t="s">
        <v>126</v>
      </c>
      <c r="Q269" s="45"/>
      <c r="R269" s="172" t="s">
        <v>2876</v>
      </c>
      <c r="S269" s="172" t="s">
        <v>2877</v>
      </c>
      <c r="T269" s="28">
        <v>42552</v>
      </c>
      <c r="U269" s="29" t="s">
        <v>2878</v>
      </c>
      <c r="V269" s="181" t="s">
        <v>212</v>
      </c>
      <c r="W269" s="1050">
        <v>37800000</v>
      </c>
      <c r="X269" s="138"/>
      <c r="Y269" s="134">
        <f>SUM(W269+X269)</f>
        <v>37800000</v>
      </c>
      <c r="Z269" s="831" t="s">
        <v>2879</v>
      </c>
      <c r="AA269" s="411" t="s">
        <v>2880</v>
      </c>
      <c r="AB269" s="411" t="s">
        <v>225</v>
      </c>
      <c r="AC269" s="181" t="s">
        <v>2881</v>
      </c>
      <c r="AD269" s="411" t="s">
        <v>56</v>
      </c>
      <c r="AE269" s="411" t="s">
        <v>56</v>
      </c>
      <c r="AF269" s="411" t="s">
        <v>56</v>
      </c>
      <c r="AG269" s="831" t="s">
        <v>2882</v>
      </c>
      <c r="AH269" s="169">
        <v>42552</v>
      </c>
      <c r="AI269" s="169">
        <v>42735</v>
      </c>
      <c r="AJ269" s="411" t="s">
        <v>218</v>
      </c>
      <c r="AK269" s="411" t="s">
        <v>219</v>
      </c>
      <c r="AL269" s="1148" t="s">
        <v>56</v>
      </c>
      <c r="AM269" s="1148" t="s">
        <v>56</v>
      </c>
      <c r="AN269" s="1148" t="s">
        <v>56</v>
      </c>
      <c r="AO269" s="1148" t="s">
        <v>56</v>
      </c>
      <c r="AP269" s="1148" t="s">
        <v>56</v>
      </c>
      <c r="AQ269" s="1148" t="s">
        <v>56</v>
      </c>
      <c r="AR269" s="1148" t="s">
        <v>56</v>
      </c>
      <c r="AS269" s="1148" t="s">
        <v>56</v>
      </c>
      <c r="AT269" s="1148" t="s">
        <v>56</v>
      </c>
      <c r="AU269" s="1153">
        <v>6300000</v>
      </c>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c r="CN269" s="138"/>
      <c r="CO269" s="138"/>
      <c r="CP269" s="138"/>
      <c r="CQ269" s="138"/>
      <c r="CR269" s="138"/>
      <c r="CS269" s="138"/>
      <c r="CT269" s="138"/>
      <c r="CU269" s="138"/>
      <c r="CV269" s="138"/>
      <c r="CW269" s="138"/>
      <c r="CX269" s="138"/>
      <c r="CY269" s="138"/>
      <c r="CZ269" s="138"/>
      <c r="DA269" s="138"/>
      <c r="DB269" s="138"/>
      <c r="DC269" s="138"/>
      <c r="DD269" s="138"/>
      <c r="DE269" s="138"/>
      <c r="DF269" s="138"/>
      <c r="DG269" s="138"/>
      <c r="DH269" s="138"/>
      <c r="DI269" s="138"/>
      <c r="DJ269" s="138"/>
      <c r="DK269" s="138"/>
      <c r="DL269" s="138"/>
      <c r="DM269" s="138"/>
      <c r="DN269" s="138"/>
      <c r="DO269" s="138"/>
      <c r="DP269" s="138"/>
      <c r="DQ269" s="138"/>
      <c r="DR269" s="138"/>
      <c r="DS269" s="138"/>
      <c r="DT269" s="138"/>
      <c r="DU269" s="138"/>
      <c r="DV269" s="138"/>
      <c r="DW269" s="138"/>
      <c r="DX269" s="138"/>
      <c r="DY269" s="138"/>
      <c r="DZ269" s="138"/>
      <c r="EA269" s="138"/>
      <c r="EB269" s="138"/>
      <c r="EC269" s="138"/>
      <c r="ED269" s="138"/>
      <c r="EE269" s="138"/>
      <c r="EF269" s="138"/>
      <c r="EG269" s="138"/>
      <c r="EH269" s="138"/>
      <c r="EI269" s="138"/>
      <c r="EJ269" s="138"/>
      <c r="EK269" s="138"/>
      <c r="EL269" s="138"/>
      <c r="EM269" s="138"/>
      <c r="EN269" s="138"/>
    </row>
    <row r="270" spans="1:144" ht="66.75" customHeight="1" x14ac:dyDescent="0.25">
      <c r="A270" s="832">
        <v>252</v>
      </c>
      <c r="B270" s="836" t="s">
        <v>1000</v>
      </c>
      <c r="C270" s="836">
        <v>80101706</v>
      </c>
      <c r="D270" s="181" t="s">
        <v>1788</v>
      </c>
      <c r="E270" s="836" t="s">
        <v>125</v>
      </c>
      <c r="F270" s="836">
        <v>1</v>
      </c>
      <c r="G270" s="834" t="s">
        <v>969</v>
      </c>
      <c r="H270" s="835">
        <v>6</v>
      </c>
      <c r="I270" s="836" t="s">
        <v>96</v>
      </c>
      <c r="J270" s="836" t="s">
        <v>128</v>
      </c>
      <c r="K270" s="836" t="s">
        <v>108</v>
      </c>
      <c r="L270" s="56">
        <v>14950000</v>
      </c>
      <c r="M270" s="56">
        <v>14950000</v>
      </c>
      <c r="N270" s="836" t="s">
        <v>81</v>
      </c>
      <c r="O270" s="836" t="s">
        <v>56</v>
      </c>
      <c r="P270" s="836" t="s">
        <v>126</v>
      </c>
      <c r="Q270" s="45"/>
      <c r="R270" s="172" t="s">
        <v>2835</v>
      </c>
      <c r="S270" s="172" t="s">
        <v>2883</v>
      </c>
      <c r="T270" s="28">
        <v>42552</v>
      </c>
      <c r="U270" s="29" t="s">
        <v>2884</v>
      </c>
      <c r="V270" s="181" t="s">
        <v>212</v>
      </c>
      <c r="W270" s="1050">
        <v>13800000</v>
      </c>
      <c r="X270" s="138"/>
      <c r="Y270" s="134">
        <f>SUM(W270+X270)</f>
        <v>13800000</v>
      </c>
      <c r="Z270" s="831" t="s">
        <v>2885</v>
      </c>
      <c r="AA270" s="411" t="s">
        <v>2886</v>
      </c>
      <c r="AB270" s="411" t="s">
        <v>215</v>
      </c>
      <c r="AC270" s="181" t="s">
        <v>2887</v>
      </c>
      <c r="AD270" s="411" t="s">
        <v>56</v>
      </c>
      <c r="AE270" s="411" t="s">
        <v>56</v>
      </c>
      <c r="AF270" s="411" t="s">
        <v>56</v>
      </c>
      <c r="AG270" s="831" t="s">
        <v>2882</v>
      </c>
      <c r="AH270" s="169">
        <v>42552</v>
      </c>
      <c r="AI270" s="169">
        <v>42735</v>
      </c>
      <c r="AJ270" s="411" t="s">
        <v>218</v>
      </c>
      <c r="AK270" s="411" t="s">
        <v>219</v>
      </c>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c r="CN270" s="138"/>
      <c r="CO270" s="138"/>
      <c r="CP270" s="138"/>
      <c r="CQ270" s="138"/>
      <c r="CR270" s="138"/>
      <c r="CS270" s="138"/>
      <c r="CT270" s="138"/>
      <c r="CU270" s="138"/>
      <c r="CV270" s="138"/>
      <c r="CW270" s="138"/>
      <c r="CX270" s="138"/>
      <c r="CY270" s="138"/>
      <c r="CZ270" s="138"/>
      <c r="DA270" s="138"/>
      <c r="DB270" s="138"/>
      <c r="DC270" s="138"/>
      <c r="DD270" s="138"/>
      <c r="DE270" s="138"/>
      <c r="DF270" s="138"/>
      <c r="DG270" s="138"/>
      <c r="DH270" s="138"/>
      <c r="DI270" s="138"/>
      <c r="DJ270" s="138"/>
      <c r="DK270" s="138"/>
      <c r="DL270" s="138"/>
      <c r="DM270" s="138"/>
      <c r="DN270" s="138"/>
      <c r="DO270" s="138"/>
      <c r="DP270" s="138"/>
      <c r="DQ270" s="138"/>
      <c r="DR270" s="138"/>
      <c r="DS270" s="138"/>
      <c r="DT270" s="138"/>
      <c r="DU270" s="138"/>
      <c r="DV270" s="138"/>
      <c r="DW270" s="138"/>
      <c r="DX270" s="138"/>
      <c r="DY270" s="138"/>
      <c r="DZ270" s="138"/>
      <c r="EA270" s="138"/>
      <c r="EB270" s="138"/>
      <c r="EC270" s="138"/>
      <c r="ED270" s="138"/>
      <c r="EE270" s="138"/>
      <c r="EF270" s="138"/>
      <c r="EG270" s="138"/>
      <c r="EH270" s="138"/>
      <c r="EI270" s="138"/>
      <c r="EJ270" s="138"/>
      <c r="EK270" s="138"/>
      <c r="EL270" s="138"/>
      <c r="EM270" s="138"/>
      <c r="EN270" s="138"/>
    </row>
    <row r="271" spans="1:144" ht="56.25" customHeight="1" x14ac:dyDescent="0.25">
      <c r="A271" s="832">
        <v>253</v>
      </c>
      <c r="B271" s="836" t="s">
        <v>1000</v>
      </c>
      <c r="C271" s="836">
        <v>80101706</v>
      </c>
      <c r="D271" s="181" t="s">
        <v>1788</v>
      </c>
      <c r="E271" s="836" t="s">
        <v>125</v>
      </c>
      <c r="F271" s="836">
        <v>1</v>
      </c>
      <c r="G271" s="834" t="s">
        <v>969</v>
      </c>
      <c r="H271" s="835">
        <v>6</v>
      </c>
      <c r="I271" s="836" t="s">
        <v>96</v>
      </c>
      <c r="J271" s="836" t="s">
        <v>128</v>
      </c>
      <c r="K271" s="836" t="s">
        <v>108</v>
      </c>
      <c r="L271" s="56">
        <v>14950000</v>
      </c>
      <c r="M271" s="56">
        <v>14950000</v>
      </c>
      <c r="N271" s="836" t="s">
        <v>81</v>
      </c>
      <c r="O271" s="836" t="s">
        <v>56</v>
      </c>
      <c r="P271" s="836" t="s">
        <v>126</v>
      </c>
      <c r="Q271" s="45"/>
      <c r="R271" s="172" t="s">
        <v>2836</v>
      </c>
      <c r="S271" s="172" t="s">
        <v>2888</v>
      </c>
      <c r="T271" s="28">
        <v>42552</v>
      </c>
      <c r="U271" s="29" t="s">
        <v>2889</v>
      </c>
      <c r="V271" s="181" t="s">
        <v>212</v>
      </c>
      <c r="W271" s="1050">
        <v>13800000</v>
      </c>
      <c r="X271" s="138"/>
      <c r="Y271" s="134">
        <f>SUM(W271+X271)</f>
        <v>13800000</v>
      </c>
      <c r="Z271" s="831" t="s">
        <v>2885</v>
      </c>
      <c r="AA271" s="411" t="s">
        <v>2890</v>
      </c>
      <c r="AB271" s="411" t="s">
        <v>215</v>
      </c>
      <c r="AC271" s="181" t="s">
        <v>2891</v>
      </c>
      <c r="AD271" s="411" t="s">
        <v>56</v>
      </c>
      <c r="AE271" s="411" t="s">
        <v>56</v>
      </c>
      <c r="AF271" s="411" t="s">
        <v>56</v>
      </c>
      <c r="AG271" s="831" t="s">
        <v>2882</v>
      </c>
      <c r="AH271" s="169">
        <v>42552</v>
      </c>
      <c r="AI271" s="169">
        <v>42735</v>
      </c>
      <c r="AJ271" s="411" t="s">
        <v>218</v>
      </c>
      <c r="AK271" s="411" t="s">
        <v>219</v>
      </c>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c r="CN271" s="138"/>
      <c r="CO271" s="138"/>
      <c r="CP271" s="138"/>
      <c r="CQ271" s="138"/>
      <c r="CR271" s="138"/>
      <c r="CS271" s="138"/>
      <c r="CT271" s="138"/>
      <c r="CU271" s="138"/>
      <c r="CV271" s="138"/>
      <c r="CW271" s="138"/>
      <c r="CX271" s="138"/>
      <c r="CY271" s="138"/>
      <c r="CZ271" s="138"/>
      <c r="DA271" s="138"/>
      <c r="DB271" s="138"/>
      <c r="DC271" s="138"/>
      <c r="DD271" s="138"/>
      <c r="DE271" s="138"/>
      <c r="DF271" s="138"/>
      <c r="DG271" s="138"/>
      <c r="DH271" s="138"/>
      <c r="DI271" s="138"/>
      <c r="DJ271" s="138"/>
      <c r="DK271" s="138"/>
      <c r="DL271" s="138"/>
      <c r="DM271" s="138"/>
      <c r="DN271" s="138"/>
      <c r="DO271" s="138"/>
      <c r="DP271" s="138"/>
      <c r="DQ271" s="138"/>
      <c r="DR271" s="138"/>
      <c r="DS271" s="138"/>
      <c r="DT271" s="138"/>
      <c r="DU271" s="138"/>
      <c r="DV271" s="138"/>
      <c r="DW271" s="138"/>
      <c r="DX271" s="138"/>
      <c r="DY271" s="138"/>
      <c r="DZ271" s="138"/>
      <c r="EA271" s="138"/>
      <c r="EB271" s="138"/>
      <c r="EC271" s="138"/>
      <c r="ED271" s="138"/>
      <c r="EE271" s="138"/>
      <c r="EF271" s="138"/>
      <c r="EG271" s="138"/>
      <c r="EH271" s="138"/>
      <c r="EI271" s="138"/>
      <c r="EJ271" s="138"/>
      <c r="EK271" s="138"/>
      <c r="EL271" s="138"/>
      <c r="EM271" s="138"/>
      <c r="EN271" s="138"/>
    </row>
    <row r="272" spans="1:144" ht="43.5" customHeight="1" x14ac:dyDescent="0.4">
      <c r="A272" s="832">
        <v>254</v>
      </c>
      <c r="B272" s="838" t="s">
        <v>998</v>
      </c>
      <c r="C272" s="838">
        <v>71151007</v>
      </c>
      <c r="D272" s="1297" t="s">
        <v>2813</v>
      </c>
      <c r="E272" s="838" t="s">
        <v>95</v>
      </c>
      <c r="F272" s="838">
        <v>1</v>
      </c>
      <c r="G272" s="848" t="s">
        <v>969</v>
      </c>
      <c r="H272" s="844">
        <v>4</v>
      </c>
      <c r="I272" s="1298" t="s">
        <v>89</v>
      </c>
      <c r="J272" s="838" t="s">
        <v>129</v>
      </c>
      <c r="K272" s="838" t="s">
        <v>108</v>
      </c>
      <c r="L272" s="1187">
        <v>6300000</v>
      </c>
      <c r="M272" s="1187">
        <v>6300000</v>
      </c>
      <c r="N272" s="838" t="s">
        <v>81</v>
      </c>
      <c r="O272" s="838" t="s">
        <v>56</v>
      </c>
      <c r="P272" s="590" t="s">
        <v>61</v>
      </c>
      <c r="Q272" s="45"/>
      <c r="R272" s="1299" t="s">
        <v>2971</v>
      </c>
      <c r="S272" s="637"/>
      <c r="T272" s="138"/>
      <c r="U272" s="138"/>
      <c r="V272" s="138"/>
      <c r="W272" s="1113"/>
      <c r="X272" s="1113"/>
      <c r="Y272" s="846">
        <f t="shared" si="4"/>
        <v>0</v>
      </c>
      <c r="Z272" s="1113"/>
      <c r="AA272" s="1113"/>
      <c r="AB272" s="1113"/>
      <c r="AC272" s="1113"/>
      <c r="AD272" s="1113"/>
      <c r="AE272" s="1113"/>
      <c r="AF272" s="1113"/>
      <c r="AG272" s="1113"/>
      <c r="AH272" s="1113"/>
      <c r="AI272" s="1113"/>
      <c r="AJ272" s="1113"/>
      <c r="AK272" s="1113"/>
      <c r="AL272" s="1113"/>
      <c r="AM272" s="1113"/>
      <c r="AN272" s="1113"/>
      <c r="AO272" s="1113"/>
      <c r="AP272" s="1113"/>
      <c r="AQ272" s="1113"/>
      <c r="AR272" s="1113"/>
      <c r="AS272" s="1113"/>
      <c r="AT272" s="1113"/>
      <c r="AU272" s="1113"/>
      <c r="AV272" s="1113"/>
      <c r="AW272" s="1113"/>
      <c r="AX272" s="1113"/>
      <c r="AY272" s="1113"/>
      <c r="AZ272" s="1113"/>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c r="CN272" s="138"/>
      <c r="CO272" s="138"/>
      <c r="CP272" s="138"/>
      <c r="CQ272" s="138"/>
      <c r="CR272" s="138"/>
      <c r="CS272" s="138"/>
      <c r="CT272" s="138"/>
      <c r="CU272" s="138"/>
      <c r="CV272" s="138"/>
      <c r="CW272" s="138"/>
      <c r="CX272" s="138"/>
      <c r="CY272" s="138"/>
      <c r="CZ272" s="138"/>
      <c r="DA272" s="138"/>
      <c r="DB272" s="138"/>
      <c r="DC272" s="138"/>
      <c r="DD272" s="138"/>
      <c r="DE272" s="138"/>
      <c r="DF272" s="138"/>
      <c r="DG272" s="138"/>
      <c r="DH272" s="138"/>
      <c r="DI272" s="138"/>
      <c r="DJ272" s="138"/>
      <c r="DK272" s="138"/>
      <c r="DL272" s="138"/>
      <c r="DM272" s="138"/>
      <c r="DN272" s="138"/>
      <c r="DO272" s="138"/>
      <c r="DP272" s="138"/>
      <c r="DQ272" s="138"/>
      <c r="DR272" s="138"/>
      <c r="DS272" s="138"/>
      <c r="DT272" s="138"/>
      <c r="DU272" s="138"/>
      <c r="DV272" s="138"/>
      <c r="DW272" s="138"/>
      <c r="DX272" s="138"/>
      <c r="DY272" s="138"/>
      <c r="DZ272" s="138"/>
      <c r="EA272" s="138"/>
      <c r="EB272" s="138"/>
      <c r="EC272" s="138"/>
      <c r="ED272" s="138"/>
      <c r="EE272" s="138"/>
      <c r="EF272" s="138"/>
      <c r="EG272" s="138"/>
      <c r="EH272" s="138"/>
      <c r="EI272" s="138"/>
      <c r="EJ272" s="138"/>
      <c r="EK272" s="138"/>
      <c r="EL272" s="138"/>
      <c r="EM272" s="138"/>
      <c r="EN272" s="138"/>
    </row>
    <row r="273" spans="1:144" ht="78.75" customHeight="1" x14ac:dyDescent="0.25">
      <c r="A273" s="832">
        <v>255</v>
      </c>
      <c r="B273" s="836" t="s">
        <v>998</v>
      </c>
      <c r="C273" s="836">
        <v>43211507</v>
      </c>
      <c r="D273" s="171" t="s">
        <v>2814</v>
      </c>
      <c r="E273" s="836" t="s">
        <v>125</v>
      </c>
      <c r="F273" s="836">
        <v>1</v>
      </c>
      <c r="G273" s="834" t="s">
        <v>969</v>
      </c>
      <c r="H273" s="485">
        <v>2</v>
      </c>
      <c r="I273" s="619" t="s">
        <v>89</v>
      </c>
      <c r="J273" s="836" t="s">
        <v>2846</v>
      </c>
      <c r="K273" s="836" t="s">
        <v>108</v>
      </c>
      <c r="L273" s="56">
        <v>3811658</v>
      </c>
      <c r="M273" s="56">
        <v>3811658</v>
      </c>
      <c r="N273" s="836" t="s">
        <v>81</v>
      </c>
      <c r="O273" s="836" t="s">
        <v>56</v>
      </c>
      <c r="P273" s="1290" t="s">
        <v>61</v>
      </c>
      <c r="Q273" s="45"/>
      <c r="R273" s="172" t="s">
        <v>2972</v>
      </c>
      <c r="S273" s="172" t="s">
        <v>2999</v>
      </c>
      <c r="T273" s="28">
        <v>42591</v>
      </c>
      <c r="U273" s="29" t="s">
        <v>3000</v>
      </c>
      <c r="V273" s="181" t="s">
        <v>579</v>
      </c>
      <c r="W273" s="1050">
        <v>2449000</v>
      </c>
      <c r="X273" s="138"/>
      <c r="Y273" s="134">
        <f t="shared" ref="Y273" si="7">SUM(W273+X273)</f>
        <v>2449000</v>
      </c>
      <c r="Z273" s="831" t="s">
        <v>3001</v>
      </c>
      <c r="AA273" s="411" t="s">
        <v>3002</v>
      </c>
      <c r="AB273" s="411" t="s">
        <v>350</v>
      </c>
      <c r="AC273" s="181" t="s">
        <v>3003</v>
      </c>
      <c r="AD273" s="411" t="s">
        <v>2921</v>
      </c>
      <c r="AE273" s="169">
        <v>42591</v>
      </c>
      <c r="AF273" s="169">
        <v>42598</v>
      </c>
      <c r="AG273" s="831" t="s">
        <v>3004</v>
      </c>
      <c r="AH273" s="1014">
        <v>42598</v>
      </c>
      <c r="AI273" s="169">
        <v>42737</v>
      </c>
      <c r="AJ273" s="411" t="s">
        <v>362</v>
      </c>
      <c r="AK273" s="134" t="s">
        <v>1512</v>
      </c>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c r="CN273" s="138"/>
      <c r="CO273" s="138"/>
      <c r="CP273" s="138"/>
      <c r="CQ273" s="138"/>
      <c r="CR273" s="138"/>
      <c r="CS273" s="138"/>
      <c r="CT273" s="138"/>
      <c r="CU273" s="138"/>
      <c r="CV273" s="138"/>
      <c r="CW273" s="138"/>
      <c r="CX273" s="138"/>
      <c r="CY273" s="138"/>
      <c r="CZ273" s="138"/>
      <c r="DA273" s="138"/>
      <c r="DB273" s="138"/>
      <c r="DC273" s="138"/>
      <c r="DD273" s="138"/>
      <c r="DE273" s="138"/>
      <c r="DF273" s="138"/>
      <c r="DG273" s="138"/>
      <c r="DH273" s="138"/>
      <c r="DI273" s="138"/>
      <c r="DJ273" s="138"/>
      <c r="DK273" s="138"/>
      <c r="DL273" s="138"/>
      <c r="DM273" s="138"/>
      <c r="DN273" s="138"/>
      <c r="DO273" s="138"/>
      <c r="DP273" s="138"/>
      <c r="DQ273" s="138"/>
      <c r="DR273" s="138"/>
      <c r="DS273" s="138"/>
      <c r="DT273" s="138"/>
      <c r="DU273" s="138"/>
      <c r="DV273" s="138"/>
      <c r="DW273" s="138"/>
      <c r="DX273" s="138"/>
      <c r="DY273" s="138"/>
      <c r="DZ273" s="138"/>
      <c r="EA273" s="138"/>
      <c r="EB273" s="138"/>
      <c r="EC273" s="138"/>
      <c r="ED273" s="138"/>
      <c r="EE273" s="138"/>
      <c r="EF273" s="138"/>
      <c r="EG273" s="138"/>
      <c r="EH273" s="138"/>
      <c r="EI273" s="138"/>
      <c r="EJ273" s="138"/>
      <c r="EK273" s="138"/>
      <c r="EL273" s="138"/>
      <c r="EM273" s="138"/>
      <c r="EN273" s="138"/>
    </row>
    <row r="274" spans="1:144" ht="145.5" customHeight="1" x14ac:dyDescent="0.25">
      <c r="A274" s="832">
        <v>256</v>
      </c>
      <c r="B274" s="836" t="s">
        <v>347</v>
      </c>
      <c r="C274" s="836">
        <v>80101706</v>
      </c>
      <c r="D274" s="171" t="s">
        <v>2838</v>
      </c>
      <c r="E274" s="836" t="s">
        <v>95</v>
      </c>
      <c r="F274" s="836">
        <v>1</v>
      </c>
      <c r="G274" s="834" t="s">
        <v>969</v>
      </c>
      <c r="H274" s="485" t="s">
        <v>634</v>
      </c>
      <c r="I274" s="619" t="s">
        <v>2776</v>
      </c>
      <c r="J274" s="836" t="s">
        <v>1537</v>
      </c>
      <c r="K274" s="836" t="s">
        <v>108</v>
      </c>
      <c r="L274" s="56">
        <v>604000000</v>
      </c>
      <c r="M274" s="56">
        <v>604000000</v>
      </c>
      <c r="N274" s="836" t="s">
        <v>81</v>
      </c>
      <c r="O274" s="836" t="s">
        <v>56</v>
      </c>
      <c r="P274" s="24" t="s">
        <v>2837</v>
      </c>
      <c r="Q274" s="45"/>
      <c r="R274" s="172" t="s">
        <v>2973</v>
      </c>
      <c r="S274" s="172" t="s">
        <v>3005</v>
      </c>
      <c r="T274" s="28">
        <v>42585</v>
      </c>
      <c r="U274" s="29" t="s">
        <v>3006</v>
      </c>
      <c r="V274" s="181" t="s">
        <v>2776</v>
      </c>
      <c r="W274" s="1050">
        <v>603019040</v>
      </c>
      <c r="X274" s="138"/>
      <c r="Y274" s="134">
        <f t="shared" ref="Y274" si="8">SUM(W274+X274)</f>
        <v>603019040</v>
      </c>
      <c r="Z274" s="831" t="s">
        <v>3007</v>
      </c>
      <c r="AA274" s="411" t="s">
        <v>2989</v>
      </c>
      <c r="AB274" s="411" t="s">
        <v>225</v>
      </c>
      <c r="AC274" s="181" t="s">
        <v>3008</v>
      </c>
      <c r="AD274" s="638"/>
      <c r="AE274" s="638"/>
      <c r="AF274" s="638"/>
      <c r="AG274" s="831" t="s">
        <v>3009</v>
      </c>
      <c r="AH274" s="638"/>
      <c r="AI274" s="638"/>
      <c r="AJ274" s="411" t="s">
        <v>3010</v>
      </c>
      <c r="AK274" s="134" t="s">
        <v>347</v>
      </c>
      <c r="AL274" s="638"/>
      <c r="AM274" s="638"/>
      <c r="AN274" s="638"/>
      <c r="AO274" s="638"/>
      <c r="AP274" s="638"/>
      <c r="AQ274" s="638"/>
      <c r="AR274" s="638"/>
      <c r="AS274" s="638"/>
      <c r="AT274" s="638"/>
      <c r="AU274" s="638"/>
      <c r="AV274" s="638"/>
      <c r="AW274" s="638"/>
      <c r="AX274" s="638"/>
      <c r="AY274" s="638"/>
      <c r="AZ274" s="6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c r="CN274" s="138"/>
      <c r="CO274" s="138"/>
      <c r="CP274" s="138"/>
      <c r="CQ274" s="138"/>
      <c r="CR274" s="138"/>
      <c r="CS274" s="138"/>
      <c r="CT274" s="138"/>
      <c r="CU274" s="138"/>
      <c r="CV274" s="138"/>
      <c r="CW274" s="138"/>
      <c r="CX274" s="138"/>
      <c r="CY274" s="138"/>
      <c r="CZ274" s="138"/>
      <c r="DA274" s="138"/>
      <c r="DB274" s="138"/>
      <c r="DC274" s="138"/>
      <c r="DD274" s="138"/>
      <c r="DE274" s="138"/>
      <c r="DF274" s="138"/>
      <c r="DG274" s="138"/>
      <c r="DH274" s="138"/>
      <c r="DI274" s="138"/>
      <c r="DJ274" s="138"/>
      <c r="DK274" s="138"/>
      <c r="DL274" s="138"/>
      <c r="DM274" s="138"/>
      <c r="DN274" s="138"/>
      <c r="DO274" s="138"/>
      <c r="DP274" s="138"/>
      <c r="DQ274" s="138"/>
      <c r="DR274" s="138"/>
      <c r="DS274" s="138"/>
      <c r="DT274" s="138"/>
      <c r="DU274" s="138"/>
      <c r="DV274" s="138"/>
      <c r="DW274" s="138"/>
      <c r="DX274" s="138"/>
      <c r="DY274" s="138"/>
      <c r="DZ274" s="138"/>
      <c r="EA274" s="138"/>
      <c r="EB274" s="138"/>
      <c r="EC274" s="138"/>
      <c r="ED274" s="138"/>
      <c r="EE274" s="138"/>
      <c r="EF274" s="138"/>
      <c r="EG274" s="138"/>
      <c r="EH274" s="138"/>
      <c r="EI274" s="138"/>
      <c r="EJ274" s="138"/>
      <c r="EK274" s="138"/>
      <c r="EL274" s="138"/>
      <c r="EM274" s="138"/>
      <c r="EN274" s="138"/>
    </row>
    <row r="275" spans="1:144" ht="115.5" customHeight="1" x14ac:dyDescent="0.25">
      <c r="A275" s="832">
        <v>257</v>
      </c>
      <c r="B275" s="836" t="s">
        <v>347</v>
      </c>
      <c r="C275" s="836">
        <v>80101706</v>
      </c>
      <c r="D275" s="171" t="s">
        <v>2839</v>
      </c>
      <c r="E275" s="836" t="s">
        <v>95</v>
      </c>
      <c r="F275" s="836">
        <v>1</v>
      </c>
      <c r="G275" s="834" t="s">
        <v>167</v>
      </c>
      <c r="H275" s="485">
        <v>4</v>
      </c>
      <c r="I275" s="619" t="s">
        <v>96</v>
      </c>
      <c r="J275" s="594" t="s">
        <v>844</v>
      </c>
      <c r="K275" s="836" t="s">
        <v>108</v>
      </c>
      <c r="L275" s="56">
        <v>11000000</v>
      </c>
      <c r="M275" s="56">
        <v>11000000</v>
      </c>
      <c r="N275" s="836" t="s">
        <v>81</v>
      </c>
      <c r="O275" s="836" t="s">
        <v>56</v>
      </c>
      <c r="P275" s="24" t="s">
        <v>2851</v>
      </c>
      <c r="Q275" s="45"/>
      <c r="R275" s="636"/>
      <c r="S275" s="637"/>
      <c r="T275" s="138"/>
      <c r="U275" s="138"/>
      <c r="V275" s="138"/>
      <c r="W275" s="638"/>
      <c r="X275" s="638"/>
      <c r="Y275" s="847"/>
      <c r="Z275" s="638"/>
      <c r="AA275" s="638"/>
      <c r="AB275" s="638"/>
      <c r="AC275" s="638"/>
      <c r="AD275" s="638"/>
      <c r="AE275" s="638"/>
      <c r="AF275" s="638"/>
      <c r="AG275" s="638"/>
      <c r="AH275" s="638"/>
      <c r="AI275" s="638"/>
      <c r="AJ275" s="638"/>
      <c r="AK275" s="638"/>
      <c r="AL275" s="638"/>
      <c r="AM275" s="638"/>
      <c r="AN275" s="638"/>
      <c r="AO275" s="638"/>
      <c r="AP275" s="638"/>
      <c r="AQ275" s="638"/>
      <c r="AR275" s="638"/>
      <c r="AS275" s="638"/>
      <c r="AT275" s="638"/>
      <c r="AU275" s="638"/>
      <c r="AV275" s="638"/>
      <c r="AW275" s="638"/>
      <c r="AX275" s="638"/>
      <c r="AY275" s="638"/>
      <c r="AZ275" s="6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c r="CN275" s="138"/>
      <c r="CO275" s="138"/>
      <c r="CP275" s="138"/>
      <c r="CQ275" s="138"/>
      <c r="CR275" s="138"/>
      <c r="CS275" s="138"/>
      <c r="CT275" s="138"/>
      <c r="CU275" s="138"/>
      <c r="CV275" s="138"/>
      <c r="CW275" s="138"/>
      <c r="CX275" s="138"/>
      <c r="CY275" s="138"/>
      <c r="CZ275" s="138"/>
      <c r="DA275" s="138"/>
      <c r="DB275" s="138"/>
      <c r="DC275" s="138"/>
      <c r="DD275" s="138"/>
      <c r="DE275" s="138"/>
      <c r="DF275" s="138"/>
      <c r="DG275" s="138"/>
      <c r="DH275" s="138"/>
      <c r="DI275" s="138"/>
      <c r="DJ275" s="138"/>
      <c r="DK275" s="138"/>
      <c r="DL275" s="138"/>
      <c r="DM275" s="138"/>
      <c r="DN275" s="138"/>
      <c r="DO275" s="138"/>
      <c r="DP275" s="138"/>
      <c r="DQ275" s="138"/>
      <c r="DR275" s="138"/>
      <c r="DS275" s="138"/>
      <c r="DT275" s="138"/>
      <c r="DU275" s="138"/>
      <c r="DV275" s="138"/>
      <c r="DW275" s="138"/>
      <c r="DX275" s="138"/>
      <c r="DY275" s="138"/>
      <c r="DZ275" s="138"/>
      <c r="EA275" s="138"/>
      <c r="EB275" s="138"/>
      <c r="EC275" s="138"/>
      <c r="ED275" s="138"/>
      <c r="EE275" s="138"/>
      <c r="EF275" s="138"/>
      <c r="EG275" s="138"/>
      <c r="EH275" s="138"/>
      <c r="EI275" s="138"/>
      <c r="EJ275" s="138"/>
      <c r="EK275" s="138"/>
      <c r="EL275" s="138"/>
      <c r="EM275" s="138"/>
      <c r="EN275" s="138"/>
    </row>
    <row r="276" spans="1:144" ht="87.75" customHeight="1" x14ac:dyDescent="0.25">
      <c r="A276" s="832">
        <v>259</v>
      </c>
      <c r="B276" s="836" t="s">
        <v>708</v>
      </c>
      <c r="C276" s="836">
        <v>204415</v>
      </c>
      <c r="D276" s="164" t="s">
        <v>857</v>
      </c>
      <c r="E276" s="836" t="s">
        <v>95</v>
      </c>
      <c r="F276" s="836">
        <v>1</v>
      </c>
      <c r="G276" s="834" t="s">
        <v>167</v>
      </c>
      <c r="H276" s="485">
        <v>1</v>
      </c>
      <c r="I276" s="619" t="s">
        <v>96</v>
      </c>
      <c r="J276" s="833" t="s">
        <v>65</v>
      </c>
      <c r="K276" s="836" t="s">
        <v>55</v>
      </c>
      <c r="L276" s="56">
        <v>4600000</v>
      </c>
      <c r="M276" s="56">
        <v>4600000</v>
      </c>
      <c r="N276" s="836" t="s">
        <v>81</v>
      </c>
      <c r="O276" s="836" t="s">
        <v>56</v>
      </c>
      <c r="P276" s="24" t="s">
        <v>185</v>
      </c>
      <c r="Q276" s="45"/>
      <c r="R276" s="636"/>
      <c r="S276" s="637"/>
      <c r="T276" s="138"/>
      <c r="U276" s="138"/>
      <c r="V276" s="138"/>
      <c r="W276" s="638"/>
      <c r="X276" s="638"/>
      <c r="Y276" s="847"/>
      <c r="Z276" s="638"/>
      <c r="AA276" s="638"/>
      <c r="AB276" s="638"/>
      <c r="AC276" s="638"/>
      <c r="AD276" s="638"/>
      <c r="AE276" s="638"/>
      <c r="AF276" s="638"/>
      <c r="AG276" s="638"/>
      <c r="AH276" s="638"/>
      <c r="AI276" s="638"/>
      <c r="AJ276" s="638"/>
      <c r="AK276" s="638"/>
      <c r="AL276" s="638"/>
      <c r="AM276" s="638"/>
      <c r="AN276" s="638"/>
      <c r="AO276" s="638"/>
      <c r="AP276" s="638"/>
      <c r="AQ276" s="638"/>
      <c r="AR276" s="638"/>
      <c r="AS276" s="638"/>
      <c r="AT276" s="638"/>
      <c r="AU276" s="638"/>
      <c r="AV276" s="638"/>
      <c r="AW276" s="638"/>
      <c r="AX276" s="638"/>
      <c r="AY276" s="638"/>
      <c r="AZ276" s="6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c r="CN276" s="138"/>
      <c r="CO276" s="138"/>
      <c r="CP276" s="138"/>
      <c r="CQ276" s="138"/>
      <c r="CR276" s="138"/>
      <c r="CS276" s="138"/>
      <c r="CT276" s="138"/>
      <c r="CU276" s="138"/>
      <c r="CV276" s="138"/>
      <c r="CW276" s="138"/>
      <c r="CX276" s="138"/>
      <c r="CY276" s="138"/>
      <c r="CZ276" s="138"/>
      <c r="DA276" s="138"/>
      <c r="DB276" s="138"/>
      <c r="DC276" s="138"/>
      <c r="DD276" s="138"/>
      <c r="DE276" s="138"/>
      <c r="DF276" s="138"/>
      <c r="DG276" s="138"/>
      <c r="DH276" s="138"/>
      <c r="DI276" s="138"/>
      <c r="DJ276" s="138"/>
      <c r="DK276" s="138"/>
      <c r="DL276" s="138"/>
      <c r="DM276" s="138"/>
      <c r="DN276" s="138"/>
      <c r="DO276" s="138"/>
      <c r="DP276" s="138"/>
      <c r="DQ276" s="138"/>
      <c r="DR276" s="138"/>
      <c r="DS276" s="138"/>
      <c r="DT276" s="138"/>
      <c r="DU276" s="138"/>
      <c r="DV276" s="138"/>
      <c r="DW276" s="138"/>
      <c r="DX276" s="138"/>
      <c r="DY276" s="138"/>
      <c r="DZ276" s="138"/>
      <c r="EA276" s="138"/>
      <c r="EB276" s="138"/>
      <c r="EC276" s="138"/>
      <c r="ED276" s="138"/>
      <c r="EE276" s="138"/>
      <c r="EF276" s="138"/>
      <c r="EG276" s="138"/>
      <c r="EH276" s="138"/>
      <c r="EI276" s="138"/>
      <c r="EJ276" s="138"/>
      <c r="EK276" s="138"/>
      <c r="EL276" s="138"/>
      <c r="EM276" s="138"/>
      <c r="EN276" s="138"/>
    </row>
    <row r="277" spans="1:144" ht="57" customHeight="1" x14ac:dyDescent="0.4">
      <c r="A277" s="832">
        <v>260</v>
      </c>
      <c r="B277" s="833" t="s">
        <v>2843</v>
      </c>
      <c r="C277" s="833">
        <v>55101519</v>
      </c>
      <c r="D277" s="163" t="s">
        <v>2848</v>
      </c>
      <c r="E277" s="833" t="s">
        <v>76</v>
      </c>
      <c r="F277" s="833">
        <v>1</v>
      </c>
      <c r="G277" s="834" t="s">
        <v>969</v>
      </c>
      <c r="H277" s="485">
        <v>4</v>
      </c>
      <c r="I277" s="833" t="s">
        <v>89</v>
      </c>
      <c r="J277" s="833" t="s">
        <v>97</v>
      </c>
      <c r="K277" s="833" t="s">
        <v>55</v>
      </c>
      <c r="L277" s="68">
        <v>4000000</v>
      </c>
      <c r="M277" s="69">
        <v>4000000</v>
      </c>
      <c r="N277" s="833" t="s">
        <v>81</v>
      </c>
      <c r="O277" s="833" t="s">
        <v>56</v>
      </c>
      <c r="P277" s="25" t="s">
        <v>82</v>
      </c>
      <c r="Q277" s="45"/>
      <c r="R277" s="1300"/>
      <c r="S277" s="637"/>
      <c r="T277" s="138"/>
      <c r="U277" s="138"/>
      <c r="V277" s="138"/>
      <c r="W277" s="638"/>
      <c r="X277" s="638"/>
      <c r="Y277" s="847"/>
      <c r="Z277" s="638"/>
      <c r="AA277" s="638"/>
      <c r="AB277" s="638"/>
      <c r="AC277" s="638"/>
      <c r="AD277" s="638"/>
      <c r="AE277" s="638"/>
      <c r="AF277" s="638"/>
      <c r="AG277" s="638"/>
      <c r="AH277" s="638"/>
      <c r="AI277" s="638"/>
      <c r="AJ277" s="638"/>
      <c r="AK277" s="638"/>
      <c r="AL277" s="638"/>
      <c r="AM277" s="638"/>
      <c r="AN277" s="638"/>
      <c r="AO277" s="638"/>
      <c r="AP277" s="638"/>
      <c r="AQ277" s="638"/>
      <c r="AR277" s="638"/>
      <c r="AS277" s="638"/>
      <c r="AT277" s="638"/>
      <c r="AU277" s="638"/>
      <c r="AV277" s="638"/>
      <c r="AW277" s="638"/>
      <c r="AX277" s="638"/>
      <c r="AY277" s="638"/>
      <c r="AZ277" s="6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c r="CN277" s="138"/>
      <c r="CO277" s="138"/>
      <c r="CP277" s="138"/>
      <c r="CQ277" s="138"/>
      <c r="CR277" s="138"/>
      <c r="CS277" s="138"/>
      <c r="CT277" s="138"/>
      <c r="CU277" s="138"/>
      <c r="CV277" s="138"/>
      <c r="CW277" s="138"/>
      <c r="CX277" s="138"/>
      <c r="CY277" s="138"/>
      <c r="CZ277" s="138"/>
      <c r="DA277" s="138"/>
      <c r="DB277" s="138"/>
      <c r="DC277" s="138"/>
      <c r="DD277" s="138"/>
      <c r="DE277" s="138"/>
      <c r="DF277" s="138"/>
      <c r="DG277" s="138"/>
      <c r="DH277" s="138"/>
      <c r="DI277" s="138"/>
      <c r="DJ277" s="138"/>
      <c r="DK277" s="138"/>
      <c r="DL277" s="138"/>
      <c r="DM277" s="138"/>
      <c r="DN277" s="138"/>
      <c r="DO277" s="138"/>
      <c r="DP277" s="138"/>
      <c r="DQ277" s="138"/>
      <c r="DR277" s="138"/>
      <c r="DS277" s="138"/>
      <c r="DT277" s="138"/>
      <c r="DU277" s="138"/>
      <c r="DV277" s="138"/>
      <c r="DW277" s="138"/>
      <c r="DX277" s="138"/>
      <c r="DY277" s="138"/>
      <c r="DZ277" s="138"/>
      <c r="EA277" s="138"/>
      <c r="EB277" s="138"/>
      <c r="EC277" s="138"/>
      <c r="ED277" s="138"/>
      <c r="EE277" s="138"/>
      <c r="EF277" s="138"/>
      <c r="EG277" s="138"/>
      <c r="EH277" s="138"/>
      <c r="EI277" s="138"/>
      <c r="EJ277" s="138"/>
      <c r="EK277" s="138"/>
      <c r="EL277" s="138"/>
      <c r="EM277" s="138"/>
      <c r="EN277" s="138"/>
    </row>
    <row r="278" spans="1:144" ht="81.75" customHeight="1" x14ac:dyDescent="0.25">
      <c r="A278" s="832">
        <v>261</v>
      </c>
      <c r="B278" s="836" t="s">
        <v>347</v>
      </c>
      <c r="C278" s="836">
        <v>80101706</v>
      </c>
      <c r="D278" s="171" t="s">
        <v>2840</v>
      </c>
      <c r="E278" s="836" t="s">
        <v>95</v>
      </c>
      <c r="F278" s="836">
        <v>1</v>
      </c>
      <c r="G278" s="834" t="s">
        <v>167</v>
      </c>
      <c r="H278" s="485" t="s">
        <v>2969</v>
      </c>
      <c r="I278" s="619" t="s">
        <v>96</v>
      </c>
      <c r="J278" s="594" t="s">
        <v>1537</v>
      </c>
      <c r="K278" s="836" t="s">
        <v>108</v>
      </c>
      <c r="L278" s="56">
        <v>40000000</v>
      </c>
      <c r="M278" s="56">
        <v>40000000</v>
      </c>
      <c r="N278" s="836" t="s">
        <v>81</v>
      </c>
      <c r="O278" s="836" t="s">
        <v>56</v>
      </c>
      <c r="P278" s="24" t="s">
        <v>2837</v>
      </c>
      <c r="Q278" s="45"/>
      <c r="R278" s="638"/>
      <c r="S278" s="637"/>
      <c r="T278" s="138"/>
      <c r="U278" s="138"/>
      <c r="V278" s="138"/>
      <c r="W278" s="638"/>
      <c r="X278" s="638"/>
      <c r="Y278" s="847"/>
      <c r="Z278" s="638"/>
      <c r="AA278" s="638"/>
      <c r="AB278" s="638"/>
      <c r="AC278" s="638"/>
      <c r="AD278" s="638"/>
      <c r="AE278" s="638"/>
      <c r="AF278" s="638"/>
      <c r="AG278" s="638"/>
      <c r="AH278" s="638"/>
      <c r="AI278" s="638"/>
      <c r="AJ278" s="638"/>
      <c r="AK278" s="638"/>
      <c r="AL278" s="638"/>
      <c r="AM278" s="638"/>
      <c r="AN278" s="638"/>
      <c r="AO278" s="638"/>
      <c r="AP278" s="638"/>
      <c r="AQ278" s="638"/>
      <c r="AR278" s="638"/>
      <c r="AS278" s="638"/>
      <c r="AT278" s="638"/>
      <c r="AU278" s="638"/>
      <c r="AV278" s="638"/>
      <c r="AW278" s="638"/>
      <c r="AX278" s="638"/>
      <c r="AY278" s="638"/>
      <c r="AZ278" s="6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c r="CN278" s="138"/>
      <c r="CO278" s="138"/>
      <c r="CP278" s="138"/>
      <c r="CQ278" s="138"/>
      <c r="CR278" s="138"/>
      <c r="CS278" s="138"/>
      <c r="CT278" s="138"/>
      <c r="CU278" s="138"/>
      <c r="CV278" s="138"/>
      <c r="CW278" s="138"/>
      <c r="CX278" s="138"/>
      <c r="CY278" s="138"/>
      <c r="CZ278" s="138"/>
      <c r="DA278" s="138"/>
      <c r="DB278" s="138"/>
      <c r="DC278" s="138"/>
      <c r="DD278" s="138"/>
      <c r="DE278" s="138"/>
      <c r="DF278" s="138"/>
      <c r="DG278" s="138"/>
      <c r="DH278" s="138"/>
      <c r="DI278" s="138"/>
      <c r="DJ278" s="138"/>
      <c r="DK278" s="138"/>
      <c r="DL278" s="138"/>
      <c r="DM278" s="138"/>
      <c r="DN278" s="138"/>
      <c r="DO278" s="138"/>
      <c r="DP278" s="138"/>
      <c r="DQ278" s="138"/>
      <c r="DR278" s="138"/>
      <c r="DS278" s="138"/>
      <c r="DT278" s="138"/>
      <c r="DU278" s="138"/>
      <c r="DV278" s="138"/>
      <c r="DW278" s="138"/>
      <c r="DX278" s="138"/>
      <c r="DY278" s="138"/>
      <c r="DZ278" s="138"/>
      <c r="EA278" s="138"/>
      <c r="EB278" s="138"/>
      <c r="EC278" s="138"/>
      <c r="ED278" s="138"/>
      <c r="EE278" s="138"/>
      <c r="EF278" s="138"/>
      <c r="EG278" s="138"/>
      <c r="EH278" s="138"/>
      <c r="EI278" s="138"/>
      <c r="EJ278" s="138"/>
      <c r="EK278" s="138"/>
      <c r="EL278" s="138"/>
      <c r="EM278" s="138"/>
      <c r="EN278" s="138"/>
    </row>
    <row r="279" spans="1:144" ht="98.25" customHeight="1" x14ac:dyDescent="0.25">
      <c r="A279" s="832">
        <v>262</v>
      </c>
      <c r="B279" s="836" t="s">
        <v>987</v>
      </c>
      <c r="C279" s="836">
        <v>80101706</v>
      </c>
      <c r="D279" s="171" t="s">
        <v>2841</v>
      </c>
      <c r="E279" s="836" t="s">
        <v>95</v>
      </c>
      <c r="F279" s="836">
        <v>1</v>
      </c>
      <c r="G279" s="834" t="s">
        <v>167</v>
      </c>
      <c r="H279" s="485">
        <v>3</v>
      </c>
      <c r="I279" s="619" t="s">
        <v>96</v>
      </c>
      <c r="J279" s="594" t="s">
        <v>844</v>
      </c>
      <c r="K279" s="836" t="s">
        <v>108</v>
      </c>
      <c r="L279" s="56">
        <v>23000000</v>
      </c>
      <c r="M279" s="56">
        <v>23000000</v>
      </c>
      <c r="N279" s="836" t="s">
        <v>81</v>
      </c>
      <c r="O279" s="836" t="s">
        <v>56</v>
      </c>
      <c r="P279" s="24" t="s">
        <v>2852</v>
      </c>
      <c r="Q279" s="45"/>
      <c r="R279" s="638"/>
      <c r="S279" s="637"/>
      <c r="T279" s="138"/>
      <c r="U279" s="138"/>
      <c r="V279" s="138"/>
      <c r="W279" s="638"/>
      <c r="X279" s="638"/>
      <c r="Y279" s="847"/>
      <c r="Z279" s="638"/>
      <c r="AA279" s="638"/>
      <c r="AB279" s="638"/>
      <c r="AC279" s="638"/>
      <c r="AD279" s="638"/>
      <c r="AE279" s="638"/>
      <c r="AF279" s="638"/>
      <c r="AG279" s="638"/>
      <c r="AH279" s="638"/>
      <c r="AI279" s="638"/>
      <c r="AJ279" s="638"/>
      <c r="AK279" s="638"/>
      <c r="AL279" s="638"/>
      <c r="AM279" s="638"/>
      <c r="AN279" s="638"/>
      <c r="AO279" s="638"/>
      <c r="AP279" s="638"/>
      <c r="AQ279" s="638"/>
      <c r="AR279" s="638"/>
      <c r="AS279" s="638"/>
      <c r="AT279" s="638"/>
      <c r="AU279" s="638"/>
      <c r="AV279" s="638"/>
      <c r="AW279" s="638"/>
      <c r="AX279" s="638"/>
      <c r="AY279" s="638"/>
      <c r="AZ279" s="6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c r="CN279" s="138"/>
      <c r="CO279" s="138"/>
      <c r="CP279" s="138"/>
      <c r="CQ279" s="138"/>
      <c r="CR279" s="138"/>
      <c r="CS279" s="138"/>
      <c r="CT279" s="138"/>
      <c r="CU279" s="138"/>
      <c r="CV279" s="138"/>
      <c r="CW279" s="138"/>
      <c r="CX279" s="138"/>
      <c r="CY279" s="138"/>
      <c r="CZ279" s="138"/>
      <c r="DA279" s="138"/>
      <c r="DB279" s="138"/>
      <c r="DC279" s="138"/>
      <c r="DD279" s="138"/>
      <c r="DE279" s="138"/>
      <c r="DF279" s="138"/>
      <c r="DG279" s="138"/>
      <c r="DH279" s="138"/>
      <c r="DI279" s="138"/>
      <c r="DJ279" s="138"/>
      <c r="DK279" s="138"/>
      <c r="DL279" s="138"/>
      <c r="DM279" s="138"/>
      <c r="DN279" s="138"/>
      <c r="DO279" s="138"/>
      <c r="DP279" s="138"/>
      <c r="DQ279" s="138"/>
      <c r="DR279" s="138"/>
      <c r="DS279" s="138"/>
      <c r="DT279" s="138"/>
      <c r="DU279" s="138"/>
      <c r="DV279" s="138"/>
      <c r="DW279" s="138"/>
      <c r="DX279" s="138"/>
      <c r="DY279" s="138"/>
      <c r="DZ279" s="138"/>
      <c r="EA279" s="138"/>
      <c r="EB279" s="138"/>
      <c r="EC279" s="138"/>
      <c r="ED279" s="138"/>
      <c r="EE279" s="138"/>
      <c r="EF279" s="138"/>
      <c r="EG279" s="138"/>
      <c r="EH279" s="138"/>
      <c r="EI279" s="138"/>
      <c r="EJ279" s="138"/>
      <c r="EK279" s="138"/>
      <c r="EL279" s="138"/>
      <c r="EM279" s="138"/>
      <c r="EN279" s="138"/>
    </row>
    <row r="280" spans="1:144" ht="81.75" customHeight="1" x14ac:dyDescent="0.25">
      <c r="A280" s="832">
        <v>263</v>
      </c>
      <c r="B280" s="833" t="s">
        <v>2847</v>
      </c>
      <c r="C280" s="833">
        <v>72154065</v>
      </c>
      <c r="D280" s="164" t="s">
        <v>2853</v>
      </c>
      <c r="E280" s="833" t="s">
        <v>76</v>
      </c>
      <c r="F280" s="833">
        <v>1</v>
      </c>
      <c r="G280" s="834" t="s">
        <v>167</v>
      </c>
      <c r="H280" s="485">
        <v>4</v>
      </c>
      <c r="I280" s="833" t="s">
        <v>2845</v>
      </c>
      <c r="J280" s="833" t="s">
        <v>992</v>
      </c>
      <c r="K280" s="833" t="s">
        <v>55</v>
      </c>
      <c r="L280" s="68">
        <v>2000000</v>
      </c>
      <c r="M280" s="69">
        <v>2000000</v>
      </c>
      <c r="N280" s="833" t="s">
        <v>81</v>
      </c>
      <c r="O280" s="833" t="s">
        <v>56</v>
      </c>
      <c r="P280" s="25" t="s">
        <v>82</v>
      </c>
      <c r="Q280" s="45"/>
      <c r="R280" s="638"/>
      <c r="S280" s="637"/>
      <c r="T280" s="138"/>
      <c r="U280" s="138"/>
      <c r="V280" s="138"/>
      <c r="W280" s="638"/>
      <c r="X280" s="638"/>
      <c r="Y280" s="847"/>
      <c r="Z280" s="638"/>
      <c r="AA280" s="638"/>
      <c r="AB280" s="638"/>
      <c r="AC280" s="638"/>
      <c r="AD280" s="638"/>
      <c r="AE280" s="638"/>
      <c r="AF280" s="638"/>
      <c r="AG280" s="638"/>
      <c r="AH280" s="638"/>
      <c r="AI280" s="638"/>
      <c r="AJ280" s="638"/>
      <c r="AK280" s="638"/>
      <c r="AL280" s="638"/>
      <c r="AM280" s="638"/>
      <c r="AN280" s="638"/>
      <c r="AO280" s="638"/>
      <c r="AP280" s="638"/>
      <c r="AQ280" s="638"/>
      <c r="AR280" s="638"/>
      <c r="AS280" s="638"/>
      <c r="AT280" s="638"/>
      <c r="AU280" s="638"/>
      <c r="AV280" s="638"/>
      <c r="AW280" s="638"/>
      <c r="AX280" s="638"/>
      <c r="AY280" s="638"/>
      <c r="AZ280" s="6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c r="CN280" s="138"/>
      <c r="CO280" s="138"/>
      <c r="CP280" s="138"/>
      <c r="CQ280" s="138"/>
      <c r="CR280" s="138"/>
      <c r="CS280" s="138"/>
      <c r="CT280" s="138"/>
      <c r="CU280" s="138"/>
      <c r="CV280" s="138"/>
      <c r="CW280" s="138"/>
      <c r="CX280" s="138"/>
      <c r="CY280" s="138"/>
      <c r="CZ280" s="138"/>
      <c r="DA280" s="138"/>
      <c r="DB280" s="138"/>
      <c r="DC280" s="138"/>
      <c r="DD280" s="138"/>
      <c r="DE280" s="138"/>
      <c r="DF280" s="138"/>
      <c r="DG280" s="138"/>
      <c r="DH280" s="138"/>
      <c r="DI280" s="138"/>
      <c r="DJ280" s="138"/>
      <c r="DK280" s="138"/>
      <c r="DL280" s="138"/>
      <c r="DM280" s="138"/>
      <c r="DN280" s="138"/>
      <c r="DO280" s="138"/>
      <c r="DP280" s="138"/>
      <c r="DQ280" s="138"/>
      <c r="DR280" s="138"/>
      <c r="DS280" s="138"/>
      <c r="DT280" s="138"/>
      <c r="DU280" s="138"/>
      <c r="DV280" s="138"/>
      <c r="DW280" s="138"/>
      <c r="DX280" s="138"/>
      <c r="DY280" s="138"/>
      <c r="DZ280" s="138"/>
      <c r="EA280" s="138"/>
      <c r="EB280" s="138"/>
      <c r="EC280" s="138"/>
      <c r="ED280" s="138"/>
      <c r="EE280" s="138"/>
      <c r="EF280" s="138"/>
      <c r="EG280" s="138"/>
      <c r="EH280" s="138"/>
      <c r="EI280" s="138"/>
      <c r="EJ280" s="138"/>
      <c r="EK280" s="138"/>
      <c r="EL280" s="138"/>
      <c r="EM280" s="138"/>
      <c r="EN280" s="138"/>
    </row>
    <row r="281" spans="1:144" ht="81.75" customHeight="1" x14ac:dyDescent="0.25">
      <c r="A281" s="832">
        <v>264</v>
      </c>
      <c r="B281" s="836" t="s">
        <v>990</v>
      </c>
      <c r="C281" s="836">
        <v>80101706</v>
      </c>
      <c r="D281" s="830" t="s">
        <v>2849</v>
      </c>
      <c r="E281" s="836" t="s">
        <v>95</v>
      </c>
      <c r="F281" s="836">
        <v>1</v>
      </c>
      <c r="G281" s="834" t="s">
        <v>969</v>
      </c>
      <c r="H281" s="485">
        <v>1</v>
      </c>
      <c r="I281" s="619" t="s">
        <v>96</v>
      </c>
      <c r="J281" s="594" t="s">
        <v>844</v>
      </c>
      <c r="K281" s="836" t="s">
        <v>108</v>
      </c>
      <c r="L281" s="56">
        <v>5800000</v>
      </c>
      <c r="M281" s="56">
        <v>5800000</v>
      </c>
      <c r="N281" s="836" t="s">
        <v>81</v>
      </c>
      <c r="O281" s="836" t="s">
        <v>56</v>
      </c>
      <c r="P281" s="24" t="s">
        <v>2852</v>
      </c>
      <c r="Q281" s="45"/>
      <c r="R281" s="172" t="s">
        <v>2910</v>
      </c>
      <c r="S281" s="172" t="s">
        <v>2993</v>
      </c>
      <c r="T281" s="28">
        <v>42570</v>
      </c>
      <c r="U281" s="29" t="s">
        <v>2994</v>
      </c>
      <c r="V281" s="181" t="s">
        <v>594</v>
      </c>
      <c r="W281" s="1050">
        <v>5000000</v>
      </c>
      <c r="X281" s="138"/>
      <c r="Y281" s="134">
        <f t="shared" ref="Y281" si="9">SUM(W281+X281)</f>
        <v>5000000</v>
      </c>
      <c r="Z281" s="831" t="s">
        <v>2995</v>
      </c>
      <c r="AA281" s="411" t="s">
        <v>2996</v>
      </c>
      <c r="AB281" s="411" t="s">
        <v>225</v>
      </c>
      <c r="AC281" s="181" t="s">
        <v>2997</v>
      </c>
      <c r="AD281" s="411" t="s">
        <v>56</v>
      </c>
      <c r="AE281" s="411" t="s">
        <v>56</v>
      </c>
      <c r="AF281" s="411" t="s">
        <v>56</v>
      </c>
      <c r="AG281" s="831" t="s">
        <v>2998</v>
      </c>
      <c r="AH281" s="169">
        <v>42570</v>
      </c>
      <c r="AI281" s="169">
        <v>42585</v>
      </c>
      <c r="AJ281" s="411" t="s">
        <v>221</v>
      </c>
      <c r="AK281" s="134" t="s">
        <v>1040</v>
      </c>
      <c r="AL281" s="638"/>
      <c r="AM281" s="638"/>
      <c r="AN281" s="638"/>
      <c r="AO281" s="638"/>
      <c r="AP281" s="638"/>
      <c r="AQ281" s="638"/>
      <c r="AR281" s="638"/>
      <c r="AS281" s="638"/>
      <c r="AT281" s="638"/>
      <c r="AU281" s="638"/>
      <c r="AV281" s="638"/>
      <c r="AW281" s="638"/>
      <c r="AX281" s="638"/>
      <c r="AY281" s="638"/>
      <c r="AZ281" s="6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c r="CN281" s="138"/>
      <c r="CO281" s="138"/>
      <c r="CP281" s="138"/>
      <c r="CQ281" s="138"/>
      <c r="CR281" s="138"/>
      <c r="CS281" s="138"/>
      <c r="CT281" s="138"/>
      <c r="CU281" s="138"/>
      <c r="CV281" s="138"/>
      <c r="CW281" s="138"/>
      <c r="CX281" s="138"/>
      <c r="CY281" s="138"/>
      <c r="CZ281" s="138"/>
      <c r="DA281" s="138"/>
      <c r="DB281" s="138"/>
      <c r="DC281" s="138"/>
      <c r="DD281" s="138"/>
      <c r="DE281" s="138"/>
      <c r="DF281" s="138"/>
      <c r="DG281" s="138"/>
      <c r="DH281" s="138"/>
      <c r="DI281" s="138"/>
      <c r="DJ281" s="138"/>
      <c r="DK281" s="138"/>
      <c r="DL281" s="138"/>
      <c r="DM281" s="138"/>
      <c r="DN281" s="138"/>
      <c r="DO281" s="138"/>
      <c r="DP281" s="138"/>
      <c r="DQ281" s="138"/>
      <c r="DR281" s="138"/>
      <c r="DS281" s="138"/>
      <c r="DT281" s="138"/>
      <c r="DU281" s="138"/>
      <c r="DV281" s="138"/>
      <c r="DW281" s="138"/>
      <c r="DX281" s="138"/>
      <c r="DY281" s="138"/>
      <c r="DZ281" s="138"/>
      <c r="EA281" s="138"/>
      <c r="EB281" s="138"/>
      <c r="EC281" s="138"/>
      <c r="ED281" s="138"/>
      <c r="EE281" s="138"/>
      <c r="EF281" s="138"/>
      <c r="EG281" s="138"/>
      <c r="EH281" s="138"/>
      <c r="EI281" s="138"/>
      <c r="EJ281" s="138"/>
      <c r="EK281" s="138"/>
      <c r="EL281" s="138"/>
      <c r="EM281" s="138"/>
      <c r="EN281" s="138"/>
    </row>
    <row r="282" spans="1:144" ht="81.75" customHeight="1" x14ac:dyDescent="0.25">
      <c r="A282" s="832">
        <v>265</v>
      </c>
      <c r="B282" s="836" t="s">
        <v>987</v>
      </c>
      <c r="C282" s="836">
        <v>80101706</v>
      </c>
      <c r="D282" s="830" t="s">
        <v>2947</v>
      </c>
      <c r="E282" s="836" t="s">
        <v>95</v>
      </c>
      <c r="F282" s="836">
        <v>1</v>
      </c>
      <c r="G282" s="834" t="s">
        <v>167</v>
      </c>
      <c r="H282" s="485">
        <v>4</v>
      </c>
      <c r="I282" s="619" t="s">
        <v>96</v>
      </c>
      <c r="J282" s="594" t="s">
        <v>844</v>
      </c>
      <c r="K282" s="836" t="s">
        <v>108</v>
      </c>
      <c r="L282" s="56">
        <v>27900000</v>
      </c>
      <c r="M282" s="56">
        <v>27900000</v>
      </c>
      <c r="N282" s="836" t="s">
        <v>81</v>
      </c>
      <c r="O282" s="836" t="s">
        <v>56</v>
      </c>
      <c r="P282" s="24" t="s">
        <v>2948</v>
      </c>
      <c r="Q282" s="45"/>
      <c r="R282" s="172"/>
      <c r="S282" s="637"/>
      <c r="T282" s="138"/>
      <c r="U282" s="138"/>
      <c r="V282" s="138"/>
      <c r="W282" s="638"/>
      <c r="X282" s="638"/>
      <c r="Y282" s="847"/>
      <c r="Z282" s="638"/>
      <c r="AA282" s="638"/>
      <c r="AB282" s="638"/>
      <c r="AC282" s="638"/>
      <c r="AD282" s="638"/>
      <c r="AE282" s="638"/>
      <c r="AF282" s="638"/>
      <c r="AG282" s="638"/>
      <c r="AH282" s="638"/>
      <c r="AI282" s="638"/>
      <c r="AJ282" s="638"/>
      <c r="AK282" s="638"/>
      <c r="AL282" s="638"/>
      <c r="AM282" s="638"/>
      <c r="AN282" s="638"/>
      <c r="AO282" s="638"/>
      <c r="AP282" s="638"/>
      <c r="AQ282" s="638"/>
      <c r="AR282" s="638"/>
      <c r="AS282" s="638"/>
      <c r="AT282" s="638"/>
      <c r="AU282" s="638"/>
      <c r="AV282" s="638"/>
      <c r="AW282" s="638"/>
      <c r="AX282" s="638"/>
      <c r="AY282" s="638"/>
      <c r="AZ282" s="6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c r="CN282" s="138"/>
      <c r="CO282" s="138"/>
      <c r="CP282" s="138"/>
      <c r="CQ282" s="138"/>
      <c r="CR282" s="138"/>
      <c r="CS282" s="138"/>
      <c r="CT282" s="138"/>
      <c r="CU282" s="138"/>
      <c r="CV282" s="138"/>
      <c r="CW282" s="138"/>
      <c r="CX282" s="138"/>
      <c r="CY282" s="138"/>
      <c r="CZ282" s="138"/>
      <c r="DA282" s="138"/>
      <c r="DB282" s="138"/>
      <c r="DC282" s="138"/>
      <c r="DD282" s="138"/>
      <c r="DE282" s="138"/>
      <c r="DF282" s="138"/>
      <c r="DG282" s="138"/>
      <c r="DH282" s="138"/>
      <c r="DI282" s="138"/>
      <c r="DJ282" s="138"/>
      <c r="DK282" s="138"/>
      <c r="DL282" s="138"/>
      <c r="DM282" s="138"/>
      <c r="DN282" s="138"/>
      <c r="DO282" s="138"/>
      <c r="DP282" s="138"/>
      <c r="DQ282" s="138"/>
      <c r="DR282" s="138"/>
      <c r="DS282" s="138"/>
      <c r="DT282" s="138"/>
      <c r="DU282" s="138"/>
      <c r="DV282" s="138"/>
      <c r="DW282" s="138"/>
      <c r="DX282" s="138"/>
      <c r="DY282" s="138"/>
      <c r="DZ282" s="138"/>
      <c r="EA282" s="138"/>
      <c r="EB282" s="138"/>
      <c r="EC282" s="138"/>
      <c r="ED282" s="138"/>
      <c r="EE282" s="138"/>
      <c r="EF282" s="138"/>
      <c r="EG282" s="138"/>
      <c r="EH282" s="138"/>
      <c r="EI282" s="138"/>
      <c r="EJ282" s="138"/>
      <c r="EK282" s="138"/>
      <c r="EL282" s="138"/>
      <c r="EM282" s="138"/>
      <c r="EN282" s="138"/>
    </row>
    <row r="283" spans="1:144" ht="81.75" customHeight="1" x14ac:dyDescent="0.25">
      <c r="A283" s="832">
        <v>266</v>
      </c>
      <c r="B283" s="836" t="s">
        <v>985</v>
      </c>
      <c r="C283" s="836">
        <v>80101706</v>
      </c>
      <c r="D283" s="830" t="s">
        <v>2949</v>
      </c>
      <c r="E283" s="836" t="s">
        <v>95</v>
      </c>
      <c r="F283" s="836">
        <v>1</v>
      </c>
      <c r="G283" s="834" t="s">
        <v>167</v>
      </c>
      <c r="H283" s="485">
        <v>4</v>
      </c>
      <c r="I283" s="619" t="s">
        <v>96</v>
      </c>
      <c r="J283" s="594" t="s">
        <v>844</v>
      </c>
      <c r="K283" s="836" t="s">
        <v>108</v>
      </c>
      <c r="L283" s="56">
        <v>27000000</v>
      </c>
      <c r="M283" s="56">
        <v>27000000</v>
      </c>
      <c r="N283" s="836" t="s">
        <v>81</v>
      </c>
      <c r="O283" s="836" t="s">
        <v>56</v>
      </c>
      <c r="P283" s="24" t="s">
        <v>2950</v>
      </c>
      <c r="Q283" s="45"/>
      <c r="R283" s="172"/>
      <c r="S283" s="637"/>
      <c r="T283" s="138"/>
      <c r="U283" s="138"/>
      <c r="V283" s="138"/>
      <c r="W283" s="638"/>
      <c r="X283" s="638"/>
      <c r="Y283" s="847"/>
      <c r="Z283" s="638"/>
      <c r="AA283" s="638"/>
      <c r="AB283" s="638"/>
      <c r="AC283" s="638"/>
      <c r="AD283" s="638"/>
      <c r="AE283" s="638"/>
      <c r="AF283" s="638"/>
      <c r="AG283" s="638"/>
      <c r="AH283" s="638"/>
      <c r="AI283" s="638"/>
      <c r="AJ283" s="638"/>
      <c r="AK283" s="638"/>
      <c r="AL283" s="638"/>
      <c r="AM283" s="638"/>
      <c r="AN283" s="638"/>
      <c r="AO283" s="638"/>
      <c r="AP283" s="638"/>
      <c r="AQ283" s="638"/>
      <c r="AR283" s="638"/>
      <c r="AS283" s="638"/>
      <c r="AT283" s="638"/>
      <c r="AU283" s="638"/>
      <c r="AV283" s="638"/>
      <c r="AW283" s="638"/>
      <c r="AX283" s="638"/>
      <c r="AY283" s="638"/>
      <c r="AZ283" s="6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c r="CN283" s="138"/>
      <c r="CO283" s="138"/>
      <c r="CP283" s="138"/>
      <c r="CQ283" s="138"/>
      <c r="CR283" s="138"/>
      <c r="CS283" s="138"/>
      <c r="CT283" s="138"/>
      <c r="CU283" s="138"/>
      <c r="CV283" s="138"/>
      <c r="CW283" s="138"/>
      <c r="CX283" s="138"/>
      <c r="CY283" s="138"/>
      <c r="CZ283" s="138"/>
      <c r="DA283" s="138"/>
      <c r="DB283" s="138"/>
      <c r="DC283" s="138"/>
      <c r="DD283" s="138"/>
      <c r="DE283" s="138"/>
      <c r="DF283" s="138"/>
      <c r="DG283" s="138"/>
      <c r="DH283" s="138"/>
      <c r="DI283" s="138"/>
      <c r="DJ283" s="138"/>
      <c r="DK283" s="138"/>
      <c r="DL283" s="138"/>
      <c r="DM283" s="138"/>
      <c r="DN283" s="138"/>
      <c r="DO283" s="138"/>
      <c r="DP283" s="138"/>
      <c r="DQ283" s="138"/>
      <c r="DR283" s="138"/>
      <c r="DS283" s="138"/>
      <c r="DT283" s="138"/>
      <c r="DU283" s="138"/>
      <c r="DV283" s="138"/>
      <c r="DW283" s="138"/>
      <c r="DX283" s="138"/>
      <c r="DY283" s="138"/>
      <c r="DZ283" s="138"/>
      <c r="EA283" s="138"/>
      <c r="EB283" s="138"/>
      <c r="EC283" s="138"/>
      <c r="ED283" s="138"/>
      <c r="EE283" s="138"/>
      <c r="EF283" s="138"/>
      <c r="EG283" s="138"/>
      <c r="EH283" s="138"/>
      <c r="EI283" s="138"/>
      <c r="EJ283" s="138"/>
      <c r="EK283" s="138"/>
      <c r="EL283" s="138"/>
      <c r="EM283" s="138"/>
      <c r="EN283" s="138"/>
    </row>
    <row r="284" spans="1:144" ht="81.75" customHeight="1" x14ac:dyDescent="0.25">
      <c r="A284" s="832">
        <v>267</v>
      </c>
      <c r="B284" s="836" t="s">
        <v>985</v>
      </c>
      <c r="C284" s="836">
        <v>80101706</v>
      </c>
      <c r="D284" s="830" t="s">
        <v>2951</v>
      </c>
      <c r="E284" s="836" t="s">
        <v>95</v>
      </c>
      <c r="F284" s="836">
        <v>1</v>
      </c>
      <c r="G284" s="834" t="s">
        <v>167</v>
      </c>
      <c r="H284" s="485">
        <v>4</v>
      </c>
      <c r="I284" s="619" t="s">
        <v>96</v>
      </c>
      <c r="J284" s="594" t="s">
        <v>844</v>
      </c>
      <c r="K284" s="836" t="s">
        <v>108</v>
      </c>
      <c r="L284" s="56">
        <v>15750000</v>
      </c>
      <c r="M284" s="56">
        <v>15750000</v>
      </c>
      <c r="N284" s="836" t="s">
        <v>81</v>
      </c>
      <c r="O284" s="836" t="s">
        <v>56</v>
      </c>
      <c r="P284" s="24" t="s">
        <v>2950</v>
      </c>
      <c r="Q284" s="45"/>
      <c r="R284" s="172"/>
      <c r="S284" s="637"/>
      <c r="T284" s="138"/>
      <c r="U284" s="138"/>
      <c r="V284" s="138"/>
      <c r="W284" s="638"/>
      <c r="X284" s="638"/>
      <c r="Y284" s="847"/>
      <c r="Z284" s="638"/>
      <c r="AA284" s="638"/>
      <c r="AB284" s="638"/>
      <c r="AC284" s="638"/>
      <c r="AD284" s="638"/>
      <c r="AE284" s="638"/>
      <c r="AF284" s="638"/>
      <c r="AG284" s="638"/>
      <c r="AH284" s="638"/>
      <c r="AI284" s="638"/>
      <c r="AJ284" s="638"/>
      <c r="AK284" s="638"/>
      <c r="AL284" s="638"/>
      <c r="AM284" s="638"/>
      <c r="AN284" s="638"/>
      <c r="AO284" s="638"/>
      <c r="AP284" s="638"/>
      <c r="AQ284" s="638"/>
      <c r="AR284" s="638"/>
      <c r="AS284" s="638"/>
      <c r="AT284" s="638"/>
      <c r="AU284" s="638"/>
      <c r="AV284" s="638"/>
      <c r="AW284" s="638"/>
      <c r="AX284" s="638"/>
      <c r="AY284" s="638"/>
      <c r="AZ284" s="6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c r="CN284" s="138"/>
      <c r="CO284" s="138"/>
      <c r="CP284" s="138"/>
      <c r="CQ284" s="138"/>
      <c r="CR284" s="138"/>
      <c r="CS284" s="138"/>
      <c r="CT284" s="138"/>
      <c r="CU284" s="138"/>
      <c r="CV284" s="138"/>
      <c r="CW284" s="138"/>
      <c r="CX284" s="138"/>
      <c r="CY284" s="138"/>
      <c r="CZ284" s="138"/>
      <c r="DA284" s="138"/>
      <c r="DB284" s="138"/>
      <c r="DC284" s="138"/>
      <c r="DD284" s="138"/>
      <c r="DE284" s="138"/>
      <c r="DF284" s="138"/>
      <c r="DG284" s="138"/>
      <c r="DH284" s="138"/>
      <c r="DI284" s="138"/>
      <c r="DJ284" s="138"/>
      <c r="DK284" s="138"/>
      <c r="DL284" s="138"/>
      <c r="DM284" s="138"/>
      <c r="DN284" s="138"/>
      <c r="DO284" s="138"/>
      <c r="DP284" s="138"/>
      <c r="DQ284" s="138"/>
      <c r="DR284" s="138"/>
      <c r="DS284" s="138"/>
      <c r="DT284" s="138"/>
      <c r="DU284" s="138"/>
      <c r="DV284" s="138"/>
      <c r="DW284" s="138"/>
      <c r="DX284" s="138"/>
      <c r="DY284" s="138"/>
      <c r="DZ284" s="138"/>
      <c r="EA284" s="138"/>
      <c r="EB284" s="138"/>
      <c r="EC284" s="138"/>
      <c r="ED284" s="138"/>
      <c r="EE284" s="138"/>
      <c r="EF284" s="138"/>
      <c r="EG284" s="138"/>
      <c r="EH284" s="138"/>
      <c r="EI284" s="138"/>
      <c r="EJ284" s="138"/>
      <c r="EK284" s="138"/>
      <c r="EL284" s="138"/>
      <c r="EM284" s="138"/>
      <c r="EN284" s="138"/>
    </row>
    <row r="285" spans="1:144" ht="81.75" customHeight="1" x14ac:dyDescent="0.25">
      <c r="A285" s="832">
        <v>268</v>
      </c>
      <c r="B285" s="836" t="s">
        <v>985</v>
      </c>
      <c r="C285" s="836">
        <v>80101706</v>
      </c>
      <c r="D285" s="830" t="s">
        <v>2951</v>
      </c>
      <c r="E285" s="836" t="s">
        <v>95</v>
      </c>
      <c r="F285" s="836">
        <v>1</v>
      </c>
      <c r="G285" s="834" t="s">
        <v>167</v>
      </c>
      <c r="H285" s="485">
        <v>4</v>
      </c>
      <c r="I285" s="619" t="s">
        <v>96</v>
      </c>
      <c r="J285" s="594" t="s">
        <v>844</v>
      </c>
      <c r="K285" s="836" t="s">
        <v>108</v>
      </c>
      <c r="L285" s="56">
        <v>10350000</v>
      </c>
      <c r="M285" s="56">
        <v>10350000</v>
      </c>
      <c r="N285" s="836" t="s">
        <v>81</v>
      </c>
      <c r="O285" s="836" t="s">
        <v>56</v>
      </c>
      <c r="P285" s="24" t="s">
        <v>2950</v>
      </c>
      <c r="Q285" s="45"/>
      <c r="R285" s="172"/>
      <c r="S285" s="637"/>
      <c r="T285" s="138"/>
      <c r="U285" s="138"/>
      <c r="V285" s="138"/>
      <c r="W285" s="638"/>
      <c r="X285" s="638"/>
      <c r="Y285" s="847"/>
      <c r="Z285" s="638"/>
      <c r="AA285" s="638"/>
      <c r="AB285" s="638"/>
      <c r="AC285" s="638"/>
      <c r="AD285" s="638"/>
      <c r="AE285" s="638"/>
      <c r="AF285" s="638"/>
      <c r="AG285" s="638"/>
      <c r="AH285" s="638"/>
      <c r="AI285" s="638"/>
      <c r="AJ285" s="638"/>
      <c r="AK285" s="638"/>
      <c r="AL285" s="638"/>
      <c r="AM285" s="638"/>
      <c r="AN285" s="638"/>
      <c r="AO285" s="638"/>
      <c r="AP285" s="638"/>
      <c r="AQ285" s="638"/>
      <c r="AR285" s="638"/>
      <c r="AS285" s="638"/>
      <c r="AT285" s="638"/>
      <c r="AU285" s="638"/>
      <c r="AV285" s="638"/>
      <c r="AW285" s="638"/>
      <c r="AX285" s="638"/>
      <c r="AY285" s="638"/>
      <c r="AZ285" s="6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c r="CN285" s="138"/>
      <c r="CO285" s="138"/>
      <c r="CP285" s="138"/>
      <c r="CQ285" s="138"/>
      <c r="CR285" s="138"/>
      <c r="CS285" s="138"/>
      <c r="CT285" s="138"/>
      <c r="CU285" s="138"/>
      <c r="CV285" s="138"/>
      <c r="CW285" s="138"/>
      <c r="CX285" s="138"/>
      <c r="CY285" s="138"/>
      <c r="CZ285" s="138"/>
      <c r="DA285" s="138"/>
      <c r="DB285" s="138"/>
      <c r="DC285" s="138"/>
      <c r="DD285" s="138"/>
      <c r="DE285" s="138"/>
      <c r="DF285" s="138"/>
      <c r="DG285" s="138"/>
      <c r="DH285" s="138"/>
      <c r="DI285" s="138"/>
      <c r="DJ285" s="138"/>
      <c r="DK285" s="138"/>
      <c r="DL285" s="138"/>
      <c r="DM285" s="138"/>
      <c r="DN285" s="138"/>
      <c r="DO285" s="138"/>
      <c r="DP285" s="138"/>
      <c r="DQ285" s="138"/>
      <c r="DR285" s="138"/>
      <c r="DS285" s="138"/>
      <c r="DT285" s="138"/>
      <c r="DU285" s="138"/>
      <c r="DV285" s="138"/>
      <c r="DW285" s="138"/>
      <c r="DX285" s="138"/>
      <c r="DY285" s="138"/>
      <c r="DZ285" s="138"/>
      <c r="EA285" s="138"/>
      <c r="EB285" s="138"/>
      <c r="EC285" s="138"/>
      <c r="ED285" s="138"/>
      <c r="EE285" s="138"/>
      <c r="EF285" s="138"/>
      <c r="EG285" s="138"/>
      <c r="EH285" s="138"/>
      <c r="EI285" s="138"/>
      <c r="EJ285" s="138"/>
      <c r="EK285" s="138"/>
      <c r="EL285" s="138"/>
      <c r="EM285" s="138"/>
      <c r="EN285" s="138"/>
    </row>
    <row r="286" spans="1:144" ht="81.75" customHeight="1" x14ac:dyDescent="0.25">
      <c r="A286" s="832">
        <v>269</v>
      </c>
      <c r="B286" s="836" t="s">
        <v>996</v>
      </c>
      <c r="C286" s="836">
        <v>80101706</v>
      </c>
      <c r="D286" s="830" t="s">
        <v>2952</v>
      </c>
      <c r="E286" s="836" t="s">
        <v>95</v>
      </c>
      <c r="F286" s="836">
        <v>1</v>
      </c>
      <c r="G286" s="834" t="s">
        <v>167</v>
      </c>
      <c r="H286" s="485">
        <v>4</v>
      </c>
      <c r="I286" s="619" t="s">
        <v>96</v>
      </c>
      <c r="J286" s="594" t="s">
        <v>844</v>
      </c>
      <c r="K286" s="836" t="s">
        <v>108</v>
      </c>
      <c r="L286" s="56">
        <v>29250000</v>
      </c>
      <c r="M286" s="56">
        <v>29250000</v>
      </c>
      <c r="N286" s="836" t="s">
        <v>81</v>
      </c>
      <c r="O286" s="836" t="s">
        <v>56</v>
      </c>
      <c r="P286" s="24" t="s">
        <v>2953</v>
      </c>
      <c r="Q286" s="45"/>
      <c r="R286" s="172"/>
      <c r="S286" s="637"/>
      <c r="T286" s="138"/>
      <c r="U286" s="138"/>
      <c r="V286" s="138"/>
      <c r="W286" s="638"/>
      <c r="X286" s="638"/>
      <c r="Y286" s="847"/>
      <c r="Z286" s="638"/>
      <c r="AA286" s="638"/>
      <c r="AB286" s="638"/>
      <c r="AC286" s="638"/>
      <c r="AD286" s="638"/>
      <c r="AE286" s="638"/>
      <c r="AF286" s="638"/>
      <c r="AG286" s="638"/>
      <c r="AH286" s="638"/>
      <c r="AI286" s="638"/>
      <c r="AJ286" s="638"/>
      <c r="AK286" s="638"/>
      <c r="AL286" s="638"/>
      <c r="AM286" s="638"/>
      <c r="AN286" s="638"/>
      <c r="AO286" s="638"/>
      <c r="AP286" s="638"/>
      <c r="AQ286" s="638"/>
      <c r="AR286" s="638"/>
      <c r="AS286" s="638"/>
      <c r="AT286" s="638"/>
      <c r="AU286" s="638"/>
      <c r="AV286" s="638"/>
      <c r="AW286" s="638"/>
      <c r="AX286" s="638"/>
      <c r="AY286" s="638"/>
      <c r="AZ286" s="6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c r="CN286" s="138"/>
      <c r="CO286" s="138"/>
      <c r="CP286" s="138"/>
      <c r="CQ286" s="138"/>
      <c r="CR286" s="138"/>
      <c r="CS286" s="138"/>
      <c r="CT286" s="138"/>
      <c r="CU286" s="138"/>
      <c r="CV286" s="138"/>
      <c r="CW286" s="138"/>
      <c r="CX286" s="138"/>
      <c r="CY286" s="138"/>
      <c r="CZ286" s="138"/>
      <c r="DA286" s="138"/>
      <c r="DB286" s="138"/>
      <c r="DC286" s="138"/>
      <c r="DD286" s="138"/>
      <c r="DE286" s="138"/>
      <c r="DF286" s="138"/>
      <c r="DG286" s="138"/>
      <c r="DH286" s="138"/>
      <c r="DI286" s="138"/>
      <c r="DJ286" s="138"/>
      <c r="DK286" s="138"/>
      <c r="DL286" s="138"/>
      <c r="DM286" s="138"/>
      <c r="DN286" s="138"/>
      <c r="DO286" s="138"/>
      <c r="DP286" s="138"/>
      <c r="DQ286" s="138"/>
      <c r="DR286" s="138"/>
      <c r="DS286" s="138"/>
      <c r="DT286" s="138"/>
      <c r="DU286" s="138"/>
      <c r="DV286" s="138"/>
      <c r="DW286" s="138"/>
      <c r="DX286" s="138"/>
      <c r="DY286" s="138"/>
      <c r="DZ286" s="138"/>
      <c r="EA286" s="138"/>
      <c r="EB286" s="138"/>
      <c r="EC286" s="138"/>
      <c r="ED286" s="138"/>
      <c r="EE286" s="138"/>
      <c r="EF286" s="138"/>
      <c r="EG286" s="138"/>
      <c r="EH286" s="138"/>
      <c r="EI286" s="138"/>
      <c r="EJ286" s="138"/>
      <c r="EK286" s="138"/>
      <c r="EL286" s="138"/>
      <c r="EM286" s="138"/>
      <c r="EN286" s="138"/>
    </row>
    <row r="287" spans="1:144" ht="81.75" customHeight="1" x14ac:dyDescent="0.25">
      <c r="A287" s="832">
        <v>270</v>
      </c>
      <c r="B287" s="836" t="s">
        <v>996</v>
      </c>
      <c r="C287" s="836">
        <v>80101706</v>
      </c>
      <c r="D287" s="830" t="s">
        <v>2954</v>
      </c>
      <c r="E287" s="836" t="s">
        <v>95</v>
      </c>
      <c r="F287" s="836">
        <v>1</v>
      </c>
      <c r="G287" s="834" t="s">
        <v>167</v>
      </c>
      <c r="H287" s="485">
        <v>4</v>
      </c>
      <c r="I287" s="619" t="s">
        <v>96</v>
      </c>
      <c r="J287" s="594" t="s">
        <v>844</v>
      </c>
      <c r="K287" s="836" t="s">
        <v>108</v>
      </c>
      <c r="L287" s="56">
        <v>23400000</v>
      </c>
      <c r="M287" s="56">
        <v>23400000</v>
      </c>
      <c r="N287" s="836" t="s">
        <v>81</v>
      </c>
      <c r="O287" s="836" t="s">
        <v>56</v>
      </c>
      <c r="P287" s="24" t="s">
        <v>2953</v>
      </c>
      <c r="Q287" s="45"/>
      <c r="R287" s="172"/>
      <c r="S287" s="637"/>
      <c r="T287" s="138"/>
      <c r="U287" s="138"/>
      <c r="V287" s="138"/>
      <c r="W287" s="638"/>
      <c r="X287" s="638"/>
      <c r="Y287" s="847"/>
      <c r="Z287" s="638"/>
      <c r="AA287" s="638"/>
      <c r="AB287" s="638"/>
      <c r="AC287" s="638"/>
      <c r="AD287" s="638"/>
      <c r="AE287" s="638"/>
      <c r="AF287" s="638"/>
      <c r="AG287" s="638"/>
      <c r="AH287" s="638"/>
      <c r="AI287" s="638"/>
      <c r="AJ287" s="638"/>
      <c r="AK287" s="638"/>
      <c r="AL287" s="638"/>
      <c r="AM287" s="638"/>
      <c r="AN287" s="638"/>
      <c r="AO287" s="638"/>
      <c r="AP287" s="638"/>
      <c r="AQ287" s="638"/>
      <c r="AR287" s="638"/>
      <c r="AS287" s="638"/>
      <c r="AT287" s="638"/>
      <c r="AU287" s="638"/>
      <c r="AV287" s="638"/>
      <c r="AW287" s="638"/>
      <c r="AX287" s="638"/>
      <c r="AY287" s="638"/>
      <c r="AZ287" s="6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c r="CN287" s="138"/>
      <c r="CO287" s="138"/>
      <c r="CP287" s="138"/>
      <c r="CQ287" s="138"/>
      <c r="CR287" s="138"/>
      <c r="CS287" s="138"/>
      <c r="CT287" s="138"/>
      <c r="CU287" s="138"/>
      <c r="CV287" s="138"/>
      <c r="CW287" s="138"/>
      <c r="CX287" s="138"/>
      <c r="CY287" s="138"/>
      <c r="CZ287" s="138"/>
      <c r="DA287" s="138"/>
      <c r="DB287" s="138"/>
      <c r="DC287" s="138"/>
      <c r="DD287" s="138"/>
      <c r="DE287" s="138"/>
      <c r="DF287" s="138"/>
      <c r="DG287" s="138"/>
      <c r="DH287" s="138"/>
      <c r="DI287" s="138"/>
      <c r="DJ287" s="138"/>
      <c r="DK287" s="138"/>
      <c r="DL287" s="138"/>
      <c r="DM287" s="138"/>
      <c r="DN287" s="138"/>
      <c r="DO287" s="138"/>
      <c r="DP287" s="138"/>
      <c r="DQ287" s="138"/>
      <c r="DR287" s="138"/>
      <c r="DS287" s="138"/>
      <c r="DT287" s="138"/>
      <c r="DU287" s="138"/>
      <c r="DV287" s="138"/>
      <c r="DW287" s="138"/>
      <c r="DX287" s="138"/>
      <c r="DY287" s="138"/>
      <c r="DZ287" s="138"/>
      <c r="EA287" s="138"/>
      <c r="EB287" s="138"/>
      <c r="EC287" s="138"/>
      <c r="ED287" s="138"/>
      <c r="EE287" s="138"/>
      <c r="EF287" s="138"/>
      <c r="EG287" s="138"/>
      <c r="EH287" s="138"/>
      <c r="EI287" s="138"/>
      <c r="EJ287" s="138"/>
      <c r="EK287" s="138"/>
      <c r="EL287" s="138"/>
      <c r="EM287" s="138"/>
      <c r="EN287" s="138"/>
    </row>
    <row r="288" spans="1:144" ht="81.75" customHeight="1" x14ac:dyDescent="0.25">
      <c r="A288" s="832">
        <v>271</v>
      </c>
      <c r="B288" s="836" t="s">
        <v>996</v>
      </c>
      <c r="C288" s="836">
        <v>80101706</v>
      </c>
      <c r="D288" s="830" t="s">
        <v>2955</v>
      </c>
      <c r="E288" s="836" t="s">
        <v>95</v>
      </c>
      <c r="F288" s="836">
        <v>1</v>
      </c>
      <c r="G288" s="834" t="s">
        <v>167</v>
      </c>
      <c r="H288" s="485">
        <v>4</v>
      </c>
      <c r="I288" s="619" t="s">
        <v>96</v>
      </c>
      <c r="J288" s="594" t="s">
        <v>844</v>
      </c>
      <c r="K288" s="836" t="s">
        <v>108</v>
      </c>
      <c r="L288" s="56">
        <v>9900000</v>
      </c>
      <c r="M288" s="56">
        <v>9900000</v>
      </c>
      <c r="N288" s="836" t="s">
        <v>81</v>
      </c>
      <c r="O288" s="836" t="s">
        <v>56</v>
      </c>
      <c r="P288" s="24" t="s">
        <v>2953</v>
      </c>
      <c r="Q288" s="45"/>
      <c r="R288" s="172"/>
      <c r="S288" s="637"/>
      <c r="T288" s="138"/>
      <c r="U288" s="138"/>
      <c r="V288" s="138"/>
      <c r="W288" s="638"/>
      <c r="X288" s="638"/>
      <c r="Y288" s="847"/>
      <c r="Z288" s="638"/>
      <c r="AA288" s="638"/>
      <c r="AB288" s="638"/>
      <c r="AC288" s="638"/>
      <c r="AD288" s="638"/>
      <c r="AE288" s="638"/>
      <c r="AF288" s="638"/>
      <c r="AG288" s="638"/>
      <c r="AH288" s="638"/>
      <c r="AI288" s="638"/>
      <c r="AJ288" s="638"/>
      <c r="AK288" s="638"/>
      <c r="AL288" s="638"/>
      <c r="AM288" s="638"/>
      <c r="AN288" s="638"/>
      <c r="AO288" s="638"/>
      <c r="AP288" s="638"/>
      <c r="AQ288" s="638"/>
      <c r="AR288" s="638"/>
      <c r="AS288" s="638"/>
      <c r="AT288" s="638"/>
      <c r="AU288" s="638"/>
      <c r="AV288" s="638"/>
      <c r="AW288" s="638"/>
      <c r="AX288" s="638"/>
      <c r="AY288" s="638"/>
      <c r="AZ288" s="6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c r="CN288" s="138"/>
      <c r="CO288" s="138"/>
      <c r="CP288" s="138"/>
      <c r="CQ288" s="138"/>
      <c r="CR288" s="138"/>
      <c r="CS288" s="138"/>
      <c r="CT288" s="138"/>
      <c r="CU288" s="138"/>
      <c r="CV288" s="138"/>
      <c r="CW288" s="138"/>
      <c r="CX288" s="138"/>
      <c r="CY288" s="138"/>
      <c r="CZ288" s="138"/>
      <c r="DA288" s="138"/>
      <c r="DB288" s="138"/>
      <c r="DC288" s="138"/>
      <c r="DD288" s="138"/>
      <c r="DE288" s="138"/>
      <c r="DF288" s="138"/>
      <c r="DG288" s="138"/>
      <c r="DH288" s="138"/>
      <c r="DI288" s="138"/>
      <c r="DJ288" s="138"/>
      <c r="DK288" s="138"/>
      <c r="DL288" s="138"/>
      <c r="DM288" s="138"/>
      <c r="DN288" s="138"/>
      <c r="DO288" s="138"/>
      <c r="DP288" s="138"/>
      <c r="DQ288" s="138"/>
      <c r="DR288" s="138"/>
      <c r="DS288" s="138"/>
      <c r="DT288" s="138"/>
      <c r="DU288" s="138"/>
      <c r="DV288" s="138"/>
      <c r="DW288" s="138"/>
      <c r="DX288" s="138"/>
      <c r="DY288" s="138"/>
      <c r="DZ288" s="138"/>
      <c r="EA288" s="138"/>
      <c r="EB288" s="138"/>
      <c r="EC288" s="138"/>
      <c r="ED288" s="138"/>
      <c r="EE288" s="138"/>
      <c r="EF288" s="138"/>
      <c r="EG288" s="138"/>
      <c r="EH288" s="138"/>
      <c r="EI288" s="138"/>
      <c r="EJ288" s="138"/>
      <c r="EK288" s="138"/>
      <c r="EL288" s="138"/>
      <c r="EM288" s="138"/>
      <c r="EN288" s="138"/>
    </row>
    <row r="289" spans="1:274" ht="81.75" customHeight="1" x14ac:dyDescent="0.25">
      <c r="A289" s="832">
        <v>272</v>
      </c>
      <c r="B289" s="836" t="s">
        <v>1000</v>
      </c>
      <c r="C289" s="836">
        <v>80101706</v>
      </c>
      <c r="D289" s="830" t="s">
        <v>2956</v>
      </c>
      <c r="E289" s="836" t="s">
        <v>95</v>
      </c>
      <c r="F289" s="836">
        <v>1</v>
      </c>
      <c r="G289" s="834" t="s">
        <v>167</v>
      </c>
      <c r="H289" s="485">
        <v>4</v>
      </c>
      <c r="I289" s="619" t="s">
        <v>96</v>
      </c>
      <c r="J289" s="594" t="s">
        <v>844</v>
      </c>
      <c r="K289" s="836" t="s">
        <v>108</v>
      </c>
      <c r="L289" s="56">
        <v>14850000</v>
      </c>
      <c r="M289" s="56">
        <v>14850000</v>
      </c>
      <c r="N289" s="836" t="s">
        <v>81</v>
      </c>
      <c r="O289" s="836" t="s">
        <v>56</v>
      </c>
      <c r="P289" s="24" t="s">
        <v>2957</v>
      </c>
      <c r="Q289" s="45"/>
      <c r="R289" s="172"/>
      <c r="S289" s="637"/>
      <c r="T289" s="138"/>
      <c r="U289" s="138"/>
      <c r="V289" s="138"/>
      <c r="W289" s="638"/>
      <c r="X289" s="638"/>
      <c r="Y289" s="847"/>
      <c r="Z289" s="638"/>
      <c r="AA289" s="638"/>
      <c r="AB289" s="638"/>
      <c r="AC289" s="638"/>
      <c r="AD289" s="638"/>
      <c r="AE289" s="638"/>
      <c r="AF289" s="638"/>
      <c r="AG289" s="638"/>
      <c r="AH289" s="638"/>
      <c r="AI289" s="638"/>
      <c r="AJ289" s="638"/>
      <c r="AK289" s="638"/>
      <c r="AL289" s="638"/>
      <c r="AM289" s="638"/>
      <c r="AN289" s="638"/>
      <c r="AO289" s="638"/>
      <c r="AP289" s="638"/>
      <c r="AQ289" s="638"/>
      <c r="AR289" s="638"/>
      <c r="AS289" s="638"/>
      <c r="AT289" s="638"/>
      <c r="AU289" s="638"/>
      <c r="AV289" s="638"/>
      <c r="AW289" s="638"/>
      <c r="AX289" s="638"/>
      <c r="AY289" s="638"/>
      <c r="AZ289" s="6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c r="CN289" s="138"/>
      <c r="CO289" s="138"/>
      <c r="CP289" s="138"/>
      <c r="CQ289" s="138"/>
      <c r="CR289" s="138"/>
      <c r="CS289" s="138"/>
      <c r="CT289" s="138"/>
      <c r="CU289" s="138"/>
      <c r="CV289" s="138"/>
      <c r="CW289" s="138"/>
      <c r="CX289" s="138"/>
      <c r="CY289" s="138"/>
      <c r="CZ289" s="138"/>
      <c r="DA289" s="138"/>
      <c r="DB289" s="138"/>
      <c r="DC289" s="138"/>
      <c r="DD289" s="138"/>
      <c r="DE289" s="138"/>
      <c r="DF289" s="138"/>
      <c r="DG289" s="138"/>
      <c r="DH289" s="138"/>
      <c r="DI289" s="138"/>
      <c r="DJ289" s="138"/>
      <c r="DK289" s="138"/>
      <c r="DL289" s="138"/>
      <c r="DM289" s="138"/>
      <c r="DN289" s="138"/>
      <c r="DO289" s="138"/>
      <c r="DP289" s="138"/>
      <c r="DQ289" s="138"/>
      <c r="DR289" s="138"/>
      <c r="DS289" s="138"/>
      <c r="DT289" s="138"/>
      <c r="DU289" s="138"/>
      <c r="DV289" s="138"/>
      <c r="DW289" s="138"/>
      <c r="DX289" s="138"/>
      <c r="DY289" s="138"/>
      <c r="DZ289" s="138"/>
      <c r="EA289" s="138"/>
      <c r="EB289" s="138"/>
      <c r="EC289" s="138"/>
      <c r="ED289" s="138"/>
      <c r="EE289" s="138"/>
      <c r="EF289" s="138"/>
      <c r="EG289" s="138"/>
      <c r="EH289" s="138"/>
      <c r="EI289" s="138"/>
      <c r="EJ289" s="138"/>
      <c r="EK289" s="138"/>
      <c r="EL289" s="138"/>
      <c r="EM289" s="138"/>
      <c r="EN289" s="138"/>
    </row>
    <row r="290" spans="1:274" ht="149.25" customHeight="1" x14ac:dyDescent="0.25">
      <c r="A290" s="832">
        <v>273</v>
      </c>
      <c r="B290" s="836" t="s">
        <v>1000</v>
      </c>
      <c r="C290" s="836">
        <v>80101706</v>
      </c>
      <c r="D290" s="830" t="s">
        <v>2958</v>
      </c>
      <c r="E290" s="836" t="s">
        <v>95</v>
      </c>
      <c r="F290" s="836">
        <v>1</v>
      </c>
      <c r="G290" s="834" t="s">
        <v>167</v>
      </c>
      <c r="H290" s="485">
        <v>4</v>
      </c>
      <c r="I290" s="619" t="s">
        <v>96</v>
      </c>
      <c r="J290" s="594" t="s">
        <v>844</v>
      </c>
      <c r="K290" s="836" t="s">
        <v>108</v>
      </c>
      <c r="L290" s="56">
        <v>20250000</v>
      </c>
      <c r="M290" s="56">
        <v>20250000</v>
      </c>
      <c r="N290" s="836" t="s">
        <v>81</v>
      </c>
      <c r="O290" s="836" t="s">
        <v>56</v>
      </c>
      <c r="P290" s="24" t="s">
        <v>2957</v>
      </c>
      <c r="Q290" s="45"/>
      <c r="R290" s="138"/>
      <c r="S290" s="637"/>
      <c r="T290" s="138"/>
      <c r="U290" s="138"/>
      <c r="V290" s="138"/>
      <c r="W290" s="138"/>
      <c r="X290" s="138"/>
      <c r="Y290" s="134"/>
      <c r="Z290" s="138"/>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c r="CN290" s="138"/>
      <c r="CO290" s="138"/>
      <c r="CP290" s="138"/>
      <c r="CQ290" s="138"/>
      <c r="CR290" s="138"/>
      <c r="CS290" s="138"/>
      <c r="CT290" s="138"/>
      <c r="CU290" s="138"/>
      <c r="CV290" s="138"/>
      <c r="CW290" s="138"/>
      <c r="CX290" s="138"/>
      <c r="CY290" s="138"/>
      <c r="CZ290" s="138"/>
      <c r="DA290" s="138"/>
      <c r="DB290" s="138"/>
      <c r="DC290" s="138"/>
      <c r="DD290" s="138"/>
      <c r="DE290" s="138"/>
      <c r="DF290" s="138"/>
      <c r="DG290" s="138"/>
      <c r="DH290" s="138"/>
      <c r="DI290" s="138"/>
      <c r="DJ290" s="138"/>
      <c r="DK290" s="138"/>
      <c r="DL290" s="138"/>
      <c r="DM290" s="138"/>
      <c r="DN290" s="138"/>
      <c r="DO290" s="138"/>
      <c r="DP290" s="138"/>
      <c r="DQ290" s="138"/>
      <c r="DR290" s="138"/>
      <c r="DS290" s="138"/>
      <c r="DT290" s="138"/>
      <c r="DU290" s="138"/>
      <c r="DV290" s="138"/>
      <c r="DW290" s="138"/>
      <c r="DX290" s="138"/>
      <c r="DY290" s="138"/>
      <c r="DZ290" s="138"/>
      <c r="EA290" s="138"/>
      <c r="EB290" s="138"/>
      <c r="EC290" s="138"/>
      <c r="ED290" s="138"/>
      <c r="EE290" s="138"/>
      <c r="EF290" s="138"/>
      <c r="EG290" s="138"/>
      <c r="EH290" s="138"/>
      <c r="EI290" s="138"/>
      <c r="EJ290" s="138"/>
      <c r="EK290" s="138"/>
      <c r="EL290" s="138"/>
      <c r="EM290" s="138"/>
      <c r="EN290" s="138"/>
    </row>
    <row r="291" spans="1:274" s="318" customFormat="1" ht="149.25" customHeight="1" x14ac:dyDescent="0.25">
      <c r="A291" s="972" t="s">
        <v>2970</v>
      </c>
      <c r="B291" s="973"/>
      <c r="C291" s="973"/>
      <c r="D291" s="973"/>
      <c r="E291" s="973"/>
      <c r="F291" s="973"/>
      <c r="G291" s="973"/>
      <c r="H291" s="973"/>
      <c r="I291" s="973"/>
      <c r="J291" s="973"/>
      <c r="K291" s="973"/>
      <c r="L291" s="973"/>
      <c r="M291" s="973"/>
      <c r="N291" s="973"/>
      <c r="O291" s="973"/>
      <c r="P291" s="973"/>
      <c r="Q291" s="95"/>
      <c r="R291" s="975"/>
      <c r="S291" s="975"/>
      <c r="T291" s="975"/>
      <c r="U291" s="975"/>
      <c r="V291" s="975"/>
      <c r="W291" s="975"/>
      <c r="X291" s="975"/>
      <c r="Y291" s="975"/>
      <c r="Z291" s="975"/>
      <c r="AA291" s="975"/>
      <c r="AB291" s="975"/>
      <c r="AC291" s="975"/>
      <c r="AD291" s="975"/>
      <c r="AE291" s="975"/>
      <c r="AF291" s="975"/>
      <c r="AG291" s="975"/>
      <c r="AH291" s="975"/>
      <c r="AI291" s="975"/>
      <c r="AJ291" s="975"/>
      <c r="AK291" s="975"/>
      <c r="AL291" s="975"/>
      <c r="AM291" s="975"/>
      <c r="AN291" s="975"/>
      <c r="AO291" s="975"/>
      <c r="AP291" s="975"/>
      <c r="AQ291" s="975"/>
      <c r="AR291" s="975"/>
      <c r="AS291" s="975"/>
      <c r="AT291" s="975"/>
      <c r="AU291" s="975"/>
      <c r="AV291" s="975"/>
      <c r="AW291" s="975"/>
      <c r="AX291" s="975"/>
      <c r="AY291" s="975"/>
      <c r="AZ291" s="975"/>
      <c r="BA291" s="828"/>
      <c r="BB291" s="828"/>
      <c r="BC291" s="828"/>
      <c r="BD291" s="828"/>
      <c r="BE291" s="828"/>
      <c r="BF291" s="828"/>
      <c r="BG291" s="828"/>
      <c r="BH291" s="828"/>
      <c r="BI291" s="828"/>
      <c r="BJ291" s="828"/>
      <c r="BK291" s="828"/>
      <c r="BL291" s="828"/>
      <c r="BM291" s="828"/>
      <c r="BN291" s="828"/>
      <c r="BO291" s="828"/>
      <c r="BP291" s="828"/>
      <c r="BQ291" s="828"/>
      <c r="BR291" s="828"/>
      <c r="BS291" s="828"/>
      <c r="BT291" s="828"/>
      <c r="BU291" s="828"/>
      <c r="BV291" s="828"/>
      <c r="BW291" s="828"/>
      <c r="BX291" s="828"/>
      <c r="BY291" s="828"/>
      <c r="BZ291" s="828"/>
      <c r="CA291" s="828"/>
      <c r="CB291" s="828"/>
      <c r="CC291" s="828"/>
      <c r="CD291" s="828"/>
      <c r="CE291" s="828"/>
      <c r="CF291" s="828"/>
      <c r="CG291" s="828"/>
      <c r="CH291" s="828"/>
      <c r="CI291" s="828"/>
      <c r="CJ291" s="828"/>
      <c r="CK291" s="828"/>
      <c r="CL291" s="828"/>
      <c r="CM291" s="828"/>
      <c r="CN291" s="828"/>
      <c r="CO291" s="828"/>
      <c r="CP291" s="828"/>
      <c r="CQ291" s="828"/>
      <c r="CR291" s="828"/>
      <c r="CS291" s="828"/>
      <c r="CT291" s="828"/>
      <c r="CU291" s="828"/>
      <c r="CV291" s="828"/>
      <c r="CW291" s="828"/>
      <c r="CX291" s="828"/>
      <c r="CY291" s="828"/>
      <c r="CZ291" s="828"/>
      <c r="DA291" s="828"/>
      <c r="DB291" s="828"/>
      <c r="DC291" s="828"/>
      <c r="DD291" s="828"/>
      <c r="DE291" s="828"/>
      <c r="DF291" s="828"/>
      <c r="DG291" s="828"/>
      <c r="DH291" s="828"/>
      <c r="DI291" s="828"/>
      <c r="DJ291" s="828"/>
      <c r="DK291" s="828"/>
      <c r="DL291" s="828"/>
      <c r="DM291" s="828"/>
      <c r="DN291" s="828"/>
      <c r="DO291" s="828"/>
      <c r="DP291" s="828"/>
      <c r="DQ291" s="828"/>
      <c r="DR291" s="828"/>
      <c r="DS291" s="828"/>
      <c r="DT291" s="828"/>
      <c r="DU291" s="828"/>
      <c r="DV291" s="828"/>
      <c r="DW291" s="828"/>
      <c r="DX291" s="828"/>
      <c r="DY291" s="828"/>
      <c r="DZ291" s="828"/>
      <c r="EA291" s="828"/>
      <c r="EB291" s="828"/>
      <c r="EC291" s="828"/>
      <c r="ED291" s="828"/>
      <c r="EE291" s="828"/>
      <c r="EF291" s="828"/>
      <c r="EG291" s="828"/>
      <c r="EH291" s="828"/>
      <c r="EI291" s="828"/>
      <c r="EJ291" s="828"/>
      <c r="EK291" s="828"/>
      <c r="EL291" s="828"/>
      <c r="EM291" s="828"/>
      <c r="EN291" s="828"/>
    </row>
    <row r="292" spans="1:274" ht="29.25" customHeight="1" x14ac:dyDescent="0.25">
      <c r="A292" s="974"/>
      <c r="B292" s="974"/>
      <c r="C292" s="974"/>
      <c r="D292" s="974"/>
      <c r="E292" s="974"/>
      <c r="F292" s="974"/>
      <c r="G292" s="974"/>
      <c r="H292" s="974"/>
      <c r="I292" s="974"/>
      <c r="J292" s="974"/>
      <c r="K292" s="974"/>
      <c r="L292" s="974"/>
      <c r="M292" s="974"/>
      <c r="N292" s="974"/>
      <c r="O292" s="974"/>
      <c r="P292" s="974"/>
      <c r="Q292" s="95"/>
      <c r="R292" s="976"/>
      <c r="S292" s="976"/>
      <c r="T292" s="976"/>
      <c r="U292" s="976"/>
      <c r="V292" s="976"/>
      <c r="W292" s="976"/>
      <c r="X292" s="976"/>
      <c r="Y292" s="976"/>
      <c r="Z292" s="976"/>
      <c r="AA292" s="976"/>
      <c r="AB292" s="976"/>
      <c r="AC292" s="976"/>
      <c r="AD292" s="976"/>
      <c r="AE292" s="976"/>
      <c r="AF292" s="976"/>
      <c r="AG292" s="976"/>
      <c r="AH292" s="976"/>
      <c r="AI292" s="976"/>
      <c r="AJ292" s="976"/>
      <c r="AK292" s="976"/>
      <c r="AL292" s="976"/>
      <c r="AM292" s="976"/>
      <c r="AN292" s="976"/>
      <c r="AO292" s="976"/>
      <c r="AP292" s="976"/>
      <c r="AQ292" s="976"/>
      <c r="AR292" s="976"/>
      <c r="AS292" s="976"/>
      <c r="AT292" s="976"/>
      <c r="AU292" s="976"/>
      <c r="AV292" s="976"/>
      <c r="AW292" s="976"/>
      <c r="AX292" s="976"/>
      <c r="AY292" s="976"/>
      <c r="AZ292" s="976"/>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c r="CN292" s="138"/>
      <c r="CO292" s="138"/>
      <c r="CP292" s="138"/>
      <c r="CQ292" s="138"/>
      <c r="CR292" s="138"/>
      <c r="CS292" s="138"/>
      <c r="CT292" s="138"/>
      <c r="CU292" s="138"/>
      <c r="CV292" s="138"/>
      <c r="CW292" s="138"/>
      <c r="CX292" s="138"/>
      <c r="CY292" s="138"/>
      <c r="CZ292" s="138"/>
      <c r="DA292" s="138"/>
      <c r="DB292" s="138"/>
      <c r="DC292" s="138"/>
      <c r="DD292" s="138"/>
      <c r="DE292" s="138"/>
      <c r="DF292" s="138"/>
      <c r="DG292" s="138"/>
      <c r="DH292" s="138"/>
      <c r="DI292" s="138"/>
      <c r="DJ292" s="138"/>
      <c r="DK292" s="138"/>
      <c r="DL292" s="138"/>
      <c r="DM292" s="138"/>
      <c r="DN292" s="138"/>
      <c r="DO292" s="138"/>
      <c r="DP292" s="138"/>
      <c r="DQ292" s="138"/>
      <c r="DR292" s="138"/>
      <c r="DS292" s="138"/>
      <c r="DT292" s="138"/>
      <c r="DU292" s="138"/>
      <c r="DV292" s="138"/>
      <c r="DW292" s="138"/>
      <c r="DX292" s="138"/>
      <c r="DY292" s="138"/>
      <c r="DZ292" s="138"/>
      <c r="EA292" s="138"/>
      <c r="EB292" s="138"/>
      <c r="EC292" s="138"/>
      <c r="ED292" s="138"/>
      <c r="EE292" s="138"/>
      <c r="EF292" s="138"/>
      <c r="EG292" s="138"/>
      <c r="EH292" s="138"/>
      <c r="EI292" s="138"/>
      <c r="EJ292" s="138"/>
      <c r="EK292" s="138"/>
      <c r="EL292" s="138"/>
      <c r="EM292" s="138"/>
      <c r="EN292" s="138"/>
    </row>
    <row r="293" spans="1:274" ht="29.25" customHeight="1" x14ac:dyDescent="0.25">
      <c r="A293" s="974"/>
      <c r="B293" s="974"/>
      <c r="C293" s="974"/>
      <c r="D293" s="974"/>
      <c r="E293" s="974"/>
      <c r="F293" s="974"/>
      <c r="G293" s="974"/>
      <c r="H293" s="974"/>
      <c r="I293" s="974"/>
      <c r="J293" s="974"/>
      <c r="K293" s="974"/>
      <c r="L293" s="974"/>
      <c r="M293" s="974"/>
      <c r="N293" s="974"/>
      <c r="O293" s="974"/>
      <c r="P293" s="974"/>
      <c r="Q293" s="95"/>
      <c r="R293" s="976"/>
      <c r="S293" s="976"/>
      <c r="T293" s="976"/>
      <c r="U293" s="976"/>
      <c r="V293" s="976"/>
      <c r="W293" s="976"/>
      <c r="X293" s="976"/>
      <c r="Y293" s="976"/>
      <c r="Z293" s="976"/>
      <c r="AA293" s="976"/>
      <c r="AB293" s="976"/>
      <c r="AC293" s="976"/>
      <c r="AD293" s="976"/>
      <c r="AE293" s="976"/>
      <c r="AF293" s="976"/>
      <c r="AG293" s="976"/>
      <c r="AH293" s="976"/>
      <c r="AI293" s="976"/>
      <c r="AJ293" s="976"/>
      <c r="AK293" s="976"/>
      <c r="AL293" s="976"/>
      <c r="AM293" s="976"/>
      <c r="AN293" s="976"/>
      <c r="AO293" s="976"/>
      <c r="AP293" s="976"/>
      <c r="AQ293" s="976"/>
      <c r="AR293" s="976"/>
      <c r="AS293" s="976"/>
      <c r="AT293" s="976"/>
      <c r="AU293" s="976"/>
      <c r="AV293" s="976"/>
      <c r="AW293" s="976"/>
      <c r="AX293" s="976"/>
      <c r="AY293" s="976"/>
      <c r="AZ293" s="976"/>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c r="CN293" s="138"/>
      <c r="CO293" s="138"/>
      <c r="CP293" s="138"/>
      <c r="CQ293" s="138"/>
      <c r="CR293" s="138"/>
      <c r="CS293" s="138"/>
      <c r="CT293" s="138"/>
      <c r="CU293" s="138"/>
      <c r="CV293" s="138"/>
      <c r="CW293" s="138"/>
      <c r="CX293" s="138"/>
      <c r="CY293" s="138"/>
      <c r="CZ293" s="138"/>
      <c r="DA293" s="138"/>
      <c r="DB293" s="138"/>
      <c r="DC293" s="138"/>
      <c r="DD293" s="138"/>
      <c r="DE293" s="138"/>
      <c r="DF293" s="138"/>
      <c r="DG293" s="138"/>
      <c r="DH293" s="138"/>
      <c r="DI293" s="138"/>
      <c r="DJ293" s="138"/>
      <c r="DK293" s="138"/>
      <c r="DL293" s="138"/>
      <c r="DM293" s="138"/>
      <c r="DN293" s="138"/>
      <c r="DO293" s="138"/>
      <c r="DP293" s="138"/>
      <c r="DQ293" s="138"/>
      <c r="DR293" s="138"/>
      <c r="DS293" s="138"/>
      <c r="DT293" s="138"/>
      <c r="DU293" s="138"/>
      <c r="DV293" s="138"/>
      <c r="DW293" s="138"/>
      <c r="DX293" s="138"/>
      <c r="DY293" s="138"/>
      <c r="DZ293" s="138"/>
      <c r="EA293" s="138"/>
      <c r="EB293" s="138"/>
      <c r="EC293" s="138"/>
      <c r="ED293" s="138"/>
      <c r="EE293" s="138"/>
      <c r="EF293" s="138"/>
      <c r="EG293" s="138"/>
      <c r="EH293" s="138"/>
      <c r="EI293" s="138"/>
      <c r="EJ293" s="138"/>
      <c r="EK293" s="138"/>
      <c r="EL293" s="138"/>
      <c r="EM293" s="138"/>
      <c r="EN293" s="138"/>
    </row>
    <row r="294" spans="1:274" ht="101.25" customHeight="1" x14ac:dyDescent="0.25">
      <c r="A294" s="974"/>
      <c r="B294" s="974"/>
      <c r="C294" s="974"/>
      <c r="D294" s="974"/>
      <c r="E294" s="974"/>
      <c r="F294" s="974"/>
      <c r="G294" s="974"/>
      <c r="H294" s="974"/>
      <c r="I294" s="974"/>
      <c r="J294" s="974"/>
      <c r="K294" s="974"/>
      <c r="L294" s="974"/>
      <c r="M294" s="974"/>
      <c r="N294" s="974"/>
      <c r="O294" s="974"/>
      <c r="P294" s="974"/>
      <c r="Q294" s="95"/>
      <c r="R294" s="976"/>
      <c r="S294" s="976"/>
      <c r="T294" s="976"/>
      <c r="U294" s="976"/>
      <c r="V294" s="976"/>
      <c r="W294" s="976"/>
      <c r="X294" s="976"/>
      <c r="Y294" s="976"/>
      <c r="Z294" s="976"/>
      <c r="AA294" s="976"/>
      <c r="AB294" s="976"/>
      <c r="AC294" s="976"/>
      <c r="AD294" s="976"/>
      <c r="AE294" s="976"/>
      <c r="AF294" s="976"/>
      <c r="AG294" s="976"/>
      <c r="AH294" s="976"/>
      <c r="AI294" s="976"/>
      <c r="AJ294" s="976"/>
      <c r="AK294" s="976"/>
      <c r="AL294" s="976"/>
      <c r="AM294" s="976"/>
      <c r="AN294" s="976"/>
      <c r="AO294" s="976"/>
      <c r="AP294" s="976"/>
      <c r="AQ294" s="976"/>
      <c r="AR294" s="976"/>
      <c r="AS294" s="976"/>
      <c r="AT294" s="976"/>
      <c r="AU294" s="976"/>
      <c r="AV294" s="976"/>
      <c r="AW294" s="976"/>
      <c r="AX294" s="976"/>
      <c r="AY294" s="976"/>
      <c r="AZ294" s="976"/>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c r="CN294" s="138"/>
      <c r="CO294" s="138"/>
      <c r="CP294" s="138"/>
      <c r="CQ294" s="138"/>
      <c r="CR294" s="138"/>
      <c r="CS294" s="138"/>
      <c r="CT294" s="138"/>
      <c r="CU294" s="138"/>
      <c r="CV294" s="138"/>
      <c r="CW294" s="138"/>
      <c r="CX294" s="138"/>
      <c r="CY294" s="138"/>
      <c r="CZ294" s="138"/>
      <c r="DA294" s="138"/>
      <c r="DB294" s="138"/>
      <c r="DC294" s="138"/>
      <c r="DD294" s="138"/>
      <c r="DE294" s="138"/>
      <c r="DF294" s="138"/>
      <c r="DG294" s="138"/>
      <c r="DH294" s="138"/>
      <c r="DI294" s="138"/>
      <c r="DJ294" s="138"/>
      <c r="DK294" s="138"/>
      <c r="DL294" s="138"/>
      <c r="DM294" s="138"/>
      <c r="DN294" s="138"/>
      <c r="DO294" s="138"/>
      <c r="DP294" s="138"/>
      <c r="DQ294" s="138"/>
      <c r="DR294" s="138"/>
      <c r="DS294" s="138"/>
      <c r="DT294" s="138"/>
      <c r="DU294" s="138"/>
      <c r="DV294" s="138"/>
      <c r="DW294" s="138"/>
      <c r="DX294" s="138"/>
      <c r="DY294" s="138"/>
      <c r="DZ294" s="138"/>
      <c r="EA294" s="138"/>
      <c r="EB294" s="138"/>
      <c r="EC294" s="138"/>
      <c r="ED294" s="138"/>
      <c r="EE294" s="138"/>
      <c r="EF294" s="138"/>
      <c r="EG294" s="138"/>
      <c r="EH294" s="138"/>
      <c r="EI294" s="138"/>
      <c r="EJ294" s="138"/>
      <c r="EK294" s="138"/>
      <c r="EL294" s="138"/>
      <c r="EM294" s="138"/>
      <c r="EN294" s="138"/>
    </row>
    <row r="295" spans="1:274" ht="24.75" customHeight="1" x14ac:dyDescent="0.25">
      <c r="A295" s="974"/>
      <c r="B295" s="974"/>
      <c r="C295" s="974"/>
      <c r="D295" s="974"/>
      <c r="E295" s="974"/>
      <c r="F295" s="974"/>
      <c r="G295" s="974"/>
      <c r="H295" s="974"/>
      <c r="I295" s="974"/>
      <c r="J295" s="974"/>
      <c r="K295" s="974"/>
      <c r="L295" s="974"/>
      <c r="M295" s="974"/>
      <c r="N295" s="974"/>
      <c r="O295" s="974"/>
      <c r="P295" s="974"/>
      <c r="Q295" s="95"/>
      <c r="R295" s="976"/>
      <c r="S295" s="976"/>
      <c r="T295" s="976"/>
      <c r="U295" s="976"/>
      <c r="V295" s="976"/>
      <c r="W295" s="976"/>
      <c r="X295" s="976"/>
      <c r="Y295" s="976"/>
      <c r="Z295" s="976"/>
      <c r="AA295" s="976"/>
      <c r="AB295" s="976"/>
      <c r="AC295" s="976"/>
      <c r="AD295" s="976"/>
      <c r="AE295" s="976"/>
      <c r="AF295" s="976"/>
      <c r="AG295" s="976"/>
      <c r="AH295" s="976"/>
      <c r="AI295" s="976"/>
      <c r="AJ295" s="976"/>
      <c r="AK295" s="976"/>
      <c r="AL295" s="976"/>
      <c r="AM295" s="976"/>
      <c r="AN295" s="976"/>
      <c r="AO295" s="976"/>
      <c r="AP295" s="976"/>
      <c r="AQ295" s="976"/>
      <c r="AR295" s="976"/>
      <c r="AS295" s="976"/>
      <c r="AT295" s="976"/>
      <c r="AU295" s="976"/>
      <c r="AV295" s="976"/>
      <c r="AW295" s="976"/>
      <c r="AX295" s="976"/>
      <c r="AY295" s="976"/>
      <c r="AZ295" s="976"/>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c r="CN295" s="138"/>
      <c r="CO295" s="138"/>
      <c r="CP295" s="138"/>
      <c r="CQ295" s="138"/>
      <c r="CR295" s="138"/>
      <c r="CS295" s="138"/>
      <c r="CT295" s="138"/>
      <c r="CU295" s="138"/>
      <c r="CV295" s="138"/>
      <c r="CW295" s="138"/>
      <c r="CX295" s="138"/>
      <c r="CY295" s="138"/>
      <c r="CZ295" s="138"/>
      <c r="DA295" s="138"/>
      <c r="DB295" s="138"/>
      <c r="DC295" s="138"/>
      <c r="DD295" s="138"/>
      <c r="DE295" s="138"/>
      <c r="DF295" s="138"/>
      <c r="DG295" s="138"/>
      <c r="DH295" s="138"/>
      <c r="DI295" s="138"/>
      <c r="DJ295" s="138"/>
      <c r="DK295" s="138"/>
      <c r="DL295" s="138"/>
      <c r="DM295" s="138"/>
      <c r="DN295" s="138"/>
      <c r="DO295" s="138"/>
      <c r="DP295" s="138"/>
      <c r="DQ295" s="138"/>
      <c r="DR295" s="138"/>
      <c r="DS295" s="138"/>
      <c r="DT295" s="138"/>
      <c r="DU295" s="138"/>
      <c r="DV295" s="138"/>
      <c r="DW295" s="138"/>
      <c r="DX295" s="138"/>
      <c r="DY295" s="138"/>
      <c r="DZ295" s="138"/>
      <c r="EA295" s="138"/>
      <c r="EB295" s="138"/>
      <c r="EC295" s="138"/>
      <c r="ED295" s="138"/>
      <c r="EE295" s="138"/>
      <c r="EF295" s="138"/>
      <c r="EG295" s="138"/>
      <c r="EH295" s="138"/>
      <c r="EI295" s="138"/>
      <c r="EJ295" s="138"/>
      <c r="EK295" s="138"/>
      <c r="EL295" s="138"/>
      <c r="EM295" s="138"/>
      <c r="EN295" s="138"/>
    </row>
    <row r="296" spans="1:274" ht="18.75" customHeight="1" x14ac:dyDescent="0.25">
      <c r="A296" s="974"/>
      <c r="B296" s="974"/>
      <c r="C296" s="974"/>
      <c r="D296" s="974"/>
      <c r="E296" s="974"/>
      <c r="F296" s="974"/>
      <c r="G296" s="974"/>
      <c r="H296" s="974"/>
      <c r="I296" s="974"/>
      <c r="J296" s="974"/>
      <c r="K296" s="974"/>
      <c r="L296" s="974"/>
      <c r="M296" s="974"/>
      <c r="N296" s="974"/>
      <c r="O296" s="974"/>
      <c r="P296" s="974"/>
      <c r="Q296" s="95"/>
      <c r="R296" s="977"/>
      <c r="S296" s="977"/>
      <c r="T296" s="977"/>
      <c r="U296" s="977"/>
      <c r="V296" s="977"/>
      <c r="W296" s="977"/>
      <c r="X296" s="977"/>
      <c r="Y296" s="977"/>
      <c r="Z296" s="977"/>
      <c r="AA296" s="977"/>
      <c r="AB296" s="977"/>
      <c r="AC296" s="977"/>
      <c r="AD296" s="977"/>
      <c r="AE296" s="977"/>
      <c r="AF296" s="977"/>
      <c r="AG296" s="977"/>
      <c r="AH296" s="977"/>
      <c r="AI296" s="977"/>
      <c r="AJ296" s="977"/>
      <c r="AK296" s="977"/>
      <c r="AL296" s="977"/>
      <c r="AM296" s="977"/>
      <c r="AN296" s="977"/>
      <c r="AO296" s="977"/>
      <c r="AP296" s="977"/>
      <c r="AQ296" s="977"/>
      <c r="AR296" s="977"/>
      <c r="AS296" s="977"/>
      <c r="AT296" s="977"/>
      <c r="AU296" s="977"/>
      <c r="AV296" s="977"/>
      <c r="AW296" s="977"/>
      <c r="AX296" s="977"/>
      <c r="AY296" s="977"/>
      <c r="AZ296" s="977"/>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c r="CN296" s="138"/>
      <c r="CO296" s="138"/>
      <c r="CP296" s="138"/>
      <c r="CQ296" s="138"/>
      <c r="CR296" s="138"/>
      <c r="CS296" s="138"/>
      <c r="CT296" s="138"/>
      <c r="CU296" s="138"/>
      <c r="CV296" s="138"/>
      <c r="CW296" s="138"/>
      <c r="CX296" s="138"/>
      <c r="CY296" s="138"/>
      <c r="CZ296" s="138"/>
      <c r="DA296" s="138"/>
      <c r="DB296" s="138"/>
      <c r="DC296" s="138"/>
      <c r="DD296" s="138"/>
      <c r="DE296" s="138"/>
      <c r="DF296" s="138"/>
      <c r="DG296" s="138"/>
      <c r="DH296" s="138"/>
      <c r="DI296" s="138"/>
      <c r="DJ296" s="138"/>
      <c r="DK296" s="138"/>
      <c r="DL296" s="138"/>
      <c r="DM296" s="138"/>
      <c r="DN296" s="138"/>
      <c r="DO296" s="138"/>
      <c r="DP296" s="138"/>
      <c r="DQ296" s="138"/>
      <c r="DR296" s="138"/>
      <c r="DS296" s="138"/>
      <c r="DT296" s="138"/>
      <c r="DU296" s="138"/>
      <c r="DV296" s="138"/>
      <c r="DW296" s="138"/>
      <c r="DX296" s="138"/>
      <c r="DY296" s="138"/>
      <c r="DZ296" s="138"/>
      <c r="EA296" s="138"/>
      <c r="EB296" s="138"/>
      <c r="EC296" s="138"/>
      <c r="ED296" s="138"/>
      <c r="EE296" s="138"/>
      <c r="EF296" s="138"/>
      <c r="EG296" s="138"/>
      <c r="EH296" s="138"/>
      <c r="EI296" s="138"/>
      <c r="EJ296" s="138"/>
      <c r="EK296" s="138"/>
      <c r="EL296" s="138"/>
      <c r="EM296" s="138"/>
      <c r="EN296" s="138"/>
    </row>
    <row r="297" spans="1:274" ht="0" hidden="1" customHeight="1" x14ac:dyDescent="0.25">
      <c r="A297" s="784"/>
      <c r="B297" s="784"/>
      <c r="C297" s="784"/>
      <c r="D297" s="784"/>
      <c r="E297" s="784"/>
      <c r="F297" s="784"/>
      <c r="G297" s="784"/>
      <c r="H297" s="784"/>
      <c r="I297" s="536"/>
      <c r="J297" s="536"/>
      <c r="K297" s="536"/>
      <c r="L297" s="598"/>
      <c r="M297" s="598"/>
      <c r="N297" s="536"/>
      <c r="O297" s="536"/>
      <c r="P297" s="599"/>
    </row>
    <row r="298" spans="1:274" ht="0" hidden="1" customHeight="1" x14ac:dyDescent="0.25">
      <c r="A298" s="970" t="s">
        <v>207</v>
      </c>
      <c r="B298" s="970"/>
      <c r="C298" s="970"/>
      <c r="D298" s="970"/>
      <c r="E298" s="970"/>
      <c r="F298" s="970"/>
      <c r="G298" s="970"/>
      <c r="H298" s="597"/>
      <c r="I298" s="71"/>
      <c r="J298" s="71"/>
      <c r="K298" s="71"/>
      <c r="L298" s="120"/>
      <c r="M298" s="120"/>
      <c r="N298" s="71"/>
      <c r="O298" s="71"/>
      <c r="P298" s="180"/>
    </row>
    <row r="299" spans="1:274" ht="0" hidden="1" customHeight="1" x14ac:dyDescent="0.25">
      <c r="A299" s="971" t="s">
        <v>1530</v>
      </c>
      <c r="B299" s="971"/>
      <c r="C299" s="971"/>
      <c r="D299" s="971"/>
      <c r="E299" s="971"/>
      <c r="F299" s="971"/>
      <c r="G299" s="971"/>
      <c r="H299" s="600"/>
      <c r="I299" s="71"/>
      <c r="J299" s="71"/>
      <c r="K299" s="71"/>
      <c r="L299" s="120"/>
      <c r="M299" s="120"/>
      <c r="N299" s="71"/>
      <c r="O299" s="71"/>
      <c r="P299" s="180"/>
    </row>
    <row r="300" spans="1:274" ht="0" hidden="1" customHeight="1" x14ac:dyDescent="0.25">
      <c r="B300" s="572" t="s">
        <v>996</v>
      </c>
      <c r="C300" s="71">
        <v>80101706</v>
      </c>
      <c r="D300" s="602" t="s">
        <v>1335</v>
      </c>
      <c r="E300" s="71" t="s">
        <v>125</v>
      </c>
      <c r="F300" s="71">
        <v>1</v>
      </c>
      <c r="G300" s="179" t="s">
        <v>162</v>
      </c>
      <c r="H300" s="603">
        <v>7.5</v>
      </c>
      <c r="I300" s="71" t="s">
        <v>96</v>
      </c>
      <c r="J300" s="71" t="s">
        <v>847</v>
      </c>
      <c r="K300" s="71" t="s">
        <v>108</v>
      </c>
      <c r="L300" s="120">
        <v>17250000</v>
      </c>
      <c r="M300" s="120">
        <v>17250000</v>
      </c>
      <c r="N300" s="71" t="s">
        <v>81</v>
      </c>
      <c r="O300" s="71" t="s">
        <v>56</v>
      </c>
      <c r="P300" s="180" t="s">
        <v>126</v>
      </c>
    </row>
    <row r="301" spans="1:274" ht="0" hidden="1" customHeight="1" x14ac:dyDescent="0.25">
      <c r="B301" s="572" t="s">
        <v>1000</v>
      </c>
      <c r="C301" s="71">
        <v>80101706</v>
      </c>
      <c r="D301" s="602" t="s">
        <v>1336</v>
      </c>
      <c r="E301" s="71" t="s">
        <v>125</v>
      </c>
      <c r="F301" s="71">
        <v>1</v>
      </c>
      <c r="G301" s="179" t="s">
        <v>164</v>
      </c>
      <c r="H301" s="573">
        <v>8</v>
      </c>
      <c r="I301" s="71" t="s">
        <v>96</v>
      </c>
      <c r="J301" s="71" t="s">
        <v>847</v>
      </c>
      <c r="K301" s="71" t="s">
        <v>108</v>
      </c>
      <c r="L301" s="120">
        <v>80000000</v>
      </c>
      <c r="M301" s="120">
        <v>80000000</v>
      </c>
      <c r="N301" s="71" t="s">
        <v>81</v>
      </c>
      <c r="O301" s="71" t="s">
        <v>56</v>
      </c>
      <c r="P301" s="180" t="s">
        <v>126</v>
      </c>
    </row>
    <row r="302" spans="1:274" ht="0" hidden="1" customHeight="1" x14ac:dyDescent="0.25">
      <c r="B302" s="572" t="s">
        <v>1000</v>
      </c>
      <c r="C302" s="71">
        <v>80101706</v>
      </c>
      <c r="D302" s="602" t="s">
        <v>1337</v>
      </c>
      <c r="E302" s="71" t="s">
        <v>125</v>
      </c>
      <c r="F302" s="71">
        <v>1</v>
      </c>
      <c r="G302" s="179" t="s">
        <v>162</v>
      </c>
      <c r="H302" s="573">
        <v>7</v>
      </c>
      <c r="I302" s="71" t="s">
        <v>96</v>
      </c>
      <c r="J302" s="71" t="s">
        <v>847</v>
      </c>
      <c r="K302" s="71" t="s">
        <v>108</v>
      </c>
      <c r="L302" s="120">
        <v>22711500</v>
      </c>
      <c r="M302" s="120">
        <v>22711500</v>
      </c>
      <c r="N302" s="71" t="s">
        <v>81</v>
      </c>
      <c r="O302" s="71" t="s">
        <v>56</v>
      </c>
      <c r="P302" s="180" t="s">
        <v>126</v>
      </c>
    </row>
    <row r="303" spans="1:274" s="15" customFormat="1" ht="0" hidden="1" customHeight="1" x14ac:dyDescent="0.25">
      <c r="A303" s="601"/>
      <c r="B303" s="572" t="s">
        <v>1000</v>
      </c>
      <c r="C303" s="71">
        <v>80101706</v>
      </c>
      <c r="D303" s="602" t="s">
        <v>851</v>
      </c>
      <c r="E303" s="71" t="s">
        <v>125</v>
      </c>
      <c r="F303" s="71">
        <v>1</v>
      </c>
      <c r="G303" s="179" t="s">
        <v>162</v>
      </c>
      <c r="H303" s="573">
        <v>7</v>
      </c>
      <c r="I303" s="71" t="s">
        <v>96</v>
      </c>
      <c r="J303" s="71" t="s">
        <v>844</v>
      </c>
      <c r="K303" s="71" t="s">
        <v>108</v>
      </c>
      <c r="L303" s="120">
        <v>22711500</v>
      </c>
      <c r="M303" s="120">
        <v>22711500</v>
      </c>
      <c r="N303" s="71" t="s">
        <v>81</v>
      </c>
      <c r="O303" s="71" t="s">
        <v>56</v>
      </c>
      <c r="P303" s="180" t="s">
        <v>126</v>
      </c>
      <c r="S303" s="37"/>
      <c r="AK303" s="176"/>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c r="BW303" s="45"/>
      <c r="BX303" s="45"/>
      <c r="BY303" s="45"/>
      <c r="BZ303" s="45"/>
      <c r="CA303" s="45"/>
      <c r="CB303" s="45"/>
      <c r="CC303" s="45"/>
      <c r="CD303" s="45"/>
      <c r="CE303" s="45"/>
      <c r="CF303" s="45"/>
      <c r="CG303" s="45"/>
      <c r="CH303" s="45"/>
      <c r="CI303" s="45"/>
      <c r="CJ303" s="45"/>
      <c r="CK303" s="45"/>
      <c r="CL303" s="45"/>
      <c r="CM303" s="45"/>
      <c r="CN303" s="45"/>
      <c r="CO303" s="45"/>
      <c r="CP303" s="45"/>
      <c r="CQ303" s="45"/>
      <c r="CR303" s="45"/>
      <c r="CS303" s="45"/>
      <c r="CT303" s="45"/>
      <c r="CU303" s="45"/>
      <c r="CV303" s="45"/>
      <c r="CW303" s="45"/>
      <c r="CX303" s="45"/>
      <c r="CY303" s="45"/>
      <c r="CZ303" s="45"/>
      <c r="DA303" s="45"/>
      <c r="DB303" s="45"/>
      <c r="DC303" s="45"/>
      <c r="DD303" s="45"/>
      <c r="DE303" s="45"/>
      <c r="DF303" s="45"/>
      <c r="DG303" s="45"/>
      <c r="DH303" s="45"/>
      <c r="DI303" s="45"/>
      <c r="DJ303" s="45"/>
      <c r="DK303" s="45"/>
      <c r="DL303" s="45"/>
      <c r="DM303" s="45"/>
      <c r="DN303" s="45"/>
      <c r="DO303" s="45"/>
      <c r="DP303" s="45"/>
      <c r="DQ303" s="45"/>
      <c r="DR303" s="45"/>
      <c r="DS303" s="45"/>
      <c r="DT303" s="45"/>
      <c r="DU303" s="45"/>
      <c r="DV303" s="45"/>
      <c r="DW303" s="45"/>
      <c r="DX303" s="45"/>
      <c r="DY303" s="45"/>
      <c r="DZ303" s="45"/>
      <c r="EA303" s="45"/>
      <c r="EB303" s="45"/>
      <c r="EC303" s="45"/>
      <c r="ED303" s="45"/>
      <c r="EE303" s="45"/>
      <c r="EF303" s="45"/>
      <c r="EG303" s="45"/>
      <c r="EH303" s="45"/>
      <c r="EI303" s="45"/>
      <c r="EJ303" s="45"/>
      <c r="EK303" s="45"/>
      <c r="EL303" s="45"/>
      <c r="EM303" s="45"/>
      <c r="EN303" s="45"/>
      <c r="EO303" s="45"/>
      <c r="EP303" s="45"/>
      <c r="EQ303" s="45"/>
      <c r="ER303" s="45"/>
      <c r="ES303" s="45"/>
      <c r="ET303" s="45"/>
      <c r="EU303" s="45"/>
      <c r="EV303" s="45"/>
      <c r="EW303" s="45"/>
      <c r="EX303" s="45"/>
      <c r="EY303" s="45"/>
      <c r="EZ303" s="45"/>
      <c r="FA303" s="45"/>
      <c r="FB303" s="45"/>
      <c r="FC303" s="45"/>
      <c r="FD303" s="45"/>
      <c r="FE303" s="45"/>
      <c r="FF303" s="45"/>
      <c r="FG303" s="45"/>
      <c r="FH303" s="45"/>
      <c r="FI303" s="45"/>
      <c r="FJ303" s="45"/>
      <c r="FK303" s="45"/>
      <c r="FL303" s="45"/>
      <c r="FM303" s="45"/>
      <c r="FN303" s="45"/>
      <c r="FO303" s="45"/>
      <c r="FP303" s="45"/>
      <c r="FQ303" s="45"/>
      <c r="FR303" s="45"/>
      <c r="FS303" s="45"/>
      <c r="FT303" s="45"/>
      <c r="FU303" s="45"/>
      <c r="FV303" s="45"/>
      <c r="FW303" s="45"/>
      <c r="FX303" s="45"/>
      <c r="FY303" s="45"/>
      <c r="FZ303" s="45"/>
      <c r="GA303" s="45"/>
      <c r="GB303" s="45"/>
      <c r="GC303" s="45"/>
      <c r="GD303" s="45"/>
      <c r="GE303" s="45"/>
      <c r="GF303" s="45"/>
      <c r="GG303" s="45"/>
      <c r="GH303" s="45"/>
      <c r="GI303" s="45"/>
      <c r="GJ303" s="45"/>
      <c r="GK303" s="45"/>
      <c r="GL303" s="45"/>
      <c r="GM303" s="45"/>
      <c r="GN303" s="45"/>
      <c r="GO303" s="45"/>
      <c r="GP303" s="45"/>
      <c r="GQ303" s="45"/>
      <c r="GR303" s="45"/>
      <c r="GS303" s="45"/>
      <c r="GT303" s="45"/>
      <c r="GU303" s="45"/>
      <c r="GV303" s="45"/>
      <c r="GW303" s="45"/>
      <c r="GX303" s="45"/>
      <c r="GY303" s="45"/>
      <c r="GZ303" s="45"/>
      <c r="HA303" s="45"/>
      <c r="HB303" s="45"/>
      <c r="HC303" s="45"/>
      <c r="HD303" s="45"/>
      <c r="HE303" s="45"/>
      <c r="HF303" s="45"/>
      <c r="HG303" s="45"/>
      <c r="HH303" s="45"/>
      <c r="HI303" s="45"/>
      <c r="HJ303" s="45"/>
      <c r="HK303" s="45"/>
      <c r="HL303" s="45"/>
      <c r="HM303" s="45"/>
      <c r="HN303" s="45"/>
      <c r="HO303" s="45"/>
      <c r="HP303" s="45"/>
      <c r="HQ303" s="45"/>
      <c r="HR303" s="45"/>
      <c r="HS303" s="45"/>
      <c r="HT303" s="45"/>
      <c r="HU303" s="45"/>
      <c r="HV303" s="45"/>
      <c r="HW303" s="45"/>
      <c r="HX303" s="45"/>
      <c r="HY303" s="45"/>
      <c r="HZ303" s="45"/>
      <c r="IA303" s="45"/>
      <c r="IB303" s="45"/>
      <c r="IC303" s="45"/>
      <c r="ID303" s="45"/>
      <c r="IE303" s="45"/>
      <c r="IF303" s="45"/>
      <c r="IG303" s="45"/>
      <c r="IH303" s="45"/>
      <c r="II303" s="45"/>
      <c r="IJ303" s="45"/>
      <c r="IK303" s="45"/>
      <c r="IL303" s="45"/>
      <c r="IM303" s="45"/>
      <c r="IN303" s="45"/>
      <c r="IO303" s="45"/>
      <c r="IP303" s="45"/>
      <c r="IQ303" s="45"/>
      <c r="IR303" s="45"/>
      <c r="IS303" s="45"/>
      <c r="IT303" s="45"/>
      <c r="IU303" s="45"/>
      <c r="IV303" s="45"/>
      <c r="IW303" s="45"/>
      <c r="IX303" s="45"/>
      <c r="IY303" s="45"/>
      <c r="IZ303" s="45"/>
      <c r="JA303" s="45"/>
      <c r="JB303" s="45"/>
      <c r="JC303" s="45"/>
      <c r="JD303" s="45"/>
      <c r="JE303" s="45"/>
      <c r="JF303" s="45"/>
      <c r="JG303" s="45"/>
      <c r="JH303" s="45"/>
      <c r="JI303" s="45"/>
      <c r="JJ303" s="45"/>
      <c r="JK303" s="45"/>
      <c r="JL303" s="45"/>
      <c r="JM303" s="45"/>
      <c r="JN303" s="45"/>
    </row>
    <row r="304" spans="1:274" s="15" customFormat="1" ht="0" hidden="1" customHeight="1" x14ac:dyDescent="0.25">
      <c r="A304" s="601"/>
      <c r="B304" s="572" t="s">
        <v>1000</v>
      </c>
      <c r="C304" s="71">
        <v>80101706</v>
      </c>
      <c r="D304" s="602" t="s">
        <v>1338</v>
      </c>
      <c r="E304" s="71" t="s">
        <v>125</v>
      </c>
      <c r="F304" s="71">
        <v>1</v>
      </c>
      <c r="G304" s="179" t="s">
        <v>162</v>
      </c>
      <c r="H304" s="573">
        <v>7</v>
      </c>
      <c r="I304" s="71" t="s">
        <v>96</v>
      </c>
      <c r="J304" s="71" t="s">
        <v>844</v>
      </c>
      <c r="K304" s="71" t="s">
        <v>108</v>
      </c>
      <c r="L304" s="120">
        <v>31605000</v>
      </c>
      <c r="M304" s="120">
        <v>31605000</v>
      </c>
      <c r="N304" s="71" t="s">
        <v>81</v>
      </c>
      <c r="O304" s="71" t="s">
        <v>56</v>
      </c>
      <c r="P304" s="180" t="s">
        <v>126</v>
      </c>
      <c r="S304" s="37"/>
      <c r="AK304" s="176"/>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c r="BW304" s="45"/>
      <c r="BX304" s="45"/>
      <c r="BY304" s="45"/>
      <c r="BZ304" s="45"/>
      <c r="CA304" s="45"/>
      <c r="CB304" s="45"/>
      <c r="CC304" s="45"/>
      <c r="CD304" s="45"/>
      <c r="CE304" s="45"/>
      <c r="CF304" s="45"/>
      <c r="CG304" s="45"/>
      <c r="CH304" s="45"/>
      <c r="CI304" s="45"/>
      <c r="CJ304" s="45"/>
      <c r="CK304" s="45"/>
      <c r="CL304" s="45"/>
      <c r="CM304" s="45"/>
      <c r="CN304" s="45"/>
      <c r="CO304" s="45"/>
      <c r="CP304" s="45"/>
      <c r="CQ304" s="45"/>
      <c r="CR304" s="45"/>
      <c r="CS304" s="45"/>
      <c r="CT304" s="45"/>
      <c r="CU304" s="45"/>
      <c r="CV304" s="45"/>
      <c r="CW304" s="45"/>
      <c r="CX304" s="45"/>
      <c r="CY304" s="45"/>
      <c r="CZ304" s="45"/>
      <c r="DA304" s="45"/>
      <c r="DB304" s="45"/>
      <c r="DC304" s="45"/>
      <c r="DD304" s="45"/>
      <c r="DE304" s="45"/>
      <c r="DF304" s="45"/>
      <c r="DG304" s="45"/>
      <c r="DH304" s="45"/>
      <c r="DI304" s="45"/>
      <c r="DJ304" s="45"/>
      <c r="DK304" s="45"/>
      <c r="DL304" s="45"/>
      <c r="DM304" s="45"/>
      <c r="DN304" s="45"/>
      <c r="DO304" s="45"/>
      <c r="DP304" s="45"/>
      <c r="DQ304" s="45"/>
      <c r="DR304" s="45"/>
      <c r="DS304" s="45"/>
      <c r="DT304" s="45"/>
      <c r="DU304" s="45"/>
      <c r="DV304" s="45"/>
      <c r="DW304" s="45"/>
      <c r="DX304" s="45"/>
      <c r="DY304" s="45"/>
      <c r="DZ304" s="45"/>
      <c r="EA304" s="45"/>
      <c r="EB304" s="45"/>
      <c r="EC304" s="45"/>
      <c r="ED304" s="45"/>
      <c r="EE304" s="45"/>
      <c r="EF304" s="45"/>
      <c r="EG304" s="45"/>
      <c r="EH304" s="45"/>
      <c r="EI304" s="45"/>
      <c r="EJ304" s="45"/>
      <c r="EK304" s="45"/>
      <c r="EL304" s="45"/>
      <c r="EM304" s="45"/>
      <c r="EN304" s="45"/>
      <c r="EO304" s="45"/>
      <c r="EP304" s="45"/>
      <c r="EQ304" s="45"/>
      <c r="ER304" s="45"/>
      <c r="ES304" s="45"/>
      <c r="ET304" s="45"/>
      <c r="EU304" s="45"/>
      <c r="EV304" s="45"/>
      <c r="EW304" s="45"/>
      <c r="EX304" s="45"/>
      <c r="EY304" s="45"/>
      <c r="EZ304" s="45"/>
      <c r="FA304" s="45"/>
      <c r="FB304" s="45"/>
      <c r="FC304" s="45"/>
      <c r="FD304" s="45"/>
      <c r="FE304" s="45"/>
      <c r="FF304" s="45"/>
      <c r="FG304" s="45"/>
      <c r="FH304" s="45"/>
      <c r="FI304" s="45"/>
      <c r="FJ304" s="45"/>
      <c r="FK304" s="45"/>
      <c r="FL304" s="45"/>
      <c r="FM304" s="45"/>
      <c r="FN304" s="45"/>
      <c r="FO304" s="45"/>
      <c r="FP304" s="45"/>
      <c r="FQ304" s="45"/>
      <c r="FR304" s="45"/>
      <c r="FS304" s="45"/>
      <c r="FT304" s="45"/>
      <c r="FU304" s="45"/>
      <c r="FV304" s="45"/>
      <c r="FW304" s="45"/>
      <c r="FX304" s="45"/>
      <c r="FY304" s="45"/>
      <c r="FZ304" s="45"/>
      <c r="GA304" s="45"/>
      <c r="GB304" s="45"/>
      <c r="GC304" s="45"/>
      <c r="GD304" s="45"/>
      <c r="GE304" s="45"/>
      <c r="GF304" s="45"/>
      <c r="GG304" s="45"/>
      <c r="GH304" s="45"/>
      <c r="GI304" s="45"/>
      <c r="GJ304" s="45"/>
      <c r="GK304" s="45"/>
      <c r="GL304" s="45"/>
      <c r="GM304" s="45"/>
      <c r="GN304" s="45"/>
      <c r="GO304" s="45"/>
      <c r="GP304" s="45"/>
      <c r="GQ304" s="45"/>
      <c r="GR304" s="45"/>
      <c r="GS304" s="45"/>
      <c r="GT304" s="45"/>
      <c r="GU304" s="45"/>
      <c r="GV304" s="45"/>
      <c r="GW304" s="45"/>
      <c r="GX304" s="45"/>
      <c r="GY304" s="45"/>
      <c r="GZ304" s="45"/>
      <c r="HA304" s="45"/>
      <c r="HB304" s="45"/>
      <c r="HC304" s="45"/>
      <c r="HD304" s="45"/>
      <c r="HE304" s="45"/>
      <c r="HF304" s="45"/>
      <c r="HG304" s="45"/>
      <c r="HH304" s="45"/>
      <c r="HI304" s="45"/>
      <c r="HJ304" s="45"/>
      <c r="HK304" s="45"/>
      <c r="HL304" s="45"/>
      <c r="HM304" s="45"/>
      <c r="HN304" s="45"/>
      <c r="HO304" s="45"/>
      <c r="HP304" s="45"/>
      <c r="HQ304" s="45"/>
      <c r="HR304" s="45"/>
      <c r="HS304" s="45"/>
      <c r="HT304" s="45"/>
      <c r="HU304" s="45"/>
      <c r="HV304" s="45"/>
      <c r="HW304" s="45"/>
      <c r="HX304" s="45"/>
      <c r="HY304" s="45"/>
      <c r="HZ304" s="45"/>
      <c r="IA304" s="45"/>
      <c r="IB304" s="45"/>
      <c r="IC304" s="45"/>
      <c r="ID304" s="45"/>
      <c r="IE304" s="45"/>
      <c r="IF304" s="45"/>
      <c r="IG304" s="45"/>
      <c r="IH304" s="45"/>
      <c r="II304" s="45"/>
      <c r="IJ304" s="45"/>
      <c r="IK304" s="45"/>
      <c r="IL304" s="45"/>
      <c r="IM304" s="45"/>
      <c r="IN304" s="45"/>
      <c r="IO304" s="45"/>
      <c r="IP304" s="45"/>
      <c r="IQ304" s="45"/>
      <c r="IR304" s="45"/>
      <c r="IS304" s="45"/>
      <c r="IT304" s="45"/>
      <c r="IU304" s="45"/>
      <c r="IV304" s="45"/>
      <c r="IW304" s="45"/>
      <c r="IX304" s="45"/>
      <c r="IY304" s="45"/>
      <c r="IZ304" s="45"/>
      <c r="JA304" s="45"/>
      <c r="JB304" s="45"/>
      <c r="JC304" s="45"/>
      <c r="JD304" s="45"/>
      <c r="JE304" s="45"/>
      <c r="JF304" s="45"/>
      <c r="JG304" s="45"/>
      <c r="JH304" s="45"/>
      <c r="JI304" s="45"/>
      <c r="JJ304" s="45"/>
      <c r="JK304" s="45"/>
      <c r="JL304" s="45"/>
      <c r="JM304" s="45"/>
      <c r="JN304" s="45"/>
    </row>
    <row r="305" spans="1:274" s="15" customFormat="1" ht="0" hidden="1" customHeight="1" x14ac:dyDescent="0.25">
      <c r="A305" s="601"/>
      <c r="B305" s="572" t="s">
        <v>1000</v>
      </c>
      <c r="C305" s="71">
        <v>80101706</v>
      </c>
      <c r="D305" s="602" t="s">
        <v>1339</v>
      </c>
      <c r="E305" s="71" t="s">
        <v>125</v>
      </c>
      <c r="F305" s="71">
        <v>1</v>
      </c>
      <c r="G305" s="179" t="s">
        <v>162</v>
      </c>
      <c r="H305" s="573">
        <v>7</v>
      </c>
      <c r="I305" s="71" t="s">
        <v>96</v>
      </c>
      <c r="J305" s="71" t="s">
        <v>128</v>
      </c>
      <c r="K305" s="71" t="s">
        <v>108</v>
      </c>
      <c r="L305" s="120">
        <v>37852500</v>
      </c>
      <c r="M305" s="120">
        <v>37852500</v>
      </c>
      <c r="N305" s="71" t="s">
        <v>81</v>
      </c>
      <c r="O305" s="71" t="s">
        <v>56</v>
      </c>
      <c r="P305" s="180" t="s">
        <v>126</v>
      </c>
      <c r="S305" s="37"/>
      <c r="AK305" s="176"/>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c r="BW305" s="45"/>
      <c r="BX305" s="45"/>
      <c r="BY305" s="45"/>
      <c r="BZ305" s="45"/>
      <c r="CA305" s="45"/>
      <c r="CB305" s="45"/>
      <c r="CC305" s="45"/>
      <c r="CD305" s="45"/>
      <c r="CE305" s="45"/>
      <c r="CF305" s="45"/>
      <c r="CG305" s="45"/>
      <c r="CH305" s="45"/>
      <c r="CI305" s="45"/>
      <c r="CJ305" s="45"/>
      <c r="CK305" s="45"/>
      <c r="CL305" s="45"/>
      <c r="CM305" s="45"/>
      <c r="CN305" s="45"/>
      <c r="CO305" s="45"/>
      <c r="CP305" s="45"/>
      <c r="CQ305" s="45"/>
      <c r="CR305" s="45"/>
      <c r="CS305" s="45"/>
      <c r="CT305" s="45"/>
      <c r="CU305" s="45"/>
      <c r="CV305" s="45"/>
      <c r="CW305" s="45"/>
      <c r="CX305" s="45"/>
      <c r="CY305" s="45"/>
      <c r="CZ305" s="45"/>
      <c r="DA305" s="45"/>
      <c r="DB305" s="45"/>
      <c r="DC305" s="45"/>
      <c r="DD305" s="45"/>
      <c r="DE305" s="45"/>
      <c r="DF305" s="45"/>
      <c r="DG305" s="45"/>
      <c r="DH305" s="45"/>
      <c r="DI305" s="45"/>
      <c r="DJ305" s="45"/>
      <c r="DK305" s="45"/>
      <c r="DL305" s="45"/>
      <c r="DM305" s="45"/>
      <c r="DN305" s="45"/>
      <c r="DO305" s="45"/>
      <c r="DP305" s="45"/>
      <c r="DQ305" s="45"/>
      <c r="DR305" s="45"/>
      <c r="DS305" s="45"/>
      <c r="DT305" s="45"/>
      <c r="DU305" s="45"/>
      <c r="DV305" s="45"/>
      <c r="DW305" s="45"/>
      <c r="DX305" s="45"/>
      <c r="DY305" s="45"/>
      <c r="DZ305" s="45"/>
      <c r="EA305" s="45"/>
      <c r="EB305" s="45"/>
      <c r="EC305" s="45"/>
      <c r="ED305" s="45"/>
      <c r="EE305" s="45"/>
      <c r="EF305" s="45"/>
      <c r="EG305" s="45"/>
      <c r="EH305" s="45"/>
      <c r="EI305" s="45"/>
      <c r="EJ305" s="45"/>
      <c r="EK305" s="45"/>
      <c r="EL305" s="45"/>
      <c r="EM305" s="45"/>
      <c r="EN305" s="45"/>
      <c r="EO305" s="45"/>
      <c r="EP305" s="45"/>
      <c r="EQ305" s="45"/>
      <c r="ER305" s="45"/>
      <c r="ES305" s="45"/>
      <c r="ET305" s="45"/>
      <c r="EU305" s="45"/>
      <c r="EV305" s="45"/>
      <c r="EW305" s="45"/>
      <c r="EX305" s="45"/>
      <c r="EY305" s="45"/>
      <c r="EZ305" s="45"/>
      <c r="FA305" s="45"/>
      <c r="FB305" s="45"/>
      <c r="FC305" s="45"/>
      <c r="FD305" s="45"/>
      <c r="FE305" s="45"/>
      <c r="FF305" s="45"/>
      <c r="FG305" s="45"/>
      <c r="FH305" s="45"/>
      <c r="FI305" s="45"/>
      <c r="FJ305" s="45"/>
      <c r="FK305" s="45"/>
      <c r="FL305" s="45"/>
      <c r="FM305" s="45"/>
      <c r="FN305" s="45"/>
      <c r="FO305" s="45"/>
      <c r="FP305" s="45"/>
      <c r="FQ305" s="45"/>
      <c r="FR305" s="45"/>
      <c r="FS305" s="45"/>
      <c r="FT305" s="45"/>
      <c r="FU305" s="45"/>
      <c r="FV305" s="45"/>
      <c r="FW305" s="45"/>
      <c r="FX305" s="45"/>
      <c r="FY305" s="45"/>
      <c r="FZ305" s="45"/>
      <c r="GA305" s="45"/>
      <c r="GB305" s="45"/>
      <c r="GC305" s="45"/>
      <c r="GD305" s="45"/>
      <c r="GE305" s="45"/>
      <c r="GF305" s="45"/>
      <c r="GG305" s="45"/>
      <c r="GH305" s="45"/>
      <c r="GI305" s="45"/>
      <c r="GJ305" s="45"/>
      <c r="GK305" s="45"/>
      <c r="GL305" s="45"/>
      <c r="GM305" s="45"/>
      <c r="GN305" s="45"/>
      <c r="GO305" s="45"/>
      <c r="GP305" s="45"/>
      <c r="GQ305" s="45"/>
      <c r="GR305" s="45"/>
      <c r="GS305" s="45"/>
      <c r="GT305" s="45"/>
      <c r="GU305" s="45"/>
      <c r="GV305" s="45"/>
      <c r="GW305" s="45"/>
      <c r="GX305" s="45"/>
      <c r="GY305" s="45"/>
      <c r="GZ305" s="45"/>
      <c r="HA305" s="45"/>
      <c r="HB305" s="45"/>
      <c r="HC305" s="45"/>
      <c r="HD305" s="45"/>
      <c r="HE305" s="45"/>
      <c r="HF305" s="45"/>
      <c r="HG305" s="45"/>
      <c r="HH305" s="45"/>
      <c r="HI305" s="45"/>
      <c r="HJ305" s="45"/>
      <c r="HK305" s="45"/>
      <c r="HL305" s="45"/>
      <c r="HM305" s="45"/>
      <c r="HN305" s="45"/>
      <c r="HO305" s="45"/>
      <c r="HP305" s="45"/>
      <c r="HQ305" s="45"/>
      <c r="HR305" s="45"/>
      <c r="HS305" s="45"/>
      <c r="HT305" s="45"/>
      <c r="HU305" s="45"/>
      <c r="HV305" s="45"/>
      <c r="HW305" s="45"/>
      <c r="HX305" s="45"/>
      <c r="HY305" s="45"/>
      <c r="HZ305" s="45"/>
      <c r="IA305" s="45"/>
      <c r="IB305" s="45"/>
      <c r="IC305" s="45"/>
      <c r="ID305" s="45"/>
      <c r="IE305" s="45"/>
      <c r="IF305" s="45"/>
      <c r="IG305" s="45"/>
      <c r="IH305" s="45"/>
      <c r="II305" s="45"/>
      <c r="IJ305" s="45"/>
      <c r="IK305" s="45"/>
      <c r="IL305" s="45"/>
      <c r="IM305" s="45"/>
      <c r="IN305" s="45"/>
      <c r="IO305" s="45"/>
      <c r="IP305" s="45"/>
      <c r="IQ305" s="45"/>
      <c r="IR305" s="45"/>
      <c r="IS305" s="45"/>
      <c r="IT305" s="45"/>
      <c r="IU305" s="45"/>
      <c r="IV305" s="45"/>
      <c r="IW305" s="45"/>
      <c r="IX305" s="45"/>
      <c r="IY305" s="45"/>
      <c r="IZ305" s="45"/>
      <c r="JA305" s="45"/>
      <c r="JB305" s="45"/>
      <c r="JC305" s="45"/>
      <c r="JD305" s="45"/>
      <c r="JE305" s="45"/>
      <c r="JF305" s="45"/>
      <c r="JG305" s="45"/>
      <c r="JH305" s="45"/>
      <c r="JI305" s="45"/>
      <c r="JJ305" s="45"/>
      <c r="JK305" s="45"/>
      <c r="JL305" s="45"/>
      <c r="JM305" s="45"/>
      <c r="JN305" s="45"/>
    </row>
  </sheetData>
  <autoFilter ref="A19:JN296"/>
  <mergeCells count="703">
    <mergeCell ref="AI291:AI296"/>
    <mergeCell ref="AJ291:AJ296"/>
    <mergeCell ref="AK291:AK296"/>
    <mergeCell ref="Z291:Z296"/>
    <mergeCell ref="AA291:AA296"/>
    <mergeCell ref="AB291:AB296"/>
    <mergeCell ref="AC291:AC296"/>
    <mergeCell ref="AD291:AD296"/>
    <mergeCell ref="AE291:AE296"/>
    <mergeCell ref="AF291:AF296"/>
    <mergeCell ref="AG291:AG296"/>
    <mergeCell ref="AH291:AH296"/>
    <mergeCell ref="A291:P296"/>
    <mergeCell ref="AZ291:AZ296"/>
    <mergeCell ref="AL291:AL296"/>
    <mergeCell ref="AM291:AM296"/>
    <mergeCell ref="AN291:AN296"/>
    <mergeCell ref="AO291:AO296"/>
    <mergeCell ref="AP291:AP296"/>
    <mergeCell ref="AQ291:AQ296"/>
    <mergeCell ref="AR291:AR296"/>
    <mergeCell ref="AS291:AS296"/>
    <mergeCell ref="AT291:AT296"/>
    <mergeCell ref="AU291:AU296"/>
    <mergeCell ref="AV291:AV296"/>
    <mergeCell ref="AW291:AW296"/>
    <mergeCell ref="AX291:AX296"/>
    <mergeCell ref="AY291:AY296"/>
    <mergeCell ref="R291:R296"/>
    <mergeCell ref="S291:S296"/>
    <mergeCell ref="T291:T296"/>
    <mergeCell ref="U291:U296"/>
    <mergeCell ref="V291:V296"/>
    <mergeCell ref="W291:W296"/>
    <mergeCell ref="X291:X296"/>
    <mergeCell ref="Y291:Y296"/>
    <mergeCell ref="C205:C206"/>
    <mergeCell ref="A298:G298"/>
    <mergeCell ref="A299:G299"/>
    <mergeCell ref="AY260:AY261"/>
    <mergeCell ref="AZ260:AZ261"/>
    <mergeCell ref="AS260:AS261"/>
    <mergeCell ref="AT260:AT261"/>
    <mergeCell ref="AU260:AU261"/>
    <mergeCell ref="AV260:AV261"/>
    <mergeCell ref="AW260:AW261"/>
    <mergeCell ref="AX260:AX261"/>
    <mergeCell ref="AM260:AM261"/>
    <mergeCell ref="AN260:AN261"/>
    <mergeCell ref="AO260:AO261"/>
    <mergeCell ref="AP260:AP261"/>
    <mergeCell ref="AQ260:AQ261"/>
    <mergeCell ref="AR260:AR261"/>
    <mergeCell ref="AG260:AG261"/>
    <mergeCell ref="AH260:AH261"/>
    <mergeCell ref="AI260:AI261"/>
    <mergeCell ref="AJ260:AJ261"/>
    <mergeCell ref="AK260:AK261"/>
    <mergeCell ref="AL260:AL261"/>
    <mergeCell ref="AA260:AA261"/>
    <mergeCell ref="AB260:AB261"/>
    <mergeCell ref="AC260:AC261"/>
    <mergeCell ref="AD260:AD261"/>
    <mergeCell ref="AE260:AE261"/>
    <mergeCell ref="AF260:AF261"/>
    <mergeCell ref="R260:R261"/>
    <mergeCell ref="S260:S261"/>
    <mergeCell ref="T260:T261"/>
    <mergeCell ref="U260:U261"/>
    <mergeCell ref="V260:V261"/>
    <mergeCell ref="Z260:Z261"/>
    <mergeCell ref="V254:V255"/>
    <mergeCell ref="X254:X255"/>
    <mergeCell ref="AY254:AY255"/>
    <mergeCell ref="AZ254:AZ255"/>
    <mergeCell ref="A260:A261"/>
    <mergeCell ref="B260:B261"/>
    <mergeCell ref="D260:D261"/>
    <mergeCell ref="E260:E261"/>
    <mergeCell ref="F260:F261"/>
    <mergeCell ref="G260:G261"/>
    <mergeCell ref="H260:H261"/>
    <mergeCell ref="I260:I261"/>
    <mergeCell ref="AS254:AS255"/>
    <mergeCell ref="AT254:AT255"/>
    <mergeCell ref="AU254:AU255"/>
    <mergeCell ref="AV254:AV255"/>
    <mergeCell ref="AW254:AW255"/>
    <mergeCell ref="AX254:AX255"/>
    <mergeCell ref="AM254:AM255"/>
    <mergeCell ref="AN254:AN255"/>
    <mergeCell ref="AP254:AP255"/>
    <mergeCell ref="AQ254:AQ255"/>
    <mergeCell ref="AR254:AR255"/>
    <mergeCell ref="AG254:AG255"/>
    <mergeCell ref="H254:H255"/>
    <mergeCell ref="I254:I255"/>
    <mergeCell ref="N254:N255"/>
    <mergeCell ref="O254:O255"/>
    <mergeCell ref="P254:P255"/>
    <mergeCell ref="R254:R255"/>
    <mergeCell ref="S254:S255"/>
    <mergeCell ref="T254:T255"/>
    <mergeCell ref="U254:U255"/>
    <mergeCell ref="AM235:AM236"/>
    <mergeCell ref="AN235:AN236"/>
    <mergeCell ref="AO235:AO236"/>
    <mergeCell ref="Z235:Z236"/>
    <mergeCell ref="AA254:AA255"/>
    <mergeCell ref="AB254:AB255"/>
    <mergeCell ref="AC254:AC255"/>
    <mergeCell ref="AD254:AD255"/>
    <mergeCell ref="AE254:AE255"/>
    <mergeCell ref="AF254:AF255"/>
    <mergeCell ref="Z254:Z255"/>
    <mergeCell ref="AO254:AO255"/>
    <mergeCell ref="AJ254:AJ255"/>
    <mergeCell ref="AK254:AK255"/>
    <mergeCell ref="AL254:AL255"/>
    <mergeCell ref="AH254:AH255"/>
    <mergeCell ref="AI254:AI255"/>
    <mergeCell ref="AP235:AP236"/>
    <mergeCell ref="A254:A255"/>
    <mergeCell ref="B254:B255"/>
    <mergeCell ref="D254:D255"/>
    <mergeCell ref="E254:E255"/>
    <mergeCell ref="F254:F255"/>
    <mergeCell ref="G254:G255"/>
    <mergeCell ref="AG235:AG236"/>
    <mergeCell ref="AH235:AH236"/>
    <mergeCell ref="AI235:AI236"/>
    <mergeCell ref="AJ235:AJ236"/>
    <mergeCell ref="AK235:AK236"/>
    <mergeCell ref="AL235:AL236"/>
    <mergeCell ref="AA235:AA236"/>
    <mergeCell ref="AB235:AB236"/>
    <mergeCell ref="AC235:AC236"/>
    <mergeCell ref="AD235:AD236"/>
    <mergeCell ref="AE235:AE236"/>
    <mergeCell ref="AF235:AF236"/>
    <mergeCell ref="R235:R236"/>
    <mergeCell ref="S235:S236"/>
    <mergeCell ref="T235:T236"/>
    <mergeCell ref="U235:U236"/>
    <mergeCell ref="V235:V236"/>
    <mergeCell ref="AZ228:AZ229"/>
    <mergeCell ref="A235:A236"/>
    <mergeCell ref="B235:B236"/>
    <mergeCell ref="C235:C236"/>
    <mergeCell ref="D235:D236"/>
    <mergeCell ref="E235:E236"/>
    <mergeCell ref="F235:F236"/>
    <mergeCell ref="G235:G236"/>
    <mergeCell ref="H235:H236"/>
    <mergeCell ref="I235:I236"/>
    <mergeCell ref="AT228:AT229"/>
    <mergeCell ref="AU228:AU229"/>
    <mergeCell ref="AV228:AV229"/>
    <mergeCell ref="AW228:AW229"/>
    <mergeCell ref="AX228:AX229"/>
    <mergeCell ref="AY228:AY229"/>
    <mergeCell ref="AN228:AN229"/>
    <mergeCell ref="AO228:AO229"/>
    <mergeCell ref="AP228:AP229"/>
    <mergeCell ref="AQ228:AQ229"/>
    <mergeCell ref="AR228:AR229"/>
    <mergeCell ref="AS228:AS229"/>
    <mergeCell ref="AH228:AH229"/>
    <mergeCell ref="AI228:AI229"/>
    <mergeCell ref="AJ228:AJ229"/>
    <mergeCell ref="AK228:AK229"/>
    <mergeCell ref="AL228:AL229"/>
    <mergeCell ref="AM228:AM229"/>
    <mergeCell ref="AB228:AB229"/>
    <mergeCell ref="AC228:AC229"/>
    <mergeCell ref="AD228:AD229"/>
    <mergeCell ref="AE228:AE229"/>
    <mergeCell ref="AF228:AF229"/>
    <mergeCell ref="AG228:AG229"/>
    <mergeCell ref="A228:A229"/>
    <mergeCell ref="B228:B229"/>
    <mergeCell ref="C228:C229"/>
    <mergeCell ref="D228:D229"/>
    <mergeCell ref="E228:E229"/>
    <mergeCell ref="F228:F229"/>
    <mergeCell ref="G228:G229"/>
    <mergeCell ref="AC213:AC214"/>
    <mergeCell ref="AD213:AD214"/>
    <mergeCell ref="F213:F214"/>
    <mergeCell ref="G213:G214"/>
    <mergeCell ref="P228:P229"/>
    <mergeCell ref="R228:R229"/>
    <mergeCell ref="W228:W229"/>
    <mergeCell ref="X228:X229"/>
    <mergeCell ref="Z228:Z229"/>
    <mergeCell ref="AA228:AA229"/>
    <mergeCell ref="H228:H229"/>
    <mergeCell ref="I228:I229"/>
    <mergeCell ref="N228:N229"/>
    <mergeCell ref="O228:O229"/>
    <mergeCell ref="H213:H214"/>
    <mergeCell ref="I213:I214"/>
    <mergeCell ref="R213:R214"/>
    <mergeCell ref="AV211:AV212"/>
    <mergeCell ref="AW211:AW212"/>
    <mergeCell ref="AX211:AX212"/>
    <mergeCell ref="AY211:AY212"/>
    <mergeCell ref="AZ211:AZ212"/>
    <mergeCell ref="AT211:AT212"/>
    <mergeCell ref="AU211:AU212"/>
    <mergeCell ref="AA211:AA212"/>
    <mergeCell ref="AB211:AB212"/>
    <mergeCell ref="AC211:AC212"/>
    <mergeCell ref="H211:H212"/>
    <mergeCell ref="I211:I212"/>
    <mergeCell ref="Q211:Q212"/>
    <mergeCell ref="R211:R212"/>
    <mergeCell ref="S211:S212"/>
    <mergeCell ref="T211:T212"/>
    <mergeCell ref="AI213:AI214"/>
    <mergeCell ref="AJ213:AJ214"/>
    <mergeCell ref="AK213:AK214"/>
    <mergeCell ref="AE213:AE214"/>
    <mergeCell ref="S213:S214"/>
    <mergeCell ref="AF213:AF214"/>
    <mergeCell ref="AG213:AG214"/>
    <mergeCell ref="AH213:AH214"/>
    <mergeCell ref="T213:T214"/>
    <mergeCell ref="U213:U214"/>
    <mergeCell ref="V213:V214"/>
    <mergeCell ref="Z213:Z214"/>
    <mergeCell ref="AA213:AA214"/>
    <mergeCell ref="AB213:AB214"/>
    <mergeCell ref="A213:A214"/>
    <mergeCell ref="B213:B214"/>
    <mergeCell ref="C213:C214"/>
    <mergeCell ref="D213:D214"/>
    <mergeCell ref="E213:E214"/>
    <mergeCell ref="AP211:AP212"/>
    <mergeCell ref="AQ211:AQ212"/>
    <mergeCell ref="AR211:AR212"/>
    <mergeCell ref="AS211:AS212"/>
    <mergeCell ref="AJ211:AJ212"/>
    <mergeCell ref="AK211:AK212"/>
    <mergeCell ref="AL211:AL212"/>
    <mergeCell ref="AM211:AM212"/>
    <mergeCell ref="AN211:AN212"/>
    <mergeCell ref="AO211:AO212"/>
    <mergeCell ref="AD211:AD212"/>
    <mergeCell ref="AE211:AE212"/>
    <mergeCell ref="AF211:AF212"/>
    <mergeCell ref="AG211:AG212"/>
    <mergeCell ref="AH211:AH212"/>
    <mergeCell ref="AI211:AI212"/>
    <mergeCell ref="U211:U212"/>
    <mergeCell ref="V211:V212"/>
    <mergeCell ref="Z211:Z212"/>
    <mergeCell ref="AX209:AX210"/>
    <mergeCell ref="AY209:AY210"/>
    <mergeCell ref="AZ209:AZ210"/>
    <mergeCell ref="A211:A212"/>
    <mergeCell ref="B211:B212"/>
    <mergeCell ref="C211:C212"/>
    <mergeCell ref="D211:D212"/>
    <mergeCell ref="E211:E212"/>
    <mergeCell ref="F211:F212"/>
    <mergeCell ref="G211:G212"/>
    <mergeCell ref="AR209:AR210"/>
    <mergeCell ref="AS209:AS210"/>
    <mergeCell ref="AT209:AT210"/>
    <mergeCell ref="AU209:AU210"/>
    <mergeCell ref="AV209:AV210"/>
    <mergeCell ref="AW209:AW210"/>
    <mergeCell ref="AL209:AL210"/>
    <mergeCell ref="AM209:AM210"/>
    <mergeCell ref="AN209:AN210"/>
    <mergeCell ref="AO209:AO210"/>
    <mergeCell ref="AP209:AP210"/>
    <mergeCell ref="AQ209:AQ210"/>
    <mergeCell ref="AF209:AF210"/>
    <mergeCell ref="AG209:AG210"/>
    <mergeCell ref="AH209:AH210"/>
    <mergeCell ref="AI209:AI210"/>
    <mergeCell ref="AJ209:AJ210"/>
    <mergeCell ref="AK209:AK210"/>
    <mergeCell ref="Z209:Z210"/>
    <mergeCell ref="AA209:AA210"/>
    <mergeCell ref="AB209:AB210"/>
    <mergeCell ref="AC209:AC210"/>
    <mergeCell ref="AD209:AD210"/>
    <mergeCell ref="AE209:AE210"/>
    <mergeCell ref="Q209:Q210"/>
    <mergeCell ref="R209:R210"/>
    <mergeCell ref="S209:S210"/>
    <mergeCell ref="T209:T210"/>
    <mergeCell ref="U209:U210"/>
    <mergeCell ref="V209:V210"/>
    <mergeCell ref="AK205:AK206"/>
    <mergeCell ref="A209:A210"/>
    <mergeCell ref="B209:B210"/>
    <mergeCell ref="C209:C210"/>
    <mergeCell ref="D209:D210"/>
    <mergeCell ref="E209:E210"/>
    <mergeCell ref="F209:F210"/>
    <mergeCell ref="G209:G210"/>
    <mergeCell ref="H209:H210"/>
    <mergeCell ref="I209:I210"/>
    <mergeCell ref="AE205:AE206"/>
    <mergeCell ref="AF205:AF206"/>
    <mergeCell ref="AG205:AG206"/>
    <mergeCell ref="AH205:AH206"/>
    <mergeCell ref="AI205:AI206"/>
    <mergeCell ref="AJ205:AJ206"/>
    <mergeCell ref="V205:V206"/>
    <mergeCell ref="Z205:Z206"/>
    <mergeCell ref="AA205:AA206"/>
    <mergeCell ref="AB205:AB206"/>
    <mergeCell ref="AC205:AC206"/>
    <mergeCell ref="AD205:AD206"/>
    <mergeCell ref="H205:H206"/>
    <mergeCell ref="I205:I206"/>
    <mergeCell ref="R205:R206"/>
    <mergeCell ref="S205:S206"/>
    <mergeCell ref="T205:T206"/>
    <mergeCell ref="U205:U206"/>
    <mergeCell ref="A205:A206"/>
    <mergeCell ref="B205:B206"/>
    <mergeCell ref="D205:D206"/>
    <mergeCell ref="E205:E206"/>
    <mergeCell ref="F205:F206"/>
    <mergeCell ref="G205:G206"/>
    <mergeCell ref="AU165:AU166"/>
    <mergeCell ref="AV165:AV166"/>
    <mergeCell ref="AW165:AW166"/>
    <mergeCell ref="AI165:AI166"/>
    <mergeCell ref="AJ165:AJ166"/>
    <mergeCell ref="AK165:AK166"/>
    <mergeCell ref="AL165:AL166"/>
    <mergeCell ref="AM165:AM166"/>
    <mergeCell ref="AN165:AN166"/>
    <mergeCell ref="AC165:AC166"/>
    <mergeCell ref="AD165:AD166"/>
    <mergeCell ref="AE165:AE166"/>
    <mergeCell ref="AF165:AF166"/>
    <mergeCell ref="AG165:AG166"/>
    <mergeCell ref="AH165:AH166"/>
    <mergeCell ref="U165:U166"/>
    <mergeCell ref="V165:V166"/>
    <mergeCell ref="X165:X166"/>
    <mergeCell ref="AX165:AX166"/>
    <mergeCell ref="AY165:AY166"/>
    <mergeCell ref="AZ165:AZ166"/>
    <mergeCell ref="AO165:AO166"/>
    <mergeCell ref="AP165:AP166"/>
    <mergeCell ref="AQ165:AQ166"/>
    <mergeCell ref="AR165:AR166"/>
    <mergeCell ref="AS165:AS166"/>
    <mergeCell ref="AT165:AT166"/>
    <mergeCell ref="Z165:Z166"/>
    <mergeCell ref="AA165:AA166"/>
    <mergeCell ref="AB165:AB166"/>
    <mergeCell ref="N165:N166"/>
    <mergeCell ref="O165:O166"/>
    <mergeCell ref="P165:P166"/>
    <mergeCell ref="R165:R166"/>
    <mergeCell ref="S165:S166"/>
    <mergeCell ref="T165:T166"/>
    <mergeCell ref="AY157:AY158"/>
    <mergeCell ref="AZ157:AZ158"/>
    <mergeCell ref="A165:A166"/>
    <mergeCell ref="B165:B166"/>
    <mergeCell ref="D165:D166"/>
    <mergeCell ref="E165:E166"/>
    <mergeCell ref="F165:F166"/>
    <mergeCell ref="G165:G166"/>
    <mergeCell ref="H165:H166"/>
    <mergeCell ref="I165:I166"/>
    <mergeCell ref="AS157:AS158"/>
    <mergeCell ref="AT157:AT158"/>
    <mergeCell ref="AU157:AU158"/>
    <mergeCell ref="AV157:AV158"/>
    <mergeCell ref="AW157:AW158"/>
    <mergeCell ref="AX157:AX158"/>
    <mergeCell ref="AM157:AM158"/>
    <mergeCell ref="AN157:AN158"/>
    <mergeCell ref="AO157:AO158"/>
    <mergeCell ref="AP157:AP158"/>
    <mergeCell ref="AQ157:AQ158"/>
    <mergeCell ref="AR157:AR158"/>
    <mergeCell ref="AG157:AG158"/>
    <mergeCell ref="AH157:AH158"/>
    <mergeCell ref="AI157:AI158"/>
    <mergeCell ref="AJ157:AJ158"/>
    <mergeCell ref="AK157:AK158"/>
    <mergeCell ref="AL157:AL158"/>
    <mergeCell ref="AA157:AA158"/>
    <mergeCell ref="AB157:AB158"/>
    <mergeCell ref="AC157:AC158"/>
    <mergeCell ref="AD157:AD158"/>
    <mergeCell ref="AE157:AE158"/>
    <mergeCell ref="AF157:AF158"/>
    <mergeCell ref="R157:R158"/>
    <mergeCell ref="S157:S158"/>
    <mergeCell ref="T157:T158"/>
    <mergeCell ref="U157:U158"/>
    <mergeCell ref="V157:V158"/>
    <mergeCell ref="Z157:Z158"/>
    <mergeCell ref="AY155:AY156"/>
    <mergeCell ref="AZ155:AZ156"/>
    <mergeCell ref="A157:A158"/>
    <mergeCell ref="B157:B158"/>
    <mergeCell ref="D157:D158"/>
    <mergeCell ref="E157:E158"/>
    <mergeCell ref="F157:F158"/>
    <mergeCell ref="G157:G158"/>
    <mergeCell ref="H157:H158"/>
    <mergeCell ref="I157:I158"/>
    <mergeCell ref="AS155:AS156"/>
    <mergeCell ref="AT155:AT156"/>
    <mergeCell ref="AU155:AU156"/>
    <mergeCell ref="AV155:AV156"/>
    <mergeCell ref="AW155:AW156"/>
    <mergeCell ref="AX155:AX156"/>
    <mergeCell ref="AM155:AM156"/>
    <mergeCell ref="AN155:AN156"/>
    <mergeCell ref="AO155:AO156"/>
    <mergeCell ref="AP155:AP156"/>
    <mergeCell ref="AQ155:AQ156"/>
    <mergeCell ref="AR155:AR156"/>
    <mergeCell ref="AG155:AG156"/>
    <mergeCell ref="AH155:AH156"/>
    <mergeCell ref="AI155:AI156"/>
    <mergeCell ref="AJ155:AJ156"/>
    <mergeCell ref="AK155:AK156"/>
    <mergeCell ref="AL155:AL156"/>
    <mergeCell ref="AA155:AA156"/>
    <mergeCell ref="AB155:AB156"/>
    <mergeCell ref="AC155:AC156"/>
    <mergeCell ref="AD155:AD156"/>
    <mergeCell ref="AE155:AE156"/>
    <mergeCell ref="AF155:AF156"/>
    <mergeCell ref="R155:R156"/>
    <mergeCell ref="S155:S156"/>
    <mergeCell ref="T155:T156"/>
    <mergeCell ref="U155:U156"/>
    <mergeCell ref="V155:V156"/>
    <mergeCell ref="Z155:Z156"/>
    <mergeCell ref="AJ146:AJ147"/>
    <mergeCell ref="AK146:AK147"/>
    <mergeCell ref="A155:A156"/>
    <mergeCell ref="B155:B156"/>
    <mergeCell ref="D155:D156"/>
    <mergeCell ref="E155:E156"/>
    <mergeCell ref="F155:F156"/>
    <mergeCell ref="G155:G156"/>
    <mergeCell ref="H155:H156"/>
    <mergeCell ref="I155:I156"/>
    <mergeCell ref="AD146:AD147"/>
    <mergeCell ref="AE146:AE147"/>
    <mergeCell ref="AF146:AF147"/>
    <mergeCell ref="AG146:AG147"/>
    <mergeCell ref="AH146:AH147"/>
    <mergeCell ref="AI146:AI147"/>
    <mergeCell ref="U146:U147"/>
    <mergeCell ref="V146:V147"/>
    <mergeCell ref="Z146:Z147"/>
    <mergeCell ref="AA146:AA147"/>
    <mergeCell ref="AB146:AB147"/>
    <mergeCell ref="AC146:AC147"/>
    <mergeCell ref="N146:N147"/>
    <mergeCell ref="O146:O147"/>
    <mergeCell ref="P146:P147"/>
    <mergeCell ref="R146:R147"/>
    <mergeCell ref="S146:S147"/>
    <mergeCell ref="T146:T147"/>
    <mergeCell ref="H120:H121"/>
    <mergeCell ref="I120:I121"/>
    <mergeCell ref="A146:A147"/>
    <mergeCell ref="B146:B147"/>
    <mergeCell ref="D146:D147"/>
    <mergeCell ref="E146:E147"/>
    <mergeCell ref="F146:F147"/>
    <mergeCell ref="G146:G147"/>
    <mergeCell ref="H146:H147"/>
    <mergeCell ref="I146:I147"/>
    <mergeCell ref="A120:A121"/>
    <mergeCell ref="B120:B121"/>
    <mergeCell ref="D120:D121"/>
    <mergeCell ref="E120:E121"/>
    <mergeCell ref="F120:F121"/>
    <mergeCell ref="G120:G121"/>
    <mergeCell ref="AU107:AU108"/>
    <mergeCell ref="AV107:AV108"/>
    <mergeCell ref="AW107:AW108"/>
    <mergeCell ref="AX107:AX108"/>
    <mergeCell ref="AY107:AY108"/>
    <mergeCell ref="AZ107:AZ108"/>
    <mergeCell ref="AO107:AO108"/>
    <mergeCell ref="AP107:AP108"/>
    <mergeCell ref="AQ107:AQ108"/>
    <mergeCell ref="AR107:AR108"/>
    <mergeCell ref="AS107:AS108"/>
    <mergeCell ref="AT107:AT108"/>
    <mergeCell ref="AI107:AI108"/>
    <mergeCell ref="AJ107:AJ108"/>
    <mergeCell ref="AK107:AK108"/>
    <mergeCell ref="AL107:AL108"/>
    <mergeCell ref="AM107:AM108"/>
    <mergeCell ref="AN107:AN108"/>
    <mergeCell ref="AC107:AC108"/>
    <mergeCell ref="AD107:AD108"/>
    <mergeCell ref="AE107:AE108"/>
    <mergeCell ref="AF107:AF108"/>
    <mergeCell ref="AG107:AG108"/>
    <mergeCell ref="AH107:AH108"/>
    <mergeCell ref="W107:W108"/>
    <mergeCell ref="X107:X108"/>
    <mergeCell ref="Y107:Y108"/>
    <mergeCell ref="Z107:Z108"/>
    <mergeCell ref="AA107:AA108"/>
    <mergeCell ref="AB107:AB108"/>
    <mergeCell ref="H107:H108"/>
    <mergeCell ref="I107:I108"/>
    <mergeCell ref="N107:N108"/>
    <mergeCell ref="O107:O108"/>
    <mergeCell ref="P107:P108"/>
    <mergeCell ref="R107:R108"/>
    <mergeCell ref="AH85:AH86"/>
    <mergeCell ref="AI85:AI86"/>
    <mergeCell ref="AJ85:AJ86"/>
    <mergeCell ref="AK85:AK86"/>
    <mergeCell ref="A107:A108"/>
    <mergeCell ref="B107:B108"/>
    <mergeCell ref="D107:D108"/>
    <mergeCell ref="E107:E108"/>
    <mergeCell ref="F107:F108"/>
    <mergeCell ref="G107:G108"/>
    <mergeCell ref="AB85:AB86"/>
    <mergeCell ref="AC85:AC86"/>
    <mergeCell ref="AD85:AD86"/>
    <mergeCell ref="AE85:AE86"/>
    <mergeCell ref="AF85:AF86"/>
    <mergeCell ref="AG85:AG86"/>
    <mergeCell ref="S85:S86"/>
    <mergeCell ref="T85:T86"/>
    <mergeCell ref="U85:U86"/>
    <mergeCell ref="V85:V86"/>
    <mergeCell ref="Z85:Z86"/>
    <mergeCell ref="AA85:AA86"/>
    <mergeCell ref="H85:H86"/>
    <mergeCell ref="I85:I86"/>
    <mergeCell ref="N85:N86"/>
    <mergeCell ref="O85:O86"/>
    <mergeCell ref="P85:P86"/>
    <mergeCell ref="R85:R86"/>
    <mergeCell ref="AH83:AH84"/>
    <mergeCell ref="AI83:AI84"/>
    <mergeCell ref="AJ83:AJ84"/>
    <mergeCell ref="AK83:AK84"/>
    <mergeCell ref="A85:A86"/>
    <mergeCell ref="B85:B86"/>
    <mergeCell ref="D85:D86"/>
    <mergeCell ref="E85:E86"/>
    <mergeCell ref="F85:F86"/>
    <mergeCell ref="G85:G86"/>
    <mergeCell ref="AB83:AB84"/>
    <mergeCell ref="AC83:AC84"/>
    <mergeCell ref="AD83:AD84"/>
    <mergeCell ref="AE83:AE84"/>
    <mergeCell ref="AF83:AF84"/>
    <mergeCell ref="AG83:AG84"/>
    <mergeCell ref="S83:S84"/>
    <mergeCell ref="T83:T84"/>
    <mergeCell ref="U83:U84"/>
    <mergeCell ref="V83:V84"/>
    <mergeCell ref="Z83:Z84"/>
    <mergeCell ref="AA83:AA84"/>
    <mergeCell ref="H83:H84"/>
    <mergeCell ref="I83:I84"/>
    <mergeCell ref="N83:N84"/>
    <mergeCell ref="O83:O84"/>
    <mergeCell ref="P83:P84"/>
    <mergeCell ref="R83:R84"/>
    <mergeCell ref="A83:A84"/>
    <mergeCell ref="B83:B84"/>
    <mergeCell ref="D83:D84"/>
    <mergeCell ref="E83:E84"/>
    <mergeCell ref="F83:F84"/>
    <mergeCell ref="G83:G84"/>
    <mergeCell ref="AG81:AG82"/>
    <mergeCell ref="AH81:AH82"/>
    <mergeCell ref="AI81:AI82"/>
    <mergeCell ref="AJ81:AJ82"/>
    <mergeCell ref="AK81:AK82"/>
    <mergeCell ref="AL81:AL82"/>
    <mergeCell ref="AA81:AA82"/>
    <mergeCell ref="AB81:AB82"/>
    <mergeCell ref="AC81:AC82"/>
    <mergeCell ref="AD81:AD82"/>
    <mergeCell ref="AE81:AE82"/>
    <mergeCell ref="AF81:AF82"/>
    <mergeCell ref="U81:U82"/>
    <mergeCell ref="V81:V82"/>
    <mergeCell ref="Z81:Z82"/>
    <mergeCell ref="G81:G82"/>
    <mergeCell ref="H81:H82"/>
    <mergeCell ref="I81:I82"/>
    <mergeCell ref="N81:N82"/>
    <mergeCell ref="O81:O82"/>
    <mergeCell ref="P81:P82"/>
    <mergeCell ref="AK35:AK36"/>
    <mergeCell ref="AL35:AL36"/>
    <mergeCell ref="A81:A82"/>
    <mergeCell ref="B81:B82"/>
    <mergeCell ref="D81:D82"/>
    <mergeCell ref="E81:E82"/>
    <mergeCell ref="F81:F82"/>
    <mergeCell ref="AB35:AB36"/>
    <mergeCell ref="AC35:AC36"/>
    <mergeCell ref="AD35:AD36"/>
    <mergeCell ref="AE35:AE36"/>
    <mergeCell ref="AF35:AF36"/>
    <mergeCell ref="AG35:AG36"/>
    <mergeCell ref="H35:H36"/>
    <mergeCell ref="I35:I36"/>
    <mergeCell ref="V35:V36"/>
    <mergeCell ref="X35:X36"/>
    <mergeCell ref="Z35:Z36"/>
    <mergeCell ref="AA35:AA36"/>
    <mergeCell ref="A35:A36"/>
    <mergeCell ref="B35:B36"/>
    <mergeCell ref="R81:R82"/>
    <mergeCell ref="S81:S82"/>
    <mergeCell ref="T81:T82"/>
    <mergeCell ref="D35:D36"/>
    <mergeCell ref="E35:E36"/>
    <mergeCell ref="F35:F36"/>
    <mergeCell ref="G35:G36"/>
    <mergeCell ref="AU31:AU32"/>
    <mergeCell ref="AV31:AV32"/>
    <mergeCell ref="AW31:AW32"/>
    <mergeCell ref="AX31:AX32"/>
    <mergeCell ref="AY31:AY32"/>
    <mergeCell ref="AC31:AC32"/>
    <mergeCell ref="AD31:AD32"/>
    <mergeCell ref="AE31:AE32"/>
    <mergeCell ref="AF31:AF32"/>
    <mergeCell ref="AG31:AG32"/>
    <mergeCell ref="AH31:AH32"/>
    <mergeCell ref="U31:U32"/>
    <mergeCell ref="V31:V32"/>
    <mergeCell ref="X31:X32"/>
    <mergeCell ref="Z31:Z32"/>
    <mergeCell ref="AA31:AA32"/>
    <mergeCell ref="AB31:AB32"/>
    <mergeCell ref="AH35:AH36"/>
    <mergeCell ref="AI35:AI36"/>
    <mergeCell ref="AJ35:AJ36"/>
    <mergeCell ref="AZ31:AZ32"/>
    <mergeCell ref="AO31:AO32"/>
    <mergeCell ref="AP31:AP32"/>
    <mergeCell ref="AQ31:AQ32"/>
    <mergeCell ref="AR31:AR32"/>
    <mergeCell ref="AS31:AS32"/>
    <mergeCell ref="AT31:AT32"/>
    <mergeCell ref="AI31:AI32"/>
    <mergeCell ref="AJ31:AJ32"/>
    <mergeCell ref="AK31:AK32"/>
    <mergeCell ref="AL31:AL32"/>
    <mergeCell ref="AM31:AM32"/>
    <mergeCell ref="AN31:AN32"/>
    <mergeCell ref="N22:N27"/>
    <mergeCell ref="O22:O27"/>
    <mergeCell ref="P22:P27"/>
    <mergeCell ref="R31:R32"/>
    <mergeCell ref="S31:S32"/>
    <mergeCell ref="T31:T32"/>
    <mergeCell ref="G22:G27"/>
    <mergeCell ref="H22:H27"/>
    <mergeCell ref="I22:I27"/>
    <mergeCell ref="L22:L27"/>
    <mergeCell ref="M22:M27"/>
    <mergeCell ref="A22:A27"/>
    <mergeCell ref="B22:B27"/>
    <mergeCell ref="D22:D27"/>
    <mergeCell ref="E22:E27"/>
    <mergeCell ref="F22:F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13">
    <dataValidation type="list" allowBlank="1" showInputMessage="1" showErrorMessage="1" sqref="AK233 AK259 AK131">
      <formula1>$A$38:$A$51</formula1>
    </dataValidation>
    <dataValidation type="list" allowBlank="1" showInputMessage="1" showErrorMessage="1" sqref="AK216 AK34">
      <formula1>$A$39:$A$52</formula1>
    </dataValidation>
    <dataValidation type="list" allowBlank="1" showInputMessage="1" showErrorMessage="1" sqref="AK239 AK169 AK134 AK227 AK173 AK167 AK208 AK199">
      <formula1>$A$39:$A$51</formula1>
    </dataValidation>
    <dataValidation type="list" allowBlank="1" showInputMessage="1" showErrorMessage="1" sqref="AB111 AB169 AB241 AB239 AB134 AB227 AB173 AB167 AB184 AB28 AB242 AB222 AB250:AB254 AB208 AB199 AB256:AB260 AB262 AB125 AB246:AB248 AB151">
      <formula1>$A$58:$A$63</formula1>
    </dataValidation>
    <dataValidation type="list" allowBlank="1" showInputMessage="1" showErrorMessage="1" sqref="AK249">
      <formula1>$A$42:$A$54</formula1>
    </dataValidation>
    <dataValidation allowBlank="1" showInputMessage="1" showErrorMessage="1" error="Fecha no valida" prompt="Ingrese una fecha valida entre el 01 de enero y 31 de diciembre de 2016" sqref="G279 G273 G281:G290 G215:G228 G230:G231"/>
    <dataValidation type="list" allowBlank="1" showInputMessage="1" showErrorMessage="1" sqref="AB116 AB47 AB106:AB109 AB179:AB180 AB164 AB160 AB112:AB113">
      <formula1>$A$61:$A$66</formula1>
    </dataValidation>
    <dataValidation type="list" allowBlank="1" showInputMessage="1" showErrorMessage="1" sqref="AK107:AK108 AK116">
      <formula1>$A$43:$A$53</formula1>
    </dataValidation>
    <dataValidation type="list" allowBlank="1" showInputMessage="1" showErrorMessage="1" sqref="AB93 AB110">
      <formula1>$A$60:$A$65</formula1>
    </dataValidation>
    <dataValidation type="list" allowBlank="1" showInputMessage="1" showErrorMessage="1" sqref="AK193 AK117 AK178 AK183">
      <formula1>$A$43:$A$54</formula1>
    </dataValidation>
    <dataValidation type="list" allowBlank="1" showInputMessage="1" showErrorMessage="1" sqref="AB193:AB195 AB94 AB207 AB185 AB203 AB200:AB201 AB232 AB161 AB117 AB175:AB178 AB198 AB183 AB249 AB168 AB148 AB231">
      <formula1>$A$62:$A$67</formula1>
    </dataValidation>
    <dataValidation type="list" allowBlank="1" showInputMessage="1" showErrorMessage="1" error="No es una modalidad valida, seleccione una de la lista" promptTitle="Solo aplica para el GGC" prompt="Seleccione la modalidad de selección" sqref="I230 I215 I219:I221 I223:I226">
      <formula1>#REF!</formula1>
    </dataValidation>
    <dataValidation type="list" allowBlank="1" showInputMessage="1" showErrorMessage="1" sqref="AK26">
      <formula1>$A$38:$A$50</formula1>
    </dataValidation>
  </dataValidations>
  <hyperlinks>
    <hyperlink ref="D8" r:id="rId1" display="www.dafp.gov.co"/>
  </hyperlinks>
  <pageMargins left="0.7" right="0.7" top="0.75" bottom="0.75" header="0.3" footer="0.3"/>
  <pageSetup scale="10"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[2]LISTAS!#REF!</xm:f>
          </x14:formula1>
          <xm:sqref>AK151 V151 V259 AB233 AB131 V233 V131 AB268:AB271 AB34 AB216 AB26 V268:V271 V34 V216 V26</xm:sqref>
        </x14:dataValidation>
        <x14:dataValidation type="list" allowBlank="1" showInputMessage="1" showErrorMessage="1">
          <x14:formula1>
            <xm:f>[3]LISTAS!#REF!</xm:f>
          </x14:formula1>
          <xm:sqref>V148:V150 AK148:AK150 V231 AB128 AB181:AB182 AB149:AB150 AB220 AB154 AB135:AB138 AB140 AB97 AB41 AB234:AB235 AK128 AK179:AK182 AK220 AK154 AK135:AK138 AK140 AK97 AK41 AK234:AK235 V128 V175:V183 V220 V154 V135:V138 V140 V97 V41 V234:V235 AB133 AB196 AK133 AK194:AK196 V133 V186:V196 AB186:AB192 AB213 AB205 AB237 AK186:AK192 AK213 AK205 AK237 V213 V205 V237 AK112:AK113 AK207 AK93:AK94 V185 V207 V93:V94 V112:V113 V116:V117 AK47 V47 AB209 AB211 AB163 V232 AK109:AK110 AK106 AK209 V160:V161 AK211 AK164 V211 V106:V108 V209 V163:V164 AK200:AK201 AK203 V200:V201 V203 AK198 AK175:AK177 AK232 V198 V110</xm:sqref>
        </x14:dataValidation>
        <x14:dataValidation type="list" allowBlank="1" showInputMessage="1" showErrorMessage="1">
          <x14:formula1>
            <xm:f>[4]LISTAS!#REF!</xm:f>
          </x14:formula1>
          <xm:sqref>AK170:AK172 AK204 AK111 AK184:AK185 AB170:AB172 AB204 V204 V111 V184 AK197 AK238 AB197 AB238 V27:V28 V197 V238 AK168 AM231 AK231 AK241 V165 AK22:AK25 AK246:AK248 AK27:AK28 AK256:AK258 V256:V258 AK260 AK125 V260 V125 V208 V199 AK262 AK250:AK254 V262 V246:V254 AK222 V222 AK242 AB27 V241 V239 V134 V227 V167:V173 V242 V22:V25 AB22:AB25</xm:sqref>
        </x14:dataValidation>
        <x14:dataValidation type="list" allowBlank="1" showInputMessage="1" showErrorMessage="1">
          <x14:formula1>
            <xm:f>[5]LISTAS!#REF!</xm:f>
          </x14:formula1>
          <xm:sqref>V243:V244 V281 V273:V274</xm:sqref>
        </x14:dataValidation>
        <x14:dataValidation type="list" allowBlank="1" showInputMessage="1" showErrorMessage="1">
          <x14:formula1>
            <xm:f>[5]LISTAS!#REF!</xm:f>
          </x14:formula1>
          <xm:sqref>AB243:AB244 AB281 AB273:AB274</xm:sqref>
        </x14:dataValidation>
        <x14:dataValidation type="list" allowBlank="1" showInputMessage="1" showErrorMessage="1">
          <x14:formula1>
            <xm:f>[5]LISTAS!#REF!</xm:f>
          </x14:formula1>
          <xm:sqref>AK243:AK244 AK281 AK273:AK274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1"/>
  <sheetViews>
    <sheetView workbookViewId="0">
      <selection activeCell="B4" sqref="B4"/>
    </sheetView>
  </sheetViews>
  <sheetFormatPr baseColWidth="10" defaultRowHeight="15" x14ac:dyDescent="0.25"/>
  <cols>
    <col min="1" max="1" width="32.7109375" style="277" customWidth="1"/>
    <col min="2" max="2" width="41.7109375" style="277" customWidth="1"/>
    <col min="3" max="3" width="20.85546875" style="277" customWidth="1"/>
    <col min="4" max="4" width="17.7109375" style="277" bestFit="1" customWidth="1"/>
    <col min="5" max="5" width="21.42578125" style="277" customWidth="1"/>
    <col min="6" max="16384" width="11.42578125" style="277"/>
  </cols>
  <sheetData>
    <row r="3" spans="1:5" ht="45" x14ac:dyDescent="0.25">
      <c r="A3" s="320" t="s">
        <v>1526</v>
      </c>
      <c r="B3" s="320" t="s">
        <v>1522</v>
      </c>
      <c r="C3" s="320" t="s">
        <v>1523</v>
      </c>
      <c r="D3" s="320" t="s">
        <v>1524</v>
      </c>
      <c r="E3" s="320" t="s">
        <v>1525</v>
      </c>
    </row>
    <row r="4" spans="1:5" ht="20.25" customHeight="1" x14ac:dyDescent="0.25">
      <c r="A4" s="286" t="s">
        <v>539</v>
      </c>
      <c r="B4" s="321" t="e">
        <f>SUM(#REF!+#REF!+#REF!)</f>
        <v>#REF!</v>
      </c>
      <c r="C4" s="321" t="e">
        <f>SUM(#REF!)</f>
        <v>#REF!</v>
      </c>
      <c r="D4" s="322">
        <v>0.20280000000000001</v>
      </c>
      <c r="E4" s="978">
        <f>AVERAGE(D4:D5)</f>
        <v>0.34600000000000003</v>
      </c>
    </row>
    <row r="5" spans="1:5" x14ac:dyDescent="0.25">
      <c r="A5" s="286" t="s">
        <v>540</v>
      </c>
      <c r="B5" s="321" t="e">
        <f>SUM(#REF!+#REF!+#REF!)</f>
        <v>#REF!</v>
      </c>
      <c r="C5" s="321" t="e">
        <f>SUM(#REF!)</f>
        <v>#REF!</v>
      </c>
      <c r="D5" s="322">
        <v>0.48920000000000002</v>
      </c>
      <c r="E5" s="978"/>
    </row>
    <row r="6" spans="1:5" x14ac:dyDescent="0.25">
      <c r="A6" s="323" t="s">
        <v>541</v>
      </c>
      <c r="B6" s="324" t="e">
        <f>SUM(B4:B5)</f>
        <v>#REF!</v>
      </c>
      <c r="C6" s="324" t="e">
        <f>SUM(C4:C5)</f>
        <v>#REF!</v>
      </c>
      <c r="D6" s="325"/>
      <c r="E6" s="978"/>
    </row>
    <row r="7" spans="1:5" x14ac:dyDescent="0.25">
      <c r="A7" s="613"/>
      <c r="B7" s="614"/>
      <c r="C7" s="614"/>
      <c r="D7" s="615"/>
      <c r="E7" s="616"/>
    </row>
    <row r="8" spans="1:5" x14ac:dyDescent="0.25">
      <c r="B8" s="617" t="s">
        <v>2818</v>
      </c>
      <c r="C8" s="617" t="s">
        <v>2819</v>
      </c>
    </row>
    <row r="9" spans="1:5" x14ac:dyDescent="0.25">
      <c r="B9" s="979" t="s">
        <v>35</v>
      </c>
      <c r="C9" s="980"/>
      <c r="D9" s="319"/>
    </row>
    <row r="10" spans="1:5" ht="24" x14ac:dyDescent="0.25">
      <c r="B10" s="537" t="s">
        <v>2817</v>
      </c>
      <c r="C10" s="611">
        <v>0.20280000000000001</v>
      </c>
    </row>
    <row r="11" spans="1:5" x14ac:dyDescent="0.25">
      <c r="B11" s="537" t="s">
        <v>428</v>
      </c>
      <c r="C11" s="610">
        <v>90.6</v>
      </c>
    </row>
    <row r="12" spans="1:5" x14ac:dyDescent="0.25">
      <c r="B12" s="979" t="s">
        <v>2816</v>
      </c>
      <c r="C12" s="980"/>
    </row>
    <row r="13" spans="1:5" ht="36" x14ac:dyDescent="0.25">
      <c r="B13" s="537" t="s">
        <v>429</v>
      </c>
      <c r="C13" s="398">
        <v>0</v>
      </c>
      <c r="D13" s="319"/>
    </row>
    <row r="14" spans="1:5" ht="48" x14ac:dyDescent="0.25">
      <c r="B14" s="537" t="s">
        <v>452</v>
      </c>
      <c r="C14" s="612">
        <v>0.99991101249875891</v>
      </c>
    </row>
    <row r="15" spans="1:5" ht="48" x14ac:dyDescent="0.25">
      <c r="B15" s="537" t="s">
        <v>452</v>
      </c>
      <c r="C15" s="612">
        <v>0.78961072026800672</v>
      </c>
    </row>
    <row r="16" spans="1:5" ht="48" x14ac:dyDescent="0.25">
      <c r="B16" s="537" t="s">
        <v>452</v>
      </c>
      <c r="C16" s="612">
        <v>0.7629248529854491</v>
      </c>
    </row>
    <row r="17" spans="2:3" ht="24" x14ac:dyDescent="0.25">
      <c r="B17" s="537" t="s">
        <v>430</v>
      </c>
      <c r="C17" s="612">
        <v>0.17625598361524375</v>
      </c>
    </row>
    <row r="18" spans="2:3" ht="36" x14ac:dyDescent="0.25">
      <c r="B18" s="537" t="s">
        <v>350</v>
      </c>
      <c r="C18" s="612">
        <v>0.81545683242374145</v>
      </c>
    </row>
    <row r="19" spans="2:3" ht="48" x14ac:dyDescent="0.25">
      <c r="B19" s="537" t="s">
        <v>447</v>
      </c>
      <c r="C19" s="612">
        <v>0</v>
      </c>
    </row>
    <row r="20" spans="2:3" ht="36" x14ac:dyDescent="0.25">
      <c r="B20" s="537" t="s">
        <v>439</v>
      </c>
      <c r="C20" s="612">
        <v>0.89011458922231146</v>
      </c>
    </row>
    <row r="21" spans="2:3" ht="36" x14ac:dyDescent="0.25">
      <c r="B21" s="537" t="s">
        <v>350</v>
      </c>
      <c r="C21" s="612">
        <v>5.7198223713333329E-2</v>
      </c>
    </row>
  </sheetData>
  <mergeCells count="3">
    <mergeCell ref="E4:E6"/>
    <mergeCell ref="B9:C9"/>
    <mergeCell ref="B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consumos 27-04-2016</vt:lpstr>
      <vt:lpstr>DETALLE CDP</vt:lpstr>
      <vt:lpstr>TRASLADOS</vt:lpstr>
      <vt:lpstr>Hoja4</vt:lpstr>
      <vt:lpstr>control caja menor</vt:lpstr>
      <vt:lpstr>DESAGREGADA A 18 JULIO</vt:lpstr>
      <vt:lpstr>PAA-PRESUP 12 agosto</vt:lpstr>
      <vt:lpstr>PAA 12 GOSTO </vt:lpstr>
      <vt:lpstr>INDICADOR SECTORIAL</vt:lpstr>
      <vt:lpstr>'PAA 12 GOSTO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2016-08-16T16:14:38Z</cp:lastPrinted>
  <dcterms:created xsi:type="dcterms:W3CDTF">2015-12-14T22:18:47Z</dcterms:created>
  <dcterms:modified xsi:type="dcterms:W3CDTF">2016-08-16T16:14:48Z</dcterms:modified>
</cp:coreProperties>
</file>